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5" i="48"/>
  <c r="D11" i="48"/>
  <c r="E11" i="48"/>
  <c r="F11" i="48"/>
  <c r="G11" i="48"/>
  <c r="N11" i="48"/>
  <c r="O11" i="48"/>
  <c r="P11" i="48"/>
  <c r="Q11" i="48"/>
  <c r="R11" i="48"/>
  <c r="S11" i="48"/>
  <c r="T11" i="48"/>
  <c r="U11" i="48"/>
  <c r="D12" i="48"/>
  <c r="E12" i="48"/>
  <c r="F12" i="48"/>
  <c r="G12" i="48"/>
  <c r="N12" i="48"/>
  <c r="O12" i="48"/>
  <c r="P12" i="48"/>
  <c r="Q12" i="48"/>
  <c r="R12" i="48"/>
  <c r="S12" i="48"/>
  <c r="T12" i="48"/>
  <c r="U12" i="48"/>
  <c r="D13" i="48"/>
  <c r="E13" i="48"/>
  <c r="F13" i="48"/>
  <c r="G13" i="48"/>
  <c r="N13" i="48"/>
  <c r="O13" i="48"/>
  <c r="P13" i="48"/>
  <c r="Q13" i="48"/>
  <c r="R13" i="48"/>
  <c r="S13" i="48"/>
  <c r="T13" i="48"/>
  <c r="U13" i="48"/>
  <c r="D14" i="48"/>
  <c r="E14" i="48"/>
  <c r="F14" i="48"/>
  <c r="G14" i="48"/>
  <c r="N14" i="48"/>
  <c r="O14" i="48"/>
  <c r="P14" i="48"/>
  <c r="Q14" i="48"/>
  <c r="R14" i="48"/>
  <c r="S14" i="48"/>
  <c r="T14" i="48"/>
  <c r="U14" i="48"/>
  <c r="D15" i="48"/>
  <c r="E15" i="48"/>
  <c r="F15" i="48"/>
  <c r="G15" i="48"/>
  <c r="N15" i="48"/>
  <c r="O15" i="48"/>
  <c r="P15" i="48"/>
  <c r="Q15" i="48"/>
  <c r="R15" i="48"/>
  <c r="S15" i="48"/>
  <c r="T15" i="48"/>
  <c r="U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D19" i="48"/>
  <c r="E19" i="48"/>
  <c r="F19" i="48"/>
  <c r="G19" i="48"/>
  <c r="N19" i="48"/>
  <c r="O19" i="48"/>
  <c r="P19" i="48"/>
  <c r="Q19" i="48"/>
  <c r="R19" i="48"/>
  <c r="S19" i="48"/>
  <c r="T19" i="48"/>
  <c r="U19" i="48"/>
  <c r="D20" i="48"/>
  <c r="E20" i="48"/>
  <c r="F20" i="48"/>
  <c r="G20" i="48"/>
  <c r="N20" i="48"/>
  <c r="O20" i="48"/>
  <c r="P20" i="48"/>
  <c r="Q20" i="48"/>
  <c r="R20" i="48"/>
  <c r="S20" i="48"/>
  <c r="T20" i="48"/>
  <c r="U20" i="48"/>
  <c r="D21" i="48"/>
  <c r="E21" i="48"/>
  <c r="F21" i="48"/>
  <c r="G21" i="48"/>
  <c r="N21" i="48"/>
  <c r="O21" i="48"/>
  <c r="P21" i="48"/>
  <c r="Q21" i="48"/>
  <c r="R21" i="48"/>
  <c r="S21" i="48"/>
  <c r="T21" i="48"/>
  <c r="U21" i="48"/>
  <c r="D22" i="48"/>
  <c r="E22" i="48"/>
  <c r="F22" i="48"/>
  <c r="G22" i="48"/>
  <c r="N22" i="48"/>
  <c r="O22" i="48"/>
  <c r="P22" i="48"/>
  <c r="Q22" i="48"/>
  <c r="R22" i="48"/>
  <c r="S22" i="48"/>
  <c r="T22" i="48"/>
  <c r="U22" i="48"/>
  <c r="D23" i="48"/>
  <c r="E23" i="48"/>
  <c r="F23" i="48"/>
  <c r="G23" i="48"/>
  <c r="N23" i="48"/>
  <c r="O23" i="48"/>
  <c r="P23" i="48"/>
  <c r="Q23" i="48"/>
  <c r="R23" i="48"/>
  <c r="S23" i="48"/>
  <c r="T23" i="48"/>
  <c r="U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D27" i="48"/>
  <c r="E27" i="48"/>
  <c r="F27" i="48"/>
  <c r="G27" i="48"/>
  <c r="N27" i="48"/>
  <c r="O27" i="48"/>
  <c r="P27" i="48"/>
  <c r="Q27" i="48"/>
  <c r="R27" i="48"/>
  <c r="S27" i="48"/>
  <c r="T27" i="48"/>
  <c r="U27" i="48"/>
  <c r="D28" i="48"/>
  <c r="E28" i="48"/>
  <c r="F28" i="48"/>
  <c r="G28" i="48"/>
  <c r="N28" i="48"/>
  <c r="O28" i="48"/>
  <c r="P28" i="48"/>
  <c r="Q28" i="48"/>
  <c r="R28" i="48"/>
  <c r="S28" i="48"/>
  <c r="T28" i="48"/>
  <c r="U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="48"/>
  <c r="E32" i="48"/>
  <c r="F32" i="48"/>
  <c r="G32" i="48"/>
  <c r="N32" i="48"/>
  <c r="O32" i="48"/>
  <c r="P32" i="48"/>
  <c r="Q32" i="48"/>
  <c r="R32" i="48"/>
  <c r="S32" i="48"/>
  <c r="T32" i="48"/>
  <c r="U32" i="48"/>
  <c r="D33" i="48"/>
  <c r="E33" i="48"/>
  <c r="F33" i="48"/>
  <c r="G33" i="48"/>
  <c r="N33" i="48"/>
  <c r="O33" i="48"/>
  <c r="P33" i="48"/>
  <c r="Q33" i="48"/>
  <c r="R33" i="48"/>
  <c r="S33" i="48"/>
  <c r="T33" i="48"/>
  <c r="U33" i="48"/>
  <c r="D34" i="48"/>
  <c r="E34" i="48"/>
  <c r="F34" i="48"/>
  <c r="G34" i="48"/>
  <c r="N34" i="48"/>
  <c r="O34" i="48"/>
  <c r="P34" i="48"/>
  <c r="Q34" i="48"/>
  <c r="R34" i="48"/>
  <c r="S34" i="48"/>
  <c r="T34" i="48"/>
  <c r="U34" i="48"/>
  <c r="D35" i="48"/>
  <c r="E35" i="48"/>
  <c r="F35" i="48"/>
  <c r="G35" i="48"/>
  <c r="N35" i="48"/>
  <c r="O35" i="48"/>
  <c r="P35" i="48"/>
  <c r="Q35" i="48"/>
  <c r="R35" i="48"/>
  <c r="S35" i="48"/>
  <c r="T35" i="48"/>
  <c r="U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D39" i="48"/>
  <c r="E39" i="48"/>
  <c r="F39" i="48"/>
  <c r="G39" i="48"/>
  <c r="N39" i="48"/>
  <c r="O39" i="48"/>
  <c r="P39" i="48"/>
  <c r="Q39" i="48"/>
  <c r="R39" i="48"/>
  <c r="S39" i="48"/>
  <c r="T39" i="48"/>
  <c r="U39" i="48"/>
  <c r="D40" i="48"/>
  <c r="E40" i="48"/>
  <c r="F40" i="48"/>
  <c r="G40" i="48"/>
  <c r="N40" i="48"/>
  <c r="O40" i="48"/>
  <c r="P40" i="48"/>
  <c r="Q40" i="48"/>
  <c r="R40" i="48"/>
  <c r="S40" i="48"/>
  <c r="T40" i="48"/>
  <c r="U40" i="48"/>
  <c r="D41" i="48"/>
  <c r="E41" i="48"/>
  <c r="F41" i="48"/>
  <c r="G41" i="48"/>
  <c r="N41" i="48"/>
  <c r="O41" i="48"/>
  <c r="P41" i="48"/>
  <c r="Q41" i="48"/>
  <c r="R41" i="48"/>
  <c r="S41" i="48"/>
  <c r="T41" i="48"/>
  <c r="U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D45" i="48"/>
  <c r="E45" i="48"/>
  <c r="F45" i="48"/>
  <c r="G45" i="48"/>
  <c r="N45" i="48"/>
  <c r="O45" i="48"/>
  <c r="P45" i="48"/>
  <c r="Q45" i="48"/>
  <c r="R45" i="48"/>
  <c r="S45" i="48"/>
  <c r="T45" i="48"/>
  <c r="U45" i="48"/>
  <c r="D47" i="48"/>
  <c r="E47" i="48"/>
  <c r="F47" i="48"/>
  <c r="G47" i="48"/>
  <c r="N47" i="48"/>
  <c r="O47" i="48"/>
  <c r="P47" i="48"/>
  <c r="Q47" i="48"/>
  <c r="R47" i="48"/>
  <c r="S47" i="48"/>
  <c r="T47" i="48"/>
  <c r="U47" i="48"/>
  <c r="D49" i="48"/>
  <c r="E49" i="48"/>
  <c r="F49" i="48"/>
  <c r="G49" i="48"/>
  <c r="N49" i="48"/>
  <c r="O49" i="48"/>
  <c r="P49" i="48"/>
  <c r="Q49" i="48"/>
  <c r="R49" i="48"/>
  <c r="S49" i="48"/>
  <c r="T49" i="48"/>
  <c r="U49" i="48"/>
  <c r="D51" i="48"/>
  <c r="E51" i="48"/>
  <c r="F51" i="48"/>
  <c r="G51" i="48"/>
  <c r="N51" i="48"/>
  <c r="O51" i="48"/>
  <c r="P51" i="48"/>
  <c r="Q51" i="48"/>
  <c r="R51" i="48"/>
  <c r="S51" i="48"/>
  <c r="T51" i="48"/>
  <c r="U51" i="48"/>
  <c r="D54" i="48"/>
  <c r="E54" i="48"/>
  <c r="F54" i="48"/>
  <c r="G54" i="48"/>
  <c r="I54" i="48"/>
  <c r="K54" i="48"/>
  <c r="N54" i="48"/>
  <c r="O54" i="48"/>
  <c r="P54" i="48"/>
  <c r="Q54" i="48"/>
  <c r="R54" i="48"/>
  <c r="S54" i="48"/>
  <c r="T54" i="48"/>
  <c r="U54" i="48"/>
  <c r="D55" i="48"/>
  <c r="E55" i="48"/>
  <c r="F55" i="48"/>
  <c r="G55" i="48"/>
  <c r="N55" i="48"/>
  <c r="O55" i="48"/>
  <c r="P55" i="48"/>
  <c r="Q55" i="48"/>
  <c r="R55" i="48"/>
  <c r="S55" i="48"/>
  <c r="T55" i="48"/>
  <c r="U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D59" i="48"/>
  <c r="E59" i="48"/>
  <c r="F59" i="48"/>
  <c r="G59" i="48"/>
  <c r="N59" i="48"/>
  <c r="O59" i="48"/>
  <c r="P59" i="48"/>
  <c r="Q59" i="48"/>
  <c r="R59" i="48"/>
  <c r="S59" i="48"/>
  <c r="T59" i="48"/>
  <c r="U59" i="48"/>
  <c r="D60" i="48"/>
  <c r="E60" i="48"/>
  <c r="F60" i="48"/>
  <c r="G60" i="48"/>
  <c r="N60" i="48"/>
  <c r="O60" i="48"/>
  <c r="P60" i="48"/>
  <c r="Q60" i="48"/>
  <c r="R60" i="48"/>
  <c r="S60" i="48"/>
  <c r="T60" i="48"/>
  <c r="U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D64" i="48"/>
  <c r="E64" i="48"/>
  <c r="F64" i="48"/>
  <c r="G64" i="48"/>
  <c r="N64" i="48"/>
  <c r="O64" i="48"/>
  <c r="P64" i="48"/>
  <c r="Q64" i="48"/>
  <c r="R64" i="48"/>
  <c r="S64" i="48"/>
  <c r="T64" i="48"/>
  <c r="U64" i="48"/>
  <c r="D65" i="48"/>
  <c r="E65" i="48"/>
  <c r="F65" i="48"/>
  <c r="G65" i="48"/>
  <c r="N65" i="48"/>
  <c r="O65" i="48"/>
  <c r="P65" i="48"/>
  <c r="Q65" i="48"/>
  <c r="R65" i="48"/>
  <c r="S65" i="48"/>
  <c r="T65" i="48"/>
  <c r="U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D70" i="48"/>
  <c r="E70" i="48"/>
  <c r="F70" i="48"/>
  <c r="G70" i="48"/>
  <c r="N70" i="48"/>
  <c r="O70" i="48"/>
  <c r="P70" i="48"/>
  <c r="Q70" i="48"/>
  <c r="R70" i="48"/>
  <c r="S70" i="48"/>
  <c r="T70" i="48"/>
  <c r="U70" i="48"/>
  <c r="D71" i="48"/>
  <c r="E71" i="48"/>
  <c r="F71" i="48"/>
  <c r="G71" i="48"/>
  <c r="N71" i="48"/>
  <c r="O71" i="48"/>
  <c r="P71" i="48"/>
  <c r="Q71" i="48"/>
  <c r="R71" i="48"/>
  <c r="S71" i="48"/>
  <c r="T71" i="48"/>
  <c r="U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D73" i="48"/>
  <c r="E73" i="48"/>
  <c r="F73" i="48"/>
  <c r="G73" i="48"/>
  <c r="N73" i="48"/>
  <c r="O73" i="48"/>
  <c r="P73" i="48"/>
  <c r="Q73" i="48"/>
  <c r="R73" i="48"/>
  <c r="S73" i="48"/>
  <c r="T73" i="48"/>
  <c r="U73" i="48"/>
  <c r="D74" i="48"/>
  <c r="E74" i="48"/>
  <c r="F74" i="48"/>
  <c r="G74" i="48"/>
  <c r="N74" i="48"/>
  <c r="O74" i="48"/>
  <c r="P74" i="48"/>
  <c r="Q74" i="48"/>
  <c r="R74" i="48"/>
  <c r="S74" i="48"/>
  <c r="T74" i="48"/>
  <c r="U74" i="48"/>
  <c r="D75" i="48"/>
  <c r="E75" i="48"/>
  <c r="F75" i="48"/>
  <c r="G75" i="48"/>
  <c r="N75" i="48"/>
  <c r="O75" i="48"/>
  <c r="P75" i="48"/>
  <c r="Q75" i="48"/>
  <c r="R75" i="48"/>
  <c r="S75" i="48"/>
  <c r="T75" i="48"/>
  <c r="U75" i="48"/>
  <c r="D76" i="48"/>
  <c r="E76" i="48"/>
  <c r="F76" i="48"/>
  <c r="G76" i="48"/>
  <c r="N76" i="48"/>
  <c r="O76" i="48"/>
  <c r="P76" i="48"/>
  <c r="Q76" i="48"/>
  <c r="R76" i="48"/>
  <c r="S76" i="48"/>
  <c r="T76" i="48"/>
  <c r="U76" i="48"/>
  <c r="D77" i="48"/>
  <c r="E77" i="48"/>
  <c r="F77" i="48"/>
  <c r="G77" i="48"/>
  <c r="N77" i="48"/>
  <c r="O77" i="48"/>
  <c r="P77" i="48"/>
  <c r="Q77" i="48"/>
  <c r="R77" i="48"/>
  <c r="S77" i="48"/>
  <c r="T77" i="48"/>
  <c r="U77" i="48"/>
  <c r="D78" i="48"/>
  <c r="E78" i="48"/>
  <c r="F78" i="48"/>
  <c r="G78" i="48"/>
  <c r="N78" i="48"/>
  <c r="O78" i="48"/>
  <c r="P78" i="48"/>
  <c r="Q78" i="48"/>
  <c r="R78" i="48"/>
  <c r="S78" i="48"/>
  <c r="T78" i="48"/>
  <c r="U78" i="48"/>
  <c r="D79" i="48"/>
  <c r="E79" i="48"/>
  <c r="F79" i="48"/>
  <c r="G79" i="48"/>
  <c r="N79" i="48"/>
  <c r="O79" i="48"/>
  <c r="P79" i="48"/>
  <c r="Q79" i="48"/>
  <c r="R79" i="48"/>
  <c r="S79" i="48"/>
  <c r="T79" i="48"/>
  <c r="U79" i="48"/>
  <c r="D80" i="48"/>
  <c r="E80" i="48"/>
  <c r="F80" i="48"/>
  <c r="G80" i="48"/>
  <c r="N80" i="48"/>
  <c r="O80" i="48"/>
  <c r="P80" i="48"/>
  <c r="Q80" i="48"/>
  <c r="R80" i="48"/>
  <c r="S80" i="48"/>
  <c r="T80" i="48"/>
  <c r="U80" i="48"/>
  <c r="D81" i="48"/>
  <c r="E81" i="48"/>
  <c r="F81" i="48"/>
  <c r="G81" i="48"/>
  <c r="N81" i="48"/>
  <c r="O81" i="48"/>
  <c r="P81" i="48"/>
  <c r="Q81" i="48"/>
  <c r="R81" i="48"/>
  <c r="S81" i="48"/>
  <c r="T81" i="48"/>
  <c r="U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V8" i="22"/>
  <c r="X8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V8" i="29"/>
  <c r="X8" i="29"/>
  <c r="Z8" i="29"/>
  <c r="AB8" i="29"/>
  <c r="AD8" i="29"/>
  <c r="D11" i="29"/>
  <c r="E11" i="29"/>
  <c r="F11" i="29"/>
  <c r="G11" i="29"/>
  <c r="H11" i="29"/>
  <c r="I11" i="29"/>
  <c r="J11" i="29"/>
  <c r="K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J19" i="29"/>
  <c r="K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V8" i="24"/>
  <c r="X8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V8" i="21"/>
  <c r="X8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V8" i="23"/>
  <c r="X8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V8" i="31"/>
  <c r="X8" i="31"/>
  <c r="Z8" i="31"/>
  <c r="AB8" i="31"/>
  <c r="AD8" i="31"/>
  <c r="D11" i="31"/>
  <c r="E11" i="31"/>
  <c r="F11" i="31"/>
  <c r="G11" i="31"/>
  <c r="H11" i="31"/>
  <c r="I11" i="31"/>
  <c r="J11" i="31"/>
  <c r="K11" i="31"/>
  <c r="N11" i="31"/>
  <c r="O11" i="31"/>
  <c r="P11" i="31"/>
  <c r="Q11" i="31"/>
  <c r="R11" i="31"/>
  <c r="S11" i="31"/>
  <c r="T11" i="31"/>
  <c r="U11" i="31"/>
  <c r="D12" i="31"/>
  <c r="E12" i="31"/>
  <c r="F12" i="31"/>
  <c r="G12" i="31"/>
  <c r="L12" i="31"/>
  <c r="M12" i="31"/>
  <c r="N12" i="31"/>
  <c r="O12" i="31"/>
  <c r="P12" i="31"/>
  <c r="Q12" i="31"/>
  <c r="R12" i="31"/>
  <c r="S12" i="31"/>
  <c r="T12" i="31"/>
  <c r="U12" i="31"/>
  <c r="D13" i="31"/>
  <c r="E13" i="31"/>
  <c r="F13" i="31"/>
  <c r="G13" i="31"/>
  <c r="N13" i="31"/>
  <c r="O13" i="31"/>
  <c r="P13" i="31"/>
  <c r="Q13" i="31"/>
  <c r="R13" i="31"/>
  <c r="S13" i="31"/>
  <c r="T13" i="31"/>
  <c r="U13" i="31"/>
  <c r="D14" i="31"/>
  <c r="E14" i="31"/>
  <c r="F14" i="31"/>
  <c r="G14" i="31"/>
  <c r="L14" i="31"/>
  <c r="M14" i="31"/>
  <c r="N14" i="31"/>
  <c r="O14" i="31"/>
  <c r="P14" i="31"/>
  <c r="Q14" i="31"/>
  <c r="R14" i="31"/>
  <c r="S14" i="31"/>
  <c r="T14" i="31"/>
  <c r="U14" i="31"/>
  <c r="D15" i="31"/>
  <c r="E15" i="31"/>
  <c r="F15" i="31"/>
  <c r="G15" i="31"/>
  <c r="L15" i="31"/>
  <c r="M15" i="31"/>
  <c r="N15" i="31"/>
  <c r="O15" i="31"/>
  <c r="P15" i="31"/>
  <c r="Q15" i="31"/>
  <c r="R15" i="31"/>
  <c r="S15" i="31"/>
  <c r="T15" i="31"/>
  <c r="U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J19" i="31"/>
  <c r="K19" i="31"/>
  <c r="M19" i="31"/>
  <c r="N19" i="31"/>
  <c r="O19" i="31"/>
  <c r="P19" i="31"/>
  <c r="Q19" i="31"/>
  <c r="R19" i="31"/>
  <c r="S19" i="31"/>
  <c r="T19" i="31"/>
  <c r="U19" i="31"/>
  <c r="D20" i="31"/>
  <c r="E20" i="31"/>
  <c r="F20" i="31"/>
  <c r="G20" i="31"/>
  <c r="L20" i="31"/>
  <c r="M20" i="31"/>
  <c r="N20" i="31"/>
  <c r="O20" i="31"/>
  <c r="P20" i="31"/>
  <c r="Q20" i="31"/>
  <c r="R20" i="31"/>
  <c r="S20" i="31"/>
  <c r="T20" i="31"/>
  <c r="U20" i="31"/>
  <c r="D21" i="31"/>
  <c r="E21" i="31"/>
  <c r="F21" i="31"/>
  <c r="G21" i="31"/>
  <c r="N21" i="31"/>
  <c r="O21" i="31"/>
  <c r="P21" i="31"/>
  <c r="Q21" i="31"/>
  <c r="R21" i="31"/>
  <c r="S21" i="31"/>
  <c r="T21" i="31"/>
  <c r="U21" i="31"/>
  <c r="D22" i="31"/>
  <c r="E22" i="31"/>
  <c r="F22" i="31"/>
  <c r="G22" i="31"/>
  <c r="L22" i="31"/>
  <c r="M22" i="31"/>
  <c r="N22" i="31"/>
  <c r="O22" i="31"/>
  <c r="P22" i="31"/>
  <c r="Q22" i="31"/>
  <c r="R22" i="31"/>
  <c r="S22" i="31"/>
  <c r="T22" i="31"/>
  <c r="U22" i="31"/>
  <c r="D23" i="31"/>
  <c r="E23" i="31"/>
  <c r="F23" i="31"/>
  <c r="G23" i="31"/>
  <c r="L23" i="31"/>
  <c r="M23" i="31"/>
  <c r="N23" i="31"/>
  <c r="O23" i="31"/>
  <c r="P23" i="31"/>
  <c r="Q23" i="31"/>
  <c r="R23" i="31"/>
  <c r="S23" i="31"/>
  <c r="T23" i="31"/>
  <c r="U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L27" i="31"/>
  <c r="M27" i="31"/>
  <c r="N27" i="31"/>
  <c r="O27" i="31"/>
  <c r="P27" i="31"/>
  <c r="Q27" i="31"/>
  <c r="R27" i="31"/>
  <c r="S27" i="31"/>
  <c r="T27" i="31"/>
  <c r="U27" i="31"/>
  <c r="D28" i="31"/>
  <c r="E28" i="31"/>
  <c r="F28" i="31"/>
  <c r="G28" i="31"/>
  <c r="L28" i="31"/>
  <c r="M28" i="31"/>
  <c r="N28" i="31"/>
  <c r="O28" i="31"/>
  <c r="P28" i="31"/>
  <c r="Q28" i="31"/>
  <c r="R28" i="31"/>
  <c r="S28" i="31"/>
  <c r="T28" i="31"/>
  <c r="U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N32" i="31"/>
  <c r="O32" i="31"/>
  <c r="P32" i="31"/>
  <c r="Q32" i="31"/>
  <c r="R32" i="31"/>
  <c r="S32" i="31"/>
  <c r="T32" i="31"/>
  <c r="U32" i="31"/>
  <c r="D33" i="31"/>
  <c r="E33" i="31"/>
  <c r="F33" i="31"/>
  <c r="G33" i="31"/>
  <c r="L33" i="31"/>
  <c r="M33" i="31"/>
  <c r="N33" i="31"/>
  <c r="O33" i="31"/>
  <c r="P33" i="31"/>
  <c r="Q33" i="31"/>
  <c r="R33" i="31"/>
  <c r="S33" i="31"/>
  <c r="T33" i="31"/>
  <c r="U33" i="31"/>
  <c r="D34" i="31"/>
  <c r="E34" i="31"/>
  <c r="F34" i="31"/>
  <c r="G34" i="31"/>
  <c r="L34" i="31"/>
  <c r="M34" i="31"/>
  <c r="N34" i="31"/>
  <c r="O34" i="31"/>
  <c r="P34" i="31"/>
  <c r="Q34" i="31"/>
  <c r="R34" i="31"/>
  <c r="S34" i="31"/>
  <c r="T34" i="31"/>
  <c r="U34" i="31"/>
  <c r="D35" i="31"/>
  <c r="E35" i="31"/>
  <c r="F35" i="31"/>
  <c r="G35" i="31"/>
  <c r="L35" i="31"/>
  <c r="M35" i="31"/>
  <c r="N35" i="31"/>
  <c r="O35" i="31"/>
  <c r="P35" i="31"/>
  <c r="Q35" i="31"/>
  <c r="R35" i="31"/>
  <c r="S35" i="31"/>
  <c r="T35" i="31"/>
  <c r="U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L39" i="31"/>
  <c r="M39" i="31"/>
  <c r="N39" i="31"/>
  <c r="O39" i="31"/>
  <c r="P39" i="31"/>
  <c r="Q39" i="31"/>
  <c r="R39" i="31"/>
  <c r="S39" i="31"/>
  <c r="T39" i="31"/>
  <c r="U39" i="31"/>
  <c r="D40" i="31"/>
  <c r="E40" i="31"/>
  <c r="F40" i="31"/>
  <c r="G40" i="31"/>
  <c r="L40" i="31"/>
  <c r="M40" i="31"/>
  <c r="N40" i="31"/>
  <c r="O40" i="31"/>
  <c r="P40" i="31"/>
  <c r="Q40" i="31"/>
  <c r="R40" i="31"/>
  <c r="S40" i="31"/>
  <c r="T40" i="31"/>
  <c r="U40" i="31"/>
  <c r="D41" i="31"/>
  <c r="E41" i="31"/>
  <c r="F41" i="31"/>
  <c r="G41" i="31"/>
  <c r="L41" i="31"/>
  <c r="M41" i="31"/>
  <c r="N41" i="31"/>
  <c r="O41" i="31"/>
  <c r="P41" i="31"/>
  <c r="Q41" i="31"/>
  <c r="R41" i="31"/>
  <c r="S41" i="31"/>
  <c r="T41" i="31"/>
  <c r="U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L45" i="31"/>
  <c r="M45" i="31"/>
  <c r="N45" i="31"/>
  <c r="O45" i="31"/>
  <c r="P45" i="31"/>
  <c r="Q45" i="31"/>
  <c r="R45" i="31"/>
  <c r="S45" i="31"/>
  <c r="T45" i="31"/>
  <c r="U45" i="31"/>
  <c r="D47" i="31"/>
  <c r="E47" i="31"/>
  <c r="F47" i="31"/>
  <c r="G47" i="31"/>
  <c r="L47" i="31"/>
  <c r="M47" i="31"/>
  <c r="N47" i="31"/>
  <c r="O47" i="31"/>
  <c r="P47" i="31"/>
  <c r="Q47" i="31"/>
  <c r="R47" i="31"/>
  <c r="S47" i="31"/>
  <c r="T47" i="31"/>
  <c r="U47" i="31"/>
  <c r="D49" i="31"/>
  <c r="E49" i="31"/>
  <c r="F49" i="31"/>
  <c r="G49" i="31"/>
  <c r="N49" i="31"/>
  <c r="O49" i="31"/>
  <c r="P49" i="31"/>
  <c r="Q49" i="31"/>
  <c r="R49" i="31"/>
  <c r="S49" i="31"/>
  <c r="T49" i="31"/>
  <c r="U49" i="31"/>
  <c r="D51" i="31"/>
  <c r="E51" i="31"/>
  <c r="F51" i="31"/>
  <c r="G51" i="31"/>
  <c r="L51" i="31"/>
  <c r="M51" i="31"/>
  <c r="N51" i="31"/>
  <c r="O51" i="31"/>
  <c r="P51" i="31"/>
  <c r="Q51" i="31"/>
  <c r="R51" i="31"/>
  <c r="S51" i="31"/>
  <c r="T51" i="31"/>
  <c r="U51" i="31"/>
  <c r="D54" i="31"/>
  <c r="E54" i="31"/>
  <c r="F54" i="31"/>
  <c r="G54" i="31"/>
  <c r="M54" i="31"/>
  <c r="N54" i="31"/>
  <c r="O54" i="31"/>
  <c r="P54" i="31"/>
  <c r="Q54" i="31"/>
  <c r="R54" i="31"/>
  <c r="S54" i="31"/>
  <c r="T54" i="31"/>
  <c r="U54" i="31"/>
  <c r="D55" i="31"/>
  <c r="E55" i="31"/>
  <c r="F55" i="31"/>
  <c r="G55" i="31"/>
  <c r="L55" i="31"/>
  <c r="M55" i="31"/>
  <c r="N55" i="31"/>
  <c r="O55" i="31"/>
  <c r="P55" i="31"/>
  <c r="Q55" i="31"/>
  <c r="R55" i="31"/>
  <c r="S55" i="31"/>
  <c r="T55" i="31"/>
  <c r="U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L59" i="31"/>
  <c r="M59" i="31"/>
  <c r="N59" i="31"/>
  <c r="O59" i="31"/>
  <c r="P59" i="31"/>
  <c r="Q59" i="31"/>
  <c r="R59" i="31"/>
  <c r="S59" i="31"/>
  <c r="T59" i="31"/>
  <c r="U59" i="31"/>
  <c r="D60" i="31"/>
  <c r="E60" i="31"/>
  <c r="F60" i="31"/>
  <c r="G60" i="31"/>
  <c r="L60" i="31"/>
  <c r="M60" i="31"/>
  <c r="N60" i="31"/>
  <c r="O60" i="31"/>
  <c r="P60" i="31"/>
  <c r="Q60" i="31"/>
  <c r="R60" i="31"/>
  <c r="S60" i="31"/>
  <c r="T60" i="31"/>
  <c r="U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L64" i="31"/>
  <c r="M64" i="31"/>
  <c r="N64" i="31"/>
  <c r="O64" i="31"/>
  <c r="P64" i="31"/>
  <c r="Q64" i="31"/>
  <c r="R64" i="31"/>
  <c r="S64" i="31"/>
  <c r="T64" i="31"/>
  <c r="U64" i="31"/>
  <c r="D65" i="31"/>
  <c r="E65" i="31"/>
  <c r="F65" i="31"/>
  <c r="G65" i="31"/>
  <c r="L65" i="31"/>
  <c r="M65" i="31"/>
  <c r="N65" i="31"/>
  <c r="O65" i="31"/>
  <c r="P65" i="31"/>
  <c r="Q65" i="31"/>
  <c r="R65" i="31"/>
  <c r="S65" i="31"/>
  <c r="T65" i="31"/>
  <c r="U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L70" i="31"/>
  <c r="M70" i="31"/>
  <c r="N70" i="31"/>
  <c r="O70" i="31"/>
  <c r="P70" i="31"/>
  <c r="Q70" i="31"/>
  <c r="R70" i="31"/>
  <c r="S70" i="31"/>
  <c r="T70" i="31"/>
  <c r="U70" i="31"/>
  <c r="D71" i="31"/>
  <c r="E71" i="31"/>
  <c r="F71" i="31"/>
  <c r="G71" i="31"/>
  <c r="L71" i="31"/>
  <c r="M71" i="31"/>
  <c r="N71" i="31"/>
  <c r="O71" i="31"/>
  <c r="P71" i="31"/>
  <c r="Q71" i="31"/>
  <c r="R71" i="31"/>
  <c r="S71" i="31"/>
  <c r="T71" i="31"/>
  <c r="U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L73" i="31"/>
  <c r="M73" i="31"/>
  <c r="N73" i="31"/>
  <c r="O73" i="31"/>
  <c r="P73" i="31"/>
  <c r="Q73" i="31"/>
  <c r="R73" i="31"/>
  <c r="S73" i="31"/>
  <c r="T73" i="31"/>
  <c r="U73" i="31"/>
  <c r="D74" i="31"/>
  <c r="E74" i="31"/>
  <c r="F74" i="31"/>
  <c r="G74" i="31"/>
  <c r="L74" i="31"/>
  <c r="M74" i="31"/>
  <c r="N74" i="31"/>
  <c r="O74" i="31"/>
  <c r="P74" i="31"/>
  <c r="Q74" i="31"/>
  <c r="R74" i="31"/>
  <c r="S74" i="31"/>
  <c r="T74" i="31"/>
  <c r="D75" i="31"/>
  <c r="E75" i="31"/>
  <c r="F75" i="31"/>
  <c r="G75" i="31"/>
  <c r="L75" i="31"/>
  <c r="M75" i="31"/>
  <c r="N75" i="31"/>
  <c r="O75" i="31"/>
  <c r="P75" i="31"/>
  <c r="Q75" i="31"/>
  <c r="R75" i="31"/>
  <c r="S75" i="31"/>
  <c r="T75" i="31"/>
  <c r="U75" i="31"/>
  <c r="D76" i="31"/>
  <c r="E76" i="31"/>
  <c r="F76" i="31"/>
  <c r="G76" i="31"/>
  <c r="L76" i="31"/>
  <c r="M76" i="31"/>
  <c r="N76" i="31"/>
  <c r="O76" i="31"/>
  <c r="P76" i="31"/>
  <c r="Q76" i="31"/>
  <c r="R76" i="31"/>
  <c r="S76" i="31"/>
  <c r="T76" i="31"/>
  <c r="U76" i="31"/>
  <c r="D77" i="31"/>
  <c r="E77" i="31"/>
  <c r="F77" i="31"/>
  <c r="G77" i="31"/>
  <c r="L77" i="31"/>
  <c r="M77" i="31"/>
  <c r="N77" i="31"/>
  <c r="O77" i="31"/>
  <c r="P77" i="31"/>
  <c r="Q77" i="31"/>
  <c r="R77" i="31"/>
  <c r="S77" i="31"/>
  <c r="T77" i="31"/>
  <c r="U77" i="31"/>
  <c r="D78" i="31"/>
  <c r="E78" i="31"/>
  <c r="F78" i="31"/>
  <c r="G78" i="31"/>
  <c r="L78" i="31"/>
  <c r="M78" i="31"/>
  <c r="N78" i="31"/>
  <c r="O78" i="31"/>
  <c r="P78" i="31"/>
  <c r="Q78" i="31"/>
  <c r="R78" i="31"/>
  <c r="S78" i="31"/>
  <c r="T78" i="31"/>
  <c r="U78" i="31"/>
  <c r="D79" i="31"/>
  <c r="E79" i="31"/>
  <c r="F79" i="31"/>
  <c r="G79" i="31"/>
  <c r="L79" i="31"/>
  <c r="M79" i="31"/>
  <c r="N79" i="31"/>
  <c r="O79" i="31"/>
  <c r="P79" i="31"/>
  <c r="Q79" i="31"/>
  <c r="R79" i="31"/>
  <c r="S79" i="31"/>
  <c r="T79" i="31"/>
  <c r="U79" i="31"/>
  <c r="D80" i="31"/>
  <c r="E80" i="31"/>
  <c r="F80" i="31"/>
  <c r="G80" i="31"/>
  <c r="L80" i="31"/>
  <c r="M80" i="31"/>
  <c r="N80" i="31"/>
  <c r="O80" i="31"/>
  <c r="P80" i="31"/>
  <c r="Q80" i="31"/>
  <c r="R80" i="31"/>
  <c r="S80" i="31"/>
  <c r="T80" i="31"/>
  <c r="U80" i="31"/>
  <c r="D81" i="31"/>
  <c r="E81" i="31"/>
  <c r="F81" i="31"/>
  <c r="G81" i="31"/>
  <c r="L81" i="31"/>
  <c r="M81" i="31"/>
  <c r="N81" i="31"/>
  <c r="O81" i="31"/>
  <c r="P81" i="31"/>
  <c r="Q81" i="31"/>
  <c r="R81" i="31"/>
  <c r="S81" i="31"/>
  <c r="T81" i="31"/>
  <c r="U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O11" i="6"/>
  <c r="AC11" i="6"/>
  <c r="D12" i="6"/>
  <c r="E12" i="6"/>
  <c r="D13" i="6"/>
  <c r="E13" i="6"/>
  <c r="D14" i="6"/>
  <c r="E14" i="6"/>
  <c r="D15" i="6"/>
  <c r="E15" i="6"/>
  <c r="I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O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I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O74" i="6"/>
  <c r="U74" i="6"/>
  <c r="W74" i="6"/>
  <c r="Y74" i="6"/>
  <c r="AC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I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V8" i="30"/>
  <c r="X8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K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K12" i="7"/>
  <c r="Q12" i="7"/>
  <c r="U12" i="7"/>
  <c r="W12" i="7"/>
  <c r="AA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G20" i="7"/>
  <c r="K20" i="7"/>
  <c r="Q20" i="7"/>
  <c r="U20" i="7"/>
  <c r="AA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U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Q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W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100" i="7"/>
  <c r="E10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V8" i="27"/>
  <c r="X8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V8" i="25"/>
  <c r="X8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L20" i="25"/>
  <c r="M20" i="25"/>
  <c r="N20" i="25"/>
  <c r="P20" i="25"/>
  <c r="R20" i="25"/>
  <c r="T20" i="25"/>
  <c r="V20" i="25"/>
  <c r="W20" i="25"/>
  <c r="X20" i="25"/>
  <c r="Y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V8" i="46"/>
  <c r="X8" i="46"/>
  <c r="Z8" i="46"/>
  <c r="AB8" i="46"/>
  <c r="AD8" i="46"/>
  <c r="D11" i="46"/>
  <c r="E11" i="46"/>
  <c r="F11" i="46"/>
  <c r="G11" i="46"/>
  <c r="V11" i="46"/>
  <c r="W11" i="46"/>
  <c r="X11" i="46"/>
  <c r="Y11" i="46"/>
  <c r="Z11" i="46"/>
  <c r="AA11" i="46"/>
  <c r="AB11" i="46"/>
  <c r="AC11" i="46"/>
  <c r="AD11" i="46"/>
  <c r="AE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V19" i="46"/>
  <c r="W19" i="46"/>
  <c r="X19" i="46"/>
  <c r="Y19" i="46"/>
  <c r="Z19" i="46"/>
  <c r="AA19" i="46"/>
  <c r="AB19" i="46"/>
  <c r="AC19" i="46"/>
  <c r="AD19" i="46"/>
  <c r="AE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M27" i="46"/>
  <c r="V27" i="46"/>
  <c r="W27" i="46"/>
  <c r="X27" i="46"/>
  <c r="Y27" i="46"/>
  <c r="Z27" i="46"/>
  <c r="AA27" i="46"/>
  <c r="AB27" i="46"/>
  <c r="AC27" i="46"/>
  <c r="AD27" i="46"/>
  <c r="AE27" i="46"/>
  <c r="D28" i="46"/>
  <c r="E28" i="46"/>
  <c r="F28" i="46"/>
  <c r="G28" i="46"/>
  <c r="V28" i="46"/>
  <c r="W28" i="46"/>
  <c r="X28" i="46"/>
  <c r="Y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V32" i="46"/>
  <c r="W32" i="46"/>
  <c r="X32" i="46"/>
  <c r="Y32" i="46"/>
  <c r="Z32" i="46"/>
  <c r="AA32" i="46"/>
  <c r="AB32" i="46"/>
  <c r="AC32" i="46"/>
  <c r="AD32" i="46"/>
  <c r="AE32" i="46"/>
  <c r="D33" i="46"/>
  <c r="E33" i="46"/>
  <c r="F33" i="46"/>
  <c r="G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V39" i="46"/>
  <c r="W39" i="46"/>
  <c r="X39" i="46"/>
  <c r="Y39" i="46"/>
  <c r="Z39" i="46"/>
  <c r="AA39" i="46"/>
  <c r="AB39" i="46"/>
  <c r="AC39" i="46"/>
  <c r="AD39" i="46"/>
  <c r="AE39" i="46"/>
  <c r="D40" i="46"/>
  <c r="E40" i="46"/>
  <c r="F40" i="46"/>
  <c r="G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N41" i="46"/>
  <c r="O41" i="46"/>
  <c r="P41" i="46"/>
  <c r="Q41" i="46"/>
  <c r="R41" i="46"/>
  <c r="V41" i="46"/>
  <c r="W41" i="46"/>
  <c r="X41" i="46"/>
  <c r="Y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N47" i="46"/>
  <c r="O47" i="46"/>
  <c r="V47" i="46"/>
  <c r="W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V49" i="46"/>
  <c r="W49" i="46"/>
  <c r="X49" i="46"/>
  <c r="Y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J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J59" i="46"/>
  <c r="K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K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K64" i="46"/>
  <c r="N64" i="46"/>
  <c r="O64" i="46"/>
  <c r="V64" i="46"/>
  <c r="W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N65" i="46"/>
  <c r="O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V8" i="26"/>
  <c r="X8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V8" i="28"/>
  <c r="X8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P20" i="28"/>
  <c r="R20" i="28"/>
  <c r="T20" i="28"/>
  <c r="V20" i="28"/>
  <c r="W20" i="28"/>
  <c r="X20" i="28"/>
  <c r="Y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M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<sst xmlns="http://schemas.openxmlformats.org/spreadsheetml/2006/main" count="5307" uniqueCount="207">
  <si>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</si>
  <si>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</si>
  <si>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</si>
  <si>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</si>
  <si>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</si>
  <si>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</si>
  <si>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</si>
  <si>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</si>
  <si>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</si>
  <si>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</si>
  <si>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</si>
  <si>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</si>
  <si>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</si>
  <si>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</si>
  <si>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</si>
  <si>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</si>
  <si>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</si>
  <si>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</si>
  <si>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</si>
  <si>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</si>
  <si>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</si>
  <si>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</si>
  <si>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</si>
  <si>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</si>
  <si>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</si>
  <si>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</si>
  <si>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</si>
  <si>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</si>
  <si>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</si>
  <si>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</si>
  <si>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</si>
  <si>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</si>
  <si>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</si>
  <si>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</si>
  <si>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</si>
  <si>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</si>
  <si>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</si>
  <si>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</si>
  <si>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</si>
  <si>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</si>
  <si>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</si>
  <si>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</si>
  <si>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</si>
  <si>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</si>
  <si>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</si>
  <si>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</si>
  <si>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</si>
  <si>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</si>
  <si>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</si>
  <si>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</si>
  <si>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</si>
  <si>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</si>
  <si>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</si>
  <si>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</si>
  <si>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</si>
  <si>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</si>
  <si>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</si>
  <si>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</si>
  <si>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</si>
  <si>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</si>
  <si>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</si>
  <si>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</si>
  <si>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</si>
  <si>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</si>
  <si>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</si>
  <si>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</si>
  <si>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</si>
  <si>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</si>
  <si>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</si>
  <si>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</si>
  <si>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</si>
  <si>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</si>
  <si>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</si>
  <si>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</si>
  <si>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</si>
  <si>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</si>
  <si>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</si>
  <si>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</si>
  <si>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</si>
  <si>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</si>
  <si>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</si>
  <si>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</si>
  <si>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</si>
  <si>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</si>
  <si>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</si>
  <si>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</si>
  <si>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</si>
  <si>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</si>
  <si>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</si>
  <si>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</si>
  <si>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</si>
  <si>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</si>
  <si>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</si>
  <si>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</si>
  <si>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</si>
  <si>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</si>
  <si>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</si>
  <si>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</si>
  <si>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</si>
  <si>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</si>
  <si>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</si>
  <si>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</si>
  <si>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</si>
  <si>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</si>
  <si>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</si>
  <si>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</si>
  <si>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</si>
  <si>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</si>
  <si>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</si>
  <si>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</si>
  <si>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</si>
  <si>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</si>
  <si>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</si>
  <si>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</si>
  <si>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</si>
  <si>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</si>
  <si>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</si>
  <si>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</si>
  <si>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</si>
  <si>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</si>
  <si>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</si>
  <si>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</si>
  <si>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</si>
  <si>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</si>
  <si>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</si>
  <si>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</si>
  <si>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</si>
  <si>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</si>
  <si>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</si>
  <si>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</si>
  <si>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</si>
  <si>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</si>
  <si>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</si>
  <si>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</si>
  <si>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</si>
  <si>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</si>
  <si>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</si>
  <si>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</si>
  <si>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</si>
  <si>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</si>
  <si>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</si>
  <si>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</si>
  <si>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</si>
  <si>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</si>
  <si>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</si>
  <si>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</si>
  <si>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</si>
  <si>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</si>
  <si>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</si>
  <si>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</si>
  <si>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</si>
  <si>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</si>
  <si>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</si>
  <si>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</si>
  <si>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</si>
  <si>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</si>
  <si>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</si>
  <si>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</si>
  <si>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</si>
  <si>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</si>
  <si>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</si>
  <si>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</si>
  <si>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</si>
  <si>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</si>
  <si>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</si>
  <si>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</si>
  <si>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</si>
  <si>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</si>
  <si>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</si>
  <si>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</si>
  <si>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</si>
  <si>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</si>
  <si>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</si>
  <si>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</si>
  <si>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</si>
  <si>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</si>
  <si>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</si>
  <si>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</si>
  <si>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</si>
  <si>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</si>
  <si>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</si>
  <si>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</si>
  <si>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</si>
  <si>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</si>
  <si>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</si>
  <si>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</si>
  <si>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</si>
  <si>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</si>
  <si>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</si>
  <si>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October</t>
  </si>
  <si>
    <t>Aruba</t>
  </si>
  <si>
    <t>November</t>
  </si>
  <si>
    <t>REGION:  ARUBA</t>
  </si>
  <si>
    <t>REGION: ARUBA</t>
  </si>
  <si>
    <t>Consolidated Flash</t>
  </si>
  <si>
    <t>9910V</t>
  </si>
  <si>
    <t>9910A</t>
  </si>
  <si>
    <t>ARUBA</t>
  </si>
  <si>
    <t>REGION: BUG</t>
  </si>
  <si>
    <t>PRODUCTION MONTH: 9910</t>
  </si>
  <si>
    <t>Unknown</t>
  </si>
  <si>
    <t>December</t>
  </si>
  <si>
    <t>January</t>
  </si>
  <si>
    <t>Cost of Inventory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</si>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</sst>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2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27" fillId="0" borderId="11" xfId="1" applyNumberFormat="1" applyFont="1" applyFill="1" applyBorder="1"/>
    <xf numFmtId="165" fontId="27" fillId="0" borderId="3" xfId="1" applyNumberFormat="1" applyFont="1" applyFill="1" applyBorder="1"/>
    <xf numFmtId="165" fontId="27" fillId="0" borderId="8" xfId="1" applyNumberFormat="1" applyFont="1" applyFill="1" applyBorder="1"/>
    <xf numFmtId="165" fontId="27" fillId="0" borderId="2" xfId="1" applyNumberFormat="1" applyFont="1" applyFill="1" applyBorder="1"/>
    <xf numFmtId="165" fontId="4" fillId="5" borderId="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3">
          <cell r="G53">
            <v>1929400.8599999994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>
            <v>2528000</v>
          </cell>
          <cell r="C14">
            <v>3996000</v>
          </cell>
          <cell r="D14">
            <v>-4449000</v>
          </cell>
          <cell r="E14">
            <v>207000</v>
          </cell>
          <cell r="G14">
            <v>604000</v>
          </cell>
          <cell r="H14">
            <v>917000</v>
          </cell>
          <cell r="I14">
            <v>-4000</v>
          </cell>
          <cell r="J14">
            <v>976000</v>
          </cell>
          <cell r="K14">
            <v>165000</v>
          </cell>
          <cell r="L14">
            <v>971000</v>
          </cell>
          <cell r="M14">
            <v>-219000</v>
          </cell>
          <cell r="O14">
            <v>445000</v>
          </cell>
          <cell r="P14">
            <v>21000</v>
          </cell>
          <cell r="Q14">
            <v>296000</v>
          </cell>
          <cell r="T14">
            <v>6454000</v>
          </cell>
        </row>
        <row r="31">
          <cell r="T31">
            <v>2313988</v>
          </cell>
        </row>
        <row r="48">
          <cell r="B48">
            <v>3335040</v>
          </cell>
          <cell r="C48">
            <v>4414510</v>
          </cell>
          <cell r="D48">
            <v>-4449000</v>
          </cell>
          <cell r="E48">
            <v>207000</v>
          </cell>
          <cell r="G48">
            <v>587168</v>
          </cell>
          <cell r="H48">
            <v>1155888</v>
          </cell>
          <cell r="I48">
            <v>-4000</v>
          </cell>
          <cell r="J48">
            <v>976000</v>
          </cell>
          <cell r="K48">
            <v>165000</v>
          </cell>
          <cell r="L48">
            <v>1073809</v>
          </cell>
          <cell r="M48">
            <v>74187</v>
          </cell>
          <cell r="O48">
            <v>942352</v>
          </cell>
          <cell r="P48">
            <v>21000</v>
          </cell>
          <cell r="Q48">
            <v>269034</v>
          </cell>
          <cell r="T48">
            <v>8767988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0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5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f>'EAST-EGM-FLSH'!D11+'EAST-LRC-FLSH'!D11</f>
        <v>101428083</v>
      </c>
      <c r="E11" s="66">
        <f>'EAST-EGM-FLSH'!E11+'EAST-LRC-FLSH'!E11</f>
        <v>266979184</v>
      </c>
      <c r="F11" s="37">
        <f>H11-D11</f>
        <v>0</v>
      </c>
      <c r="G11" s="37">
        <f>I11-E11</f>
        <v>0</v>
      </c>
      <c r="H11" s="60">
        <f>'EAST-EGM-FLSH'!H11+'EAST-LRC-FLSH'!H11</f>
        <v>101428083</v>
      </c>
      <c r="I11" s="38">
        <f>'EAST-EGM-FLSH'!I11+'EAST-LRC-FLSH'!I11</f>
        <v>266979184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101428083</v>
      </c>
      <c r="M11" s="38">
        <f t="shared" si="0"/>
        <v>266979184</v>
      </c>
    </row>
    <row r="12" spans="1:26" x14ac:dyDescent="0.25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f>'EAST-EGM-FLSH'!D13+'EAST-LRC-FLSH'!D13</f>
        <v>33152422</v>
      </c>
      <c r="E13" s="66">
        <f>'EAST-EGM-FLSH'!E13+'EAST-LRC-FLSH'!E13</f>
        <v>89903041</v>
      </c>
      <c r="F13" s="60">
        <f t="shared" si="1"/>
        <v>0</v>
      </c>
      <c r="G13" s="37">
        <f t="shared" si="1"/>
        <v>0</v>
      </c>
      <c r="H13" s="60">
        <f>'EAST-EGM-FLSH'!H13+'EAST-LRC-FLSH'!H13</f>
        <v>33152422</v>
      </c>
      <c r="I13" s="38">
        <f>'EAST-EGM-FLSH'!I13+'EAST-LRC-FLSH'!I13</f>
        <v>89903041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33152422</v>
      </c>
      <c r="M13" s="38">
        <f t="shared" si="0"/>
        <v>89903041</v>
      </c>
    </row>
    <row r="14" spans="1:26" x14ac:dyDescent="0.25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-48849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-48849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-48849</v>
      </c>
    </row>
    <row r="15" spans="1:26" x14ac:dyDescent="0.25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134580505</v>
      </c>
      <c r="E16" s="39">
        <f>SUM(E11:E15)</f>
        <v>356833376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134580505</v>
      </c>
      <c r="I16" s="39">
        <f t="shared" si="2"/>
        <v>356833376</v>
      </c>
      <c r="J16" s="61">
        <f t="shared" si="2"/>
        <v>0</v>
      </c>
      <c r="K16" s="39">
        <f t="shared" si="2"/>
        <v>0</v>
      </c>
      <c r="L16" s="61">
        <f t="shared" si="2"/>
        <v>134580505</v>
      </c>
      <c r="M16" s="39">
        <f t="shared" si="2"/>
        <v>356833376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f>'EAST-EGM-FLSH'!D19+'EAST-LRC-FLSH'!D19</f>
        <v>-106337835</v>
      </c>
      <c r="E19" s="66">
        <f>'EAST-EGM-FLSH'!E19+'EAST-LRC-FLSH'!E19</f>
        <v>-275383527</v>
      </c>
      <c r="F19" s="60">
        <f>H19-D19</f>
        <v>0</v>
      </c>
      <c r="G19" s="37">
        <f>I19-E19</f>
        <v>0</v>
      </c>
      <c r="H19" s="60">
        <f>'EAST-EGM-FLSH'!H19+'EAST-LRC-FLSH'!H19</f>
        <v>-106337835</v>
      </c>
      <c r="I19" s="38">
        <f>'EAST-EGM-FLSH'!I19+'EAST-LRC-FLSH'!I19</f>
        <v>-275383527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-106337835</v>
      </c>
      <c r="M19" s="38">
        <f t="shared" si="3"/>
        <v>-275383527</v>
      </c>
    </row>
    <row r="20" spans="1:13" x14ac:dyDescent="0.25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5">
        <f>'EAST-EGM-FLSH'!D21+'EAST-LRC-FLSH'!D21</f>
        <v>-28969984</v>
      </c>
      <c r="E21" s="66">
        <f>'EAST-EGM-FLSH'!E21+'EAST-LRC-FLSH'!E21</f>
        <v>-79302833</v>
      </c>
      <c r="F21" s="60">
        <f t="shared" si="4"/>
        <v>0</v>
      </c>
      <c r="G21" s="37">
        <f t="shared" si="4"/>
        <v>0</v>
      </c>
      <c r="H21" s="60">
        <f>'EAST-EGM-FLSH'!H21+'EAST-LRC-FLSH'!H21</f>
        <v>-28969984</v>
      </c>
      <c r="I21" s="38">
        <f>'EAST-EGM-FLSH'!I21+'EAST-LRC-FLSH'!I21</f>
        <v>-79302833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-28969984</v>
      </c>
      <c r="M21" s="38">
        <f t="shared" si="3"/>
        <v>-79302833</v>
      </c>
    </row>
    <row r="22" spans="1:13" x14ac:dyDescent="0.25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5">
        <f>'EAST-EGM-FLSH'!D23+'EAST-LRC-FLSH'!D23</f>
        <v>196509</v>
      </c>
      <c r="E23" s="66">
        <f>'EAST-EGM-FLSH'!E23+'EAST-LRC-FLSH'!E23</f>
        <v>522991</v>
      </c>
      <c r="F23" s="60">
        <f t="shared" si="4"/>
        <v>0</v>
      </c>
      <c r="G23" s="37">
        <f t="shared" si="4"/>
        <v>0</v>
      </c>
      <c r="H23" s="60">
        <f>'EAST-EGM-FLSH'!H23+'EAST-LRC-FLSH'!H23</f>
        <v>196509</v>
      </c>
      <c r="I23" s="38">
        <f>'EAST-EGM-FLSH'!I23+'EAST-LRC-FLSH'!I23</f>
        <v>522991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196509</v>
      </c>
      <c r="M23" s="38">
        <f t="shared" si="3"/>
        <v>522991</v>
      </c>
    </row>
    <row r="24" spans="1:13" x14ac:dyDescent="0.25">
      <c r="A24" s="9"/>
      <c r="B24" s="7" t="s">
        <v>33</v>
      </c>
      <c r="C24" s="6"/>
      <c r="D24" s="61">
        <f>SUM(D19:D23)</f>
        <v>-135111310</v>
      </c>
      <c r="E24" s="39">
        <f>SUM(E19:E23)</f>
        <v>-354163369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-135111310</v>
      </c>
      <c r="I24" s="39">
        <f t="shared" si="5"/>
        <v>-354163369</v>
      </c>
      <c r="J24" s="61">
        <f t="shared" si="5"/>
        <v>0</v>
      </c>
      <c r="K24" s="39">
        <f t="shared" si="5"/>
        <v>0</v>
      </c>
      <c r="L24" s="61">
        <f t="shared" si="5"/>
        <v>-135111310</v>
      </c>
      <c r="M24" s="39">
        <f t="shared" si="5"/>
        <v>-354163369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f>'EAST-EGM-FLSH'!D32+'EAST-LRC-FLSH'!D32</f>
        <v>-4834</v>
      </c>
      <c r="E32" s="66">
        <f>'EAST-EGM-FLSH'!E32+'EAST-LRC-FLSH'!E32</f>
        <v>-39152</v>
      </c>
      <c r="F32" s="60">
        <f>H32-D32</f>
        <v>0</v>
      </c>
      <c r="G32" s="37">
        <f>I32-E32</f>
        <v>0</v>
      </c>
      <c r="H32" s="60">
        <f>'EAST-EGM-FLSH'!H32+'EAST-LRC-FLSH'!H32</f>
        <v>-4834</v>
      </c>
      <c r="I32" s="38">
        <f>'EAST-EGM-FLSH'!I32+'EAST-LRC-FLSH'!I32</f>
        <v>-39152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-4834</v>
      </c>
      <c r="M32" s="38">
        <f t="shared" si="7"/>
        <v>-39152</v>
      </c>
    </row>
    <row r="33" spans="1:13" x14ac:dyDescent="0.25">
      <c r="A33" s="9">
        <v>14</v>
      </c>
      <c r="B33" s="7"/>
      <c r="C33" s="18" t="s">
        <v>40</v>
      </c>
      <c r="D33" s="65">
        <f>'EAST-EGM-FLSH'!D33+'EAST-LRC-FLSH'!D33</f>
        <v>466620</v>
      </c>
      <c r="E33" s="66">
        <f>'EAST-EGM-FLSH'!E33+'EAST-LRC-FLSH'!E33</f>
        <v>1139339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466620</v>
      </c>
      <c r="I33" s="38">
        <f>'EAST-EGM-FLSH'!I33+'EAST-LRC-FLSH'!I33</f>
        <v>1139339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466620</v>
      </c>
      <c r="M33" s="38">
        <f t="shared" si="7"/>
        <v>1139339</v>
      </c>
    </row>
    <row r="34" spans="1:13" x14ac:dyDescent="0.25">
      <c r="A34" s="9">
        <v>15</v>
      </c>
      <c r="B34" s="7"/>
      <c r="C34" s="18" t="s">
        <v>41</v>
      </c>
      <c r="D34" s="65">
        <f>'EAST-EGM-FLSH'!D34+'EAST-LRC-FLSH'!D34</f>
        <v>-600495</v>
      </c>
      <c r="E34" s="66">
        <f>'EAST-EGM-FLSH'!E34+'EAST-LRC-FLSH'!E34</f>
        <v>-1463229</v>
      </c>
      <c r="F34" s="60">
        <f t="shared" si="8"/>
        <v>0</v>
      </c>
      <c r="G34" s="37">
        <f t="shared" si="8"/>
        <v>0</v>
      </c>
      <c r="H34" s="60">
        <f>'EAST-EGM-FLSH'!H34+'EAST-LRC-FLSH'!H34</f>
        <v>-600495</v>
      </c>
      <c r="I34" s="38">
        <f>'EAST-EGM-FLSH'!I34+'EAST-LRC-FLSH'!I34</f>
        <v>-1463229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-600495</v>
      </c>
      <c r="M34" s="38">
        <f t="shared" si="7"/>
        <v>-1463229</v>
      </c>
    </row>
    <row r="35" spans="1:13" x14ac:dyDescent="0.25">
      <c r="A35" s="9">
        <v>16</v>
      </c>
      <c r="B35" s="7"/>
      <c r="C35" s="18" t="s">
        <v>42</v>
      </c>
      <c r="D35" s="65">
        <f>'EAST-EGM-FLSH'!D35+'EAST-LRC-FLSH'!D35</f>
        <v>643159</v>
      </c>
      <c r="E35" s="66">
        <f>'EAST-EGM-FLSH'!E35+'EAST-LRC-FLSH'!E35</f>
        <v>159553</v>
      </c>
      <c r="F35" s="60">
        <f t="shared" si="8"/>
        <v>0</v>
      </c>
      <c r="G35" s="37">
        <f t="shared" si="8"/>
        <v>0</v>
      </c>
      <c r="H35" s="60">
        <f>'EAST-EGM-FLSH'!H35+'EAST-LRC-FLSH'!H35</f>
        <v>643159</v>
      </c>
      <c r="I35" s="38">
        <f>'EAST-EGM-FLSH'!I35+'EAST-LRC-FLSH'!I35</f>
        <v>159553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643159</v>
      </c>
      <c r="M35" s="38">
        <f t="shared" si="7"/>
        <v>159553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504450</v>
      </c>
      <c r="E36" s="39">
        <f t="shared" si="9"/>
        <v>-203489</v>
      </c>
      <c r="F36" s="61">
        <f t="shared" si="9"/>
        <v>0</v>
      </c>
      <c r="G36" s="39">
        <f t="shared" si="9"/>
        <v>0</v>
      </c>
      <c r="H36" s="61">
        <f t="shared" si="9"/>
        <v>504450</v>
      </c>
      <c r="I36" s="39">
        <f t="shared" si="9"/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f>'EAST-EGM-FLSH'!D39+'EAST-LRC-FLSH'!D39</f>
        <v>360656</v>
      </c>
      <c r="E39" s="66">
        <f>'EAST-EGM-FLSH'!E39+'EAST-LRC-FLSH'!E39</f>
        <v>919674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360656</v>
      </c>
      <c r="I39" s="38">
        <f>'EAST-EGM-FLSH'!I39+'EAST-LRC-FLSH'!I39</f>
        <v>919674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360656</v>
      </c>
      <c r="M39" s="38">
        <f t="shared" si="11"/>
        <v>919674</v>
      </c>
    </row>
    <row r="40" spans="1:13" ht="22.5" customHeight="1" x14ac:dyDescent="0.25">
      <c r="A40" s="9">
        <v>18</v>
      </c>
      <c r="B40" s="7"/>
      <c r="C40" s="18" t="s">
        <v>46</v>
      </c>
      <c r="D40" s="65">
        <f>'EAST-EGM-FLSH'!D40+'EAST-LRC-FLSH'!D40</f>
        <v>-622365</v>
      </c>
      <c r="E40" s="66">
        <f>'EAST-EGM-FLSH'!E40+'EAST-LRC-FLSH'!E40</f>
        <v>-1587032</v>
      </c>
      <c r="F40" s="60">
        <f t="shared" si="10"/>
        <v>0</v>
      </c>
      <c r="G40" s="37">
        <f t="shared" si="10"/>
        <v>0</v>
      </c>
      <c r="H40" s="60">
        <f>'EAST-EGM-FLSH'!H40+'EAST-LRC-FLSH'!H40</f>
        <v>-622365</v>
      </c>
      <c r="I40" s="38">
        <f>'EAST-EGM-FLSH'!I40+'EAST-LRC-FLSH'!I40</f>
        <v>-1587032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-622365</v>
      </c>
      <c r="M40" s="38">
        <f t="shared" si="11"/>
        <v>-1587032</v>
      </c>
    </row>
    <row r="41" spans="1:13" x14ac:dyDescent="0.25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-622365</v>
      </c>
      <c r="E42" s="39">
        <f>SUM(E40:E41)</f>
        <v>-1587032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-622365</v>
      </c>
      <c r="I42" s="39">
        <f t="shared" si="12"/>
        <v>-1587032</v>
      </c>
      <c r="J42" s="61">
        <f t="shared" si="12"/>
        <v>0</v>
      </c>
      <c r="K42" s="39">
        <f t="shared" si="12"/>
        <v>0</v>
      </c>
      <c r="L42" s="61">
        <f t="shared" si="12"/>
        <v>-622365</v>
      </c>
      <c r="M42" s="39">
        <f t="shared" si="12"/>
        <v>-1587032</v>
      </c>
    </row>
    <row r="43" spans="1:13" ht="21" customHeight="1" x14ac:dyDescent="0.25">
      <c r="A43" s="9"/>
      <c r="B43" s="7" t="s">
        <v>49</v>
      </c>
      <c r="C43" s="6"/>
      <c r="D43" s="61">
        <f>D42+D39</f>
        <v>-261709</v>
      </c>
      <c r="E43" s="39">
        <f>E42+E39</f>
        <v>-667358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-261709</v>
      </c>
      <c r="I43" s="39">
        <f t="shared" si="13"/>
        <v>-667358</v>
      </c>
      <c r="J43" s="61">
        <f t="shared" si="13"/>
        <v>0</v>
      </c>
      <c r="K43" s="39">
        <f t="shared" si="13"/>
        <v>0</v>
      </c>
      <c r="L43" s="61">
        <f t="shared" si="13"/>
        <v>-261709</v>
      </c>
      <c r="M43" s="39">
        <f t="shared" si="13"/>
        <v>-667358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f>'EAST-EGM-FLSH'!D49+'EAST-LRC-FLSH'!D49</f>
        <v>288064</v>
      </c>
      <c r="E49" s="66">
        <f>'EAST-EGM-FLSH'!E49+'EAST-LRC-FLSH'!E49</f>
        <v>731979.69893333036</v>
      </c>
      <c r="F49" s="60">
        <f>H49-D49</f>
        <v>0</v>
      </c>
      <c r="G49" s="37">
        <f>I49-E49</f>
        <v>0</v>
      </c>
      <c r="H49" s="60">
        <f>'EAST-EGM-FLSH'!H49+'EAST-LRC-FLSH'!H49</f>
        <v>288064</v>
      </c>
      <c r="I49" s="38">
        <f>'EAST-EGM-FLSH'!I49+'EAST-LRC-FLSH'!I49</f>
        <v>731979.69893333036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288064</v>
      </c>
      <c r="M49" s="38">
        <f>I49+K49</f>
        <v>731979.69893333036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f>'EAST-EGM-FLSH'!D51+'EAST-LRC-FLSH'!D51</f>
        <v>-196509</v>
      </c>
      <c r="E51" s="66">
        <f>'EAST-EGM-FLSH'!E51+'EAST-LRC-FLSH'!E51</f>
        <v>-522991</v>
      </c>
      <c r="F51" s="60">
        <f>H51-D51</f>
        <v>0</v>
      </c>
      <c r="G51" s="37">
        <f>I51-E51</f>
        <v>0</v>
      </c>
      <c r="H51" s="60">
        <f>'EAST-EGM-FLSH'!H51+'EAST-LRC-FLSH'!H51</f>
        <v>-196509</v>
      </c>
      <c r="I51" s="38">
        <f>'EAST-EGM-FLSH'!I51+'EAST-LRC-FLSH'!I51</f>
        <v>-522991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-196509</v>
      </c>
      <c r="M51" s="38">
        <f>I51+K51</f>
        <v>-522991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-585583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-585583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-585583</v>
      </c>
    </row>
    <row r="55" spans="1:15" x14ac:dyDescent="0.25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-554171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-554171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-554171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-1139754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-1139754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-1139754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5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6851832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6851832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6851832</v>
      </c>
    </row>
    <row r="71" spans="1:13" x14ac:dyDescent="0.25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-7144979.9500000002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-7144979.9500000002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-7144979.9500000002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-293147.95000000019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-293147.95000000019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-293147.95000000019</v>
      </c>
    </row>
    <row r="73" spans="1:13" x14ac:dyDescent="0.25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2808598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2808598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2808598</v>
      </c>
    </row>
    <row r="75" spans="1:13" x14ac:dyDescent="0.25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8103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8103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8103</v>
      </c>
    </row>
    <row r="76" spans="1:13" x14ac:dyDescent="0.25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-15088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-15088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-15088</v>
      </c>
    </row>
    <row r="77" spans="1:13" x14ac:dyDescent="0.25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5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66">
        <f>'EAST-EGM-FLSH'!E81+'EAST-LRC-FLSH'!E81</f>
        <v>36312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36312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36312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-453169.30606666487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-453169.30606666487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-453169.30606666487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-453169.30606670631</v>
      </c>
      <c r="M84" s="45"/>
    </row>
    <row r="85" spans="1:67" x14ac:dyDescent="0.25">
      <c r="A85" s="4" t="s">
        <v>164</v>
      </c>
      <c r="B85" s="3"/>
    </row>
    <row r="86" spans="1:67" s="3" customFormat="1" x14ac:dyDescent="0.25">
      <c r="A86" s="168"/>
      <c r="C86" s="10" t="s">
        <v>166</v>
      </c>
      <c r="D86" s="169">
        <f>'EAST-EGM-FLSH'!D86+'EAST-LRC-FLSH'!D86</f>
        <v>0</v>
      </c>
      <c r="E86" s="169">
        <f>'EAST-EGM-FLSH'!E86+'EAST-LRC-FLSH'!E86</f>
        <v>206810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206810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206810</v>
      </c>
    </row>
    <row r="87" spans="1:67" s="3" customFormat="1" x14ac:dyDescent="0.25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5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0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0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0</v>
      </c>
    </row>
    <row r="89" spans="1:67" s="44" customFormat="1" ht="20.25" customHeight="1" x14ac:dyDescent="0.25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206810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206810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-246359.30606666487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-246359.30606666487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-246359.30606666487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12767378</v>
      </c>
      <c r="E11" s="38">
        <v>33255264.359999999</v>
      </c>
      <c r="F11" s="65">
        <f>H11-D11</f>
        <v>0</v>
      </c>
      <c r="G11" s="63">
        <f>I11-E11</f>
        <v>0</v>
      </c>
      <c r="H11" s="65">
        <f>D11</f>
        <v>12767378</v>
      </c>
      <c r="I11" s="66">
        <f>E11</f>
        <v>33255264.359999999</v>
      </c>
      <c r="J11" s="60"/>
      <c r="K11" s="38"/>
      <c r="L11" s="60">
        <f t="shared" ref="L11:M15" si="0">H11+J11</f>
        <v>12767378</v>
      </c>
      <c r="M11" s="38">
        <f t="shared" si="0"/>
        <v>33255264.359999999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15000</v>
      </c>
      <c r="E13" s="38">
        <v>44650</v>
      </c>
      <c r="F13" s="65">
        <f t="shared" si="1"/>
        <v>0</v>
      </c>
      <c r="G13" s="63">
        <f t="shared" si="1"/>
        <v>0</v>
      </c>
      <c r="H13" s="65">
        <f t="shared" si="2"/>
        <v>15000</v>
      </c>
      <c r="I13" s="66">
        <f t="shared" si="2"/>
        <v>44650</v>
      </c>
      <c r="J13" s="60"/>
      <c r="K13" s="38"/>
      <c r="L13" s="60">
        <f t="shared" si="0"/>
        <v>15000</v>
      </c>
      <c r="M13" s="38">
        <f t="shared" si="0"/>
        <v>44650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12782378</v>
      </c>
      <c r="E16" s="39">
        <v>33299914.359999999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12782378</v>
      </c>
      <c r="I16" s="39">
        <f>SUM(I11:I15)</f>
        <v>33299914.359999999</v>
      </c>
      <c r="J16" s="61">
        <f t="shared" si="3"/>
        <v>0</v>
      </c>
      <c r="K16" s="39">
        <f t="shared" si="3"/>
        <v>0</v>
      </c>
      <c r="L16" s="61">
        <f t="shared" si="3"/>
        <v>12782378</v>
      </c>
      <c r="M16" s="39">
        <f t="shared" si="3"/>
        <v>33299914.359999999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-7612939</v>
      </c>
      <c r="E19" s="38">
        <v>-20225697.999999996</v>
      </c>
      <c r="F19" s="65">
        <f>H19-D19</f>
        <v>0</v>
      </c>
      <c r="G19" s="63">
        <f>I19-E19</f>
        <v>0</v>
      </c>
      <c r="H19" s="65">
        <f t="shared" si="4"/>
        <v>-7612939</v>
      </c>
      <c r="I19" s="66">
        <f t="shared" si="4"/>
        <v>-20225697.999999996</v>
      </c>
      <c r="J19" s="60"/>
      <c r="K19" s="38"/>
      <c r="L19" s="60">
        <f t="shared" ref="L19:M23" si="5">H19+J19</f>
        <v>-7612939</v>
      </c>
      <c r="M19" s="38">
        <f t="shared" si="5"/>
        <v>-20225697.999999996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-11290</v>
      </c>
      <c r="E21" s="38">
        <v>-27847.599999999999</v>
      </c>
      <c r="F21" s="65">
        <f t="shared" si="6"/>
        <v>0</v>
      </c>
      <c r="G21" s="63">
        <f t="shared" si="6"/>
        <v>0</v>
      </c>
      <c r="H21" s="65">
        <f t="shared" si="4"/>
        <v>-11290</v>
      </c>
      <c r="I21" s="66">
        <f t="shared" si="4"/>
        <v>-27847.599999999999</v>
      </c>
      <c r="J21" s="60"/>
      <c r="K21" s="38"/>
      <c r="L21" s="60">
        <f t="shared" si="5"/>
        <v>-11290</v>
      </c>
      <c r="M21" s="38">
        <f t="shared" si="5"/>
        <v>-27847.599999999999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80</v>
      </c>
      <c r="E23" s="38">
        <v>198.29</v>
      </c>
      <c r="F23" s="65">
        <f t="shared" si="6"/>
        <v>0</v>
      </c>
      <c r="G23" s="63">
        <f t="shared" si="6"/>
        <v>0</v>
      </c>
      <c r="H23" s="65">
        <f t="shared" si="4"/>
        <v>80</v>
      </c>
      <c r="I23" s="66">
        <f t="shared" si="4"/>
        <v>198.29</v>
      </c>
      <c r="J23" s="60"/>
      <c r="K23" s="38"/>
      <c r="L23" s="60">
        <f t="shared" si="5"/>
        <v>80</v>
      </c>
      <c r="M23" s="38">
        <f t="shared" si="5"/>
        <v>198.29</v>
      </c>
    </row>
    <row r="24" spans="1:13" x14ac:dyDescent="0.25">
      <c r="A24" s="9"/>
      <c r="B24" s="7" t="s">
        <v>33</v>
      </c>
      <c r="C24" s="6"/>
      <c r="D24" s="61">
        <v>-7624149</v>
      </c>
      <c r="E24" s="39">
        <v>-20253347.309999999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-7624149</v>
      </c>
      <c r="I24" s="39">
        <f>SUM(I19:I23)</f>
        <v>-20253347.309999999</v>
      </c>
      <c r="J24" s="61">
        <f t="shared" si="7"/>
        <v>0</v>
      </c>
      <c r="K24" s="39">
        <f t="shared" si="7"/>
        <v>0</v>
      </c>
      <c r="L24" s="61">
        <f t="shared" si="7"/>
        <v>-7624149</v>
      </c>
      <c r="M24" s="39">
        <f t="shared" si="7"/>
        <v>-20253347.309999999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9692997</v>
      </c>
      <c r="E27" s="38">
        <v>25871132.780000001</v>
      </c>
      <c r="F27" s="65">
        <f>H27-D27</f>
        <v>0</v>
      </c>
      <c r="G27" s="63">
        <f>I27-E27</f>
        <v>0</v>
      </c>
      <c r="H27" s="65">
        <f>D27</f>
        <v>9692997</v>
      </c>
      <c r="I27" s="66">
        <f>E27</f>
        <v>25871132.780000001</v>
      </c>
      <c r="J27" s="60"/>
      <c r="K27" s="38"/>
      <c r="L27" s="60">
        <f>H27+J27</f>
        <v>9692997</v>
      </c>
      <c r="M27" s="38">
        <f>I27+K27</f>
        <v>25871132.780000001</v>
      </c>
    </row>
    <row r="28" spans="1:13" x14ac:dyDescent="0.25">
      <c r="A28" s="9">
        <v>12</v>
      </c>
      <c r="B28" s="7"/>
      <c r="C28" s="18" t="s">
        <v>36</v>
      </c>
      <c r="D28" s="60">
        <v>-9692997</v>
      </c>
      <c r="E28" s="38">
        <v>-25871134.699999999</v>
      </c>
      <c r="F28" s="65">
        <f>H28-D28</f>
        <v>0</v>
      </c>
      <c r="G28" s="63">
        <f>I28-E28</f>
        <v>0</v>
      </c>
      <c r="H28" s="65">
        <f>D28</f>
        <v>-9692997</v>
      </c>
      <c r="I28" s="66">
        <f>E28</f>
        <v>-25871134.699999999</v>
      </c>
      <c r="J28" s="60"/>
      <c r="K28" s="38"/>
      <c r="L28" s="60">
        <f>H28+J28</f>
        <v>-9692997</v>
      </c>
      <c r="M28" s="38">
        <f>I28+K28</f>
        <v>-25871134.699999999</v>
      </c>
    </row>
    <row r="29" spans="1:13" x14ac:dyDescent="0.25">
      <c r="A29" s="9"/>
      <c r="B29" s="7" t="s">
        <v>37</v>
      </c>
      <c r="C29" s="6"/>
      <c r="D29" s="61">
        <v>0</v>
      </c>
      <c r="E29" s="39">
        <v>-1.919999998062849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-1.919999998062849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-5158229</v>
      </c>
      <c r="E49" s="38">
        <v>-12611857.351232354</v>
      </c>
      <c r="F49" s="65">
        <f>H49-D49</f>
        <v>0</v>
      </c>
      <c r="G49" s="63">
        <f>I49-E49</f>
        <v>0</v>
      </c>
      <c r="H49" s="65">
        <f>D49</f>
        <v>-5158229</v>
      </c>
      <c r="I49" s="66">
        <f>E49</f>
        <v>-12611857.351232354</v>
      </c>
      <c r="J49" s="60"/>
      <c r="K49" s="38"/>
      <c r="L49" s="60">
        <f>H49+J49</f>
        <v>-5158229</v>
      </c>
      <c r="M49" s="38">
        <f>I49+K49</f>
        <v>-12611857.351232354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-80</v>
      </c>
      <c r="E51" s="38">
        <v>0</v>
      </c>
      <c r="F51" s="65">
        <f>H51-D51</f>
        <v>0</v>
      </c>
      <c r="G51" s="63">
        <f>I51-E51</f>
        <v>0</v>
      </c>
      <c r="H51" s="65">
        <f>D51</f>
        <v>-80</v>
      </c>
      <c r="I51" s="66">
        <f>E51</f>
        <v>0</v>
      </c>
      <c r="J51" s="60"/>
      <c r="K51" s="38"/>
      <c r="L51" s="60">
        <f>H51+J51</f>
        <v>-80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-296703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-296703</v>
      </c>
      <c r="J54" s="60"/>
      <c r="K54" s="38"/>
      <c r="L54" s="60">
        <f>H54+J54</f>
        <v>0</v>
      </c>
      <c r="M54" s="38">
        <f>I54+K54</f>
        <v>-296703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-296703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-296703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-296703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-876739.35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-876739.35</v>
      </c>
      <c r="J70" s="60"/>
      <c r="K70" s="38"/>
      <c r="L70" s="60">
        <f t="shared" si="20"/>
        <v>0</v>
      </c>
      <c r="M70" s="38">
        <f t="shared" si="20"/>
        <v>-876739.35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1503217.93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1503217.93</v>
      </c>
      <c r="J71" s="60"/>
      <c r="K71" s="38"/>
      <c r="L71" s="60">
        <f t="shared" si="20"/>
        <v>0</v>
      </c>
      <c r="M71" s="38">
        <f t="shared" si="20"/>
        <v>1503217.93</v>
      </c>
    </row>
    <row r="72" spans="1:13" x14ac:dyDescent="0.25">
      <c r="A72" s="9"/>
      <c r="B72" s="3"/>
      <c r="C72" s="55" t="s">
        <v>69</v>
      </c>
      <c r="D72" s="61">
        <v>0</v>
      </c>
      <c r="E72" s="39">
        <v>626478.57999999996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626478.57999999996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626478.57999999996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160256.74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160256.74</v>
      </c>
      <c r="J74" s="60"/>
      <c r="K74" s="38"/>
      <c r="L74" s="60">
        <f t="shared" si="23"/>
        <v>0</v>
      </c>
      <c r="M74" s="38">
        <f t="shared" si="23"/>
        <v>160256.74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-11770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-11770</v>
      </c>
      <c r="J81" s="60"/>
      <c r="K81" s="38"/>
      <c r="L81" s="60">
        <f t="shared" si="23"/>
        <v>0</v>
      </c>
      <c r="M81" s="38">
        <f t="shared" si="23"/>
        <v>-11770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912970.09876764938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912970.09876764938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912970.09876764938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170</v>
      </c>
      <c r="B85" s="3"/>
      <c r="M85" s="45">
        <f>M82+'TX-HPLR-FLSH'!M82</f>
        <v>909059.9687676332</v>
      </c>
    </row>
    <row r="86" spans="1:67" s="3" customFormat="1" x14ac:dyDescent="0.25">
      <c r="A86" s="168"/>
      <c r="C86" s="10" t="s">
        <v>166</v>
      </c>
      <c r="D86" s="172">
        <v>0</v>
      </c>
      <c r="E86" s="172">
        <v>165000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165000</v>
      </c>
      <c r="J86" s="172"/>
      <c r="K86" s="172"/>
      <c r="L86" s="172">
        <f t="shared" ref="L86:M88" si="27">H86+J86</f>
        <v>0</v>
      </c>
      <c r="M86" s="172">
        <f t="shared" si="27"/>
        <v>165000</v>
      </c>
    </row>
    <row r="87" spans="1:67" s="3" customFormat="1" x14ac:dyDescent="0.25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5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67" s="44" customFormat="1" ht="20.25" customHeight="1" x14ac:dyDescent="0.25">
      <c r="A89" s="175"/>
      <c r="B89" s="176"/>
      <c r="C89" s="177" t="s">
        <v>169</v>
      </c>
      <c r="D89" s="179">
        <f>SUM(D86:D88)</f>
        <v>0</v>
      </c>
      <c r="E89" s="179">
        <f t="shared" ref="E89:M89" si="28">SUM(E86:E88)</f>
        <v>165000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165000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167</v>
      </c>
      <c r="D91" s="179">
        <f>+D82+D89</f>
        <v>0</v>
      </c>
      <c r="E91" s="179">
        <f t="shared" ref="E91:M91" si="29">+E82+E89</f>
        <v>1077970.0987676494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1077970.0987676494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1077970.0987676494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114948</v>
      </c>
      <c r="E11" s="60">
        <v>291393.63999998569</v>
      </c>
      <c r="F11" s="60">
        <f>H11-D11</f>
        <v>0</v>
      </c>
      <c r="G11" s="37">
        <f>I11-E11</f>
        <v>0</v>
      </c>
      <c r="H11" s="65">
        <f>D11</f>
        <v>114948</v>
      </c>
      <c r="I11" s="66">
        <f>E11</f>
        <v>291393.63999998569</v>
      </c>
      <c r="J11" s="60"/>
      <c r="K11" s="38"/>
      <c r="L11" s="60">
        <f t="shared" ref="L11:M15" si="0">H11+J11</f>
        <v>114948</v>
      </c>
      <c r="M11" s="38">
        <f t="shared" si="0"/>
        <v>291393.63999998569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114948</v>
      </c>
      <c r="E16" s="39">
        <v>291393.63999998569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114948</v>
      </c>
      <c r="I16" s="39">
        <f>SUM(I11:I15)</f>
        <v>291393.63999998569</v>
      </c>
      <c r="J16" s="61">
        <f t="shared" si="3"/>
        <v>0</v>
      </c>
      <c r="K16" s="39">
        <f t="shared" si="3"/>
        <v>0</v>
      </c>
      <c r="L16" s="61">
        <f t="shared" si="3"/>
        <v>114948</v>
      </c>
      <c r="M16" s="39">
        <f t="shared" si="3"/>
        <v>291393.63999998569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-114948</v>
      </c>
      <c r="E19" s="60">
        <v>-291970</v>
      </c>
      <c r="F19" s="60">
        <f>H19-D19</f>
        <v>0</v>
      </c>
      <c r="G19" s="37">
        <f>I19-E19</f>
        <v>0</v>
      </c>
      <c r="H19" s="65">
        <f t="shared" si="4"/>
        <v>-114948</v>
      </c>
      <c r="I19" s="66">
        <f t="shared" si="4"/>
        <v>-291970</v>
      </c>
      <c r="J19" s="60"/>
      <c r="K19" s="38"/>
      <c r="L19" s="60">
        <f t="shared" ref="L19:M23" si="5">H19+J19</f>
        <v>-114948</v>
      </c>
      <c r="M19" s="38">
        <f t="shared" si="5"/>
        <v>-291970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-0.39999999990686774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-0.39999999990686774</v>
      </c>
      <c r="J21" s="60"/>
      <c r="K21" s="38"/>
      <c r="L21" s="60">
        <f t="shared" si="5"/>
        <v>0</v>
      </c>
      <c r="M21" s="38">
        <f t="shared" si="5"/>
        <v>-0.39999999990686774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-3332.29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-3332.29</v>
      </c>
      <c r="J23" s="60"/>
      <c r="K23" s="38"/>
      <c r="L23" s="60">
        <f t="shared" si="5"/>
        <v>0</v>
      </c>
      <c r="M23" s="38">
        <f t="shared" si="5"/>
        <v>-3332.29</v>
      </c>
    </row>
    <row r="24" spans="1:13" x14ac:dyDescent="0.25">
      <c r="A24" s="9"/>
      <c r="B24" s="7" t="s">
        <v>33</v>
      </c>
      <c r="C24" s="6"/>
      <c r="D24" s="61">
        <v>-114948</v>
      </c>
      <c r="E24" s="39">
        <v>-295302.69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-114948</v>
      </c>
      <c r="I24" s="39">
        <f>SUM(I19:I23)</f>
        <v>-295302.68999999989</v>
      </c>
      <c r="J24" s="61">
        <f t="shared" si="7"/>
        <v>0</v>
      </c>
      <c r="K24" s="39">
        <f t="shared" si="7"/>
        <v>0</v>
      </c>
      <c r="L24" s="61">
        <f t="shared" si="7"/>
        <v>-114948</v>
      </c>
      <c r="M24" s="39">
        <f t="shared" si="7"/>
        <v>-295302.68999999989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2.2199999988079071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2.2199999988079071</v>
      </c>
      <c r="J27" s="60"/>
      <c r="K27" s="38"/>
      <c r="L27" s="60">
        <f>H27+J27</f>
        <v>0</v>
      </c>
      <c r="M27" s="38">
        <f>I27+K27</f>
        <v>2.2199999988079071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-3.3000000007450581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-3.3000000007450581</v>
      </c>
      <c r="J28" s="60"/>
      <c r="K28" s="38"/>
      <c r="L28" s="60">
        <f>H28+J28</f>
        <v>0</v>
      </c>
      <c r="M28" s="38">
        <f>I28+K28</f>
        <v>-3.3000000007450581</v>
      </c>
    </row>
    <row r="29" spans="1:13" x14ac:dyDescent="0.25">
      <c r="A29" s="9"/>
      <c r="B29" s="7" t="s">
        <v>37</v>
      </c>
      <c r="C29" s="6"/>
      <c r="D29" s="61">
        <v>0</v>
      </c>
      <c r="E29" s="39">
        <v>-1.080000001937151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-1.080000001937151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-1.080000001937151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80</v>
      </c>
      <c r="E51" s="60">
        <v>0</v>
      </c>
      <c r="F51" s="60">
        <f>H51-D51</f>
        <v>0</v>
      </c>
      <c r="G51" s="37">
        <f>I51-E51</f>
        <v>0</v>
      </c>
      <c r="H51" s="65">
        <f>D51</f>
        <v>80</v>
      </c>
      <c r="I51" s="66">
        <f>E51</f>
        <v>0</v>
      </c>
      <c r="J51" s="60"/>
      <c r="K51" s="38"/>
      <c r="L51" s="60">
        <f>H51+J51</f>
        <v>80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-3910.1300000162446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-3910.1300000161282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-3910.1300000161282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67075453</v>
      </c>
      <c r="E11" s="60">
        <v>175730114</v>
      </c>
      <c r="F11" s="60">
        <f>H11-D11</f>
        <v>0</v>
      </c>
      <c r="G11" s="37">
        <f>I11-E11</f>
        <v>0</v>
      </c>
      <c r="H11" s="65">
        <f>D11</f>
        <v>67075453</v>
      </c>
      <c r="I11" s="66">
        <f>E11</f>
        <v>175730114</v>
      </c>
      <c r="J11" s="60"/>
      <c r="K11" s="38"/>
      <c r="L11" s="60">
        <f t="shared" ref="L11:M15" si="0">H11+J11</f>
        <v>67075453</v>
      </c>
      <c r="M11" s="38">
        <f t="shared" si="0"/>
        <v>175730114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1199519</v>
      </c>
      <c r="E13" s="60">
        <v>3338543</v>
      </c>
      <c r="F13" s="60">
        <f t="shared" si="1"/>
        <v>0</v>
      </c>
      <c r="G13" s="37">
        <f t="shared" si="1"/>
        <v>0</v>
      </c>
      <c r="H13" s="65">
        <f t="shared" si="2"/>
        <v>1199519</v>
      </c>
      <c r="I13" s="66">
        <f t="shared" si="2"/>
        <v>3338543</v>
      </c>
      <c r="J13" s="60"/>
      <c r="K13" s="38"/>
      <c r="L13" s="60">
        <f t="shared" si="0"/>
        <v>1199519</v>
      </c>
      <c r="M13" s="38">
        <f t="shared" si="0"/>
        <v>3338543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68274972</v>
      </c>
      <c r="E16" s="39">
        <v>179068657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68274972</v>
      </c>
      <c r="I16" s="39">
        <f>SUM(I11:I15)</f>
        <v>179068657</v>
      </c>
      <c r="J16" s="61">
        <f t="shared" si="3"/>
        <v>0</v>
      </c>
      <c r="K16" s="39">
        <f t="shared" si="3"/>
        <v>0</v>
      </c>
      <c r="L16" s="61">
        <f t="shared" si="3"/>
        <v>68274972</v>
      </c>
      <c r="M16" s="39">
        <f t="shared" si="3"/>
        <v>179068657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-80129202</v>
      </c>
      <c r="E19" s="60">
        <v>-206477219</v>
      </c>
      <c r="F19" s="60">
        <f>H19-D19</f>
        <v>0</v>
      </c>
      <c r="G19" s="37">
        <f>I19-E19</f>
        <v>0</v>
      </c>
      <c r="H19" s="65">
        <f t="shared" si="4"/>
        <v>-80129202</v>
      </c>
      <c r="I19" s="66">
        <f t="shared" si="4"/>
        <v>-206477219</v>
      </c>
      <c r="J19" s="60"/>
      <c r="K19" s="38"/>
      <c r="L19" s="60">
        <f t="shared" ref="L19:M23" si="5">H19+J19</f>
        <v>-80129202</v>
      </c>
      <c r="M19" s="38">
        <f t="shared" si="5"/>
        <v>-206477219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-1368718</v>
      </c>
      <c r="E21" s="60">
        <v>-3423231</v>
      </c>
      <c r="F21" s="60">
        <f t="shared" si="6"/>
        <v>0</v>
      </c>
      <c r="G21" s="37">
        <f t="shared" si="6"/>
        <v>0</v>
      </c>
      <c r="H21" s="65">
        <f t="shared" si="4"/>
        <v>-1368718</v>
      </c>
      <c r="I21" s="66">
        <f t="shared" si="4"/>
        <v>-3423231</v>
      </c>
      <c r="J21" s="60"/>
      <c r="K21" s="38"/>
      <c r="L21" s="60">
        <f t="shared" si="5"/>
        <v>-1368718</v>
      </c>
      <c r="M21" s="38">
        <f t="shared" si="5"/>
        <v>-3423231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707</v>
      </c>
      <c r="E23" s="60">
        <v>1667</v>
      </c>
      <c r="F23" s="60">
        <f t="shared" si="6"/>
        <v>0</v>
      </c>
      <c r="G23" s="37">
        <f t="shared" si="6"/>
        <v>0</v>
      </c>
      <c r="H23" s="65">
        <f t="shared" si="4"/>
        <v>707</v>
      </c>
      <c r="I23" s="66">
        <f t="shared" si="4"/>
        <v>1667</v>
      </c>
      <c r="J23" s="60"/>
      <c r="K23" s="38"/>
      <c r="L23" s="60">
        <f t="shared" si="5"/>
        <v>707</v>
      </c>
      <c r="M23" s="38">
        <f t="shared" si="5"/>
        <v>1667</v>
      </c>
    </row>
    <row r="24" spans="1:13" x14ac:dyDescent="0.25">
      <c r="A24" s="9"/>
      <c r="B24" s="7" t="s">
        <v>33</v>
      </c>
      <c r="C24" s="6"/>
      <c r="D24" s="61">
        <v>-81497213</v>
      </c>
      <c r="E24" s="39">
        <v>-209898783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-81497213</v>
      </c>
      <c r="I24" s="39">
        <f>SUM(I19:I23)</f>
        <v>-209898783</v>
      </c>
      <c r="J24" s="61">
        <f t="shared" si="7"/>
        <v>0</v>
      </c>
      <c r="K24" s="39">
        <f t="shared" si="7"/>
        <v>0</v>
      </c>
      <c r="L24" s="61">
        <f t="shared" si="7"/>
        <v>-81497213</v>
      </c>
      <c r="M24" s="39">
        <f t="shared" si="7"/>
        <v>-209898783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7408594</v>
      </c>
      <c r="E27" s="60">
        <v>19699847</v>
      </c>
      <c r="F27" s="60">
        <f>H27-D27</f>
        <v>0</v>
      </c>
      <c r="G27" s="37">
        <f>I27-E27</f>
        <v>0</v>
      </c>
      <c r="H27" s="65">
        <f>D27</f>
        <v>7408594</v>
      </c>
      <c r="I27" s="66">
        <f>E27</f>
        <v>19699847</v>
      </c>
      <c r="J27" s="60"/>
      <c r="K27" s="38"/>
      <c r="L27" s="60">
        <f>H27+J27</f>
        <v>7408594</v>
      </c>
      <c r="M27" s="38">
        <f>I27+K27</f>
        <v>19699847</v>
      </c>
    </row>
    <row r="28" spans="1:13" x14ac:dyDescent="0.25">
      <c r="A28" s="9">
        <v>12</v>
      </c>
      <c r="B28" s="7"/>
      <c r="C28" s="18" t="s">
        <v>36</v>
      </c>
      <c r="D28" s="60">
        <v>-2563206</v>
      </c>
      <c r="E28" s="60">
        <v>-6903664</v>
      </c>
      <c r="F28" s="60">
        <f>H28-D28</f>
        <v>0</v>
      </c>
      <c r="G28" s="37">
        <f>I28-E28</f>
        <v>0</v>
      </c>
      <c r="H28" s="65">
        <f>D28</f>
        <v>-2563206</v>
      </c>
      <c r="I28" s="66">
        <f>E28</f>
        <v>-6903664</v>
      </c>
      <c r="J28" s="60"/>
      <c r="K28" s="38"/>
      <c r="L28" s="60">
        <f>H28+J28</f>
        <v>-2563206</v>
      </c>
      <c r="M28" s="38">
        <f>I28+K28</f>
        <v>-6903664</v>
      </c>
    </row>
    <row r="29" spans="1:13" x14ac:dyDescent="0.25">
      <c r="A29" s="9"/>
      <c r="B29" s="7" t="s">
        <v>37</v>
      </c>
      <c r="C29" s="6"/>
      <c r="D29" s="61">
        <v>4845388</v>
      </c>
      <c r="E29" s="39">
        <v>12796183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4845388</v>
      </c>
      <c r="I29" s="39">
        <f>SUM(I27:I28)</f>
        <v>12796183</v>
      </c>
      <c r="J29" s="61">
        <f t="shared" si="8"/>
        <v>0</v>
      </c>
      <c r="K29" s="39">
        <f t="shared" si="8"/>
        <v>0</v>
      </c>
      <c r="L29" s="61">
        <f t="shared" si="8"/>
        <v>4845388</v>
      </c>
      <c r="M29" s="39">
        <f t="shared" si="8"/>
        <v>12796183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3360682</v>
      </c>
      <c r="E39" s="60">
        <v>8502527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3360682</v>
      </c>
      <c r="I39" s="66">
        <f t="shared" si="12"/>
        <v>8502527</v>
      </c>
      <c r="J39" s="60"/>
      <c r="K39" s="38"/>
      <c r="L39" s="60">
        <f t="shared" ref="L39:M41" si="14">H39+J39</f>
        <v>3360682</v>
      </c>
      <c r="M39" s="38">
        <f t="shared" si="14"/>
        <v>8502527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-76762</v>
      </c>
      <c r="E40" s="60">
        <v>-194207</v>
      </c>
      <c r="F40" s="60">
        <f t="shared" si="13"/>
        <v>0</v>
      </c>
      <c r="G40" s="37">
        <f t="shared" si="13"/>
        <v>0</v>
      </c>
      <c r="H40" s="65">
        <f t="shared" si="12"/>
        <v>-76762</v>
      </c>
      <c r="I40" s="66">
        <f t="shared" si="12"/>
        <v>-194207</v>
      </c>
      <c r="J40" s="60"/>
      <c r="K40" s="38"/>
      <c r="L40" s="60">
        <f t="shared" si="14"/>
        <v>-76762</v>
      </c>
      <c r="M40" s="38">
        <f t="shared" si="14"/>
        <v>-194207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-76762</v>
      </c>
      <c r="E42" s="39">
        <v>-194207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-76762</v>
      </c>
      <c r="I42" s="39">
        <f>SUM(I40:I41)</f>
        <v>-194207</v>
      </c>
      <c r="J42" s="61">
        <f t="shared" si="15"/>
        <v>0</v>
      </c>
      <c r="K42" s="39">
        <f t="shared" si="15"/>
        <v>0</v>
      </c>
      <c r="L42" s="61">
        <f t="shared" si="15"/>
        <v>-76762</v>
      </c>
      <c r="M42" s="39">
        <f t="shared" si="15"/>
        <v>-194207</v>
      </c>
    </row>
    <row r="43" spans="1:13" ht="21" customHeight="1" x14ac:dyDescent="0.25">
      <c r="A43" s="9"/>
      <c r="B43" s="7" t="s">
        <v>49</v>
      </c>
      <c r="C43" s="6"/>
      <c r="D43" s="61">
        <v>3283920</v>
      </c>
      <c r="E43" s="39">
        <v>8308320</v>
      </c>
      <c r="F43" s="61">
        <f t="shared" ref="F43:M43" si="16">F42+F39</f>
        <v>0</v>
      </c>
      <c r="G43" s="39">
        <f t="shared" si="16"/>
        <v>0</v>
      </c>
      <c r="H43" s="61">
        <f>H42+H39</f>
        <v>3283920</v>
      </c>
      <c r="I43" s="39">
        <f>I42+I39</f>
        <v>8308320</v>
      </c>
      <c r="J43" s="61">
        <f t="shared" si="16"/>
        <v>0</v>
      </c>
      <c r="K43" s="39">
        <f t="shared" si="16"/>
        <v>0</v>
      </c>
      <c r="L43" s="61">
        <f t="shared" si="16"/>
        <v>3283920</v>
      </c>
      <c r="M43" s="39">
        <f t="shared" si="16"/>
        <v>8308320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5092933</v>
      </c>
      <c r="E49" s="60">
        <v>12613620.538620207</v>
      </c>
      <c r="F49" s="60">
        <f>H49-D49</f>
        <v>0</v>
      </c>
      <c r="G49" s="37">
        <f>I49-E49</f>
        <v>0</v>
      </c>
      <c r="H49" s="65">
        <f>D49</f>
        <v>5092933</v>
      </c>
      <c r="I49" s="66">
        <f>E49</f>
        <v>12613620.538620207</v>
      </c>
      <c r="J49" s="60"/>
      <c r="K49" s="38"/>
      <c r="L49" s="60">
        <f>H49+J49</f>
        <v>5092933</v>
      </c>
      <c r="M49" s="38">
        <f>I49+K49</f>
        <v>12613620.538620207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-1802239.18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-1802239.18</v>
      </c>
      <c r="J54" s="60"/>
      <c r="K54" s="38"/>
      <c r="L54" s="60">
        <f>H54+J54</f>
        <v>0</v>
      </c>
      <c r="M54" s="38">
        <f>I54+K54</f>
        <v>-1802239.18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-1802239.18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-1802239.18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-1802239.18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-1740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-1740</v>
      </c>
      <c r="J76" s="60"/>
      <c r="K76" s="38"/>
      <c r="L76" s="60">
        <f t="shared" si="22"/>
        <v>0</v>
      </c>
      <c r="M76" s="38">
        <f t="shared" si="22"/>
        <v>-1740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975718.35862020752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975718.35862020752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975718.35862020752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f>'TX-EGM-FLSH'!D11+'TX-HPLR-FLSH'!D11+'TX-HPLC-FLSH'!D11</f>
        <v>79957779</v>
      </c>
      <c r="E11" s="38">
        <f>'TX-EGM-FLSH'!E11+'TX-HPLR-FLSH'!E11+'TX-HPLC-FLSH'!E11</f>
        <v>209276772</v>
      </c>
      <c r="F11" s="60">
        <f>H11-D11</f>
        <v>0</v>
      </c>
      <c r="G11" s="37">
        <f>I11-E11</f>
        <v>0</v>
      </c>
      <c r="H11" s="60">
        <f>'TX-EGM-FLSH'!H11+'TX-HPLR-FLSH'!H11+'TX-HPLC-FLSH'!H11</f>
        <v>79957779</v>
      </c>
      <c r="I11" s="38">
        <f>'TX-EGM-FLSH'!I11+'TX-HPLR-FLSH'!I11+'TX-HPLC-FLSH'!I11</f>
        <v>209276772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79957779</v>
      </c>
      <c r="M11" s="38">
        <f t="shared" si="0"/>
        <v>209276772</v>
      </c>
    </row>
    <row r="12" spans="1:26" x14ac:dyDescent="0.25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f>'TX-EGM-FLSH'!D13+'TX-HPLR-FLSH'!D13+'TX-HPLC-FLSH'!D13</f>
        <v>1214519</v>
      </c>
      <c r="E13" s="38">
        <f>'TX-EGM-FLSH'!E13+'TX-HPLR-FLSH'!E13+'TX-HPLC-FLSH'!E13</f>
        <v>3383193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1214519</v>
      </c>
      <c r="I13" s="38">
        <f>'TX-EGM-FLSH'!I13+'TX-HPLR-FLSH'!I13+'TX-HPLC-FLSH'!I13</f>
        <v>3383193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1214519</v>
      </c>
      <c r="M13" s="38">
        <f t="shared" si="0"/>
        <v>3383193</v>
      </c>
    </row>
    <row r="14" spans="1:26" x14ac:dyDescent="0.25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81172298</v>
      </c>
      <c r="E16" s="39">
        <f>SUM(E11:E15)</f>
        <v>212659965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81172298</v>
      </c>
      <c r="I16" s="39">
        <f t="shared" si="2"/>
        <v>212659965</v>
      </c>
      <c r="J16" s="61">
        <f t="shared" si="2"/>
        <v>0</v>
      </c>
      <c r="K16" s="39">
        <f t="shared" si="2"/>
        <v>0</v>
      </c>
      <c r="L16" s="61">
        <f t="shared" si="2"/>
        <v>81172298</v>
      </c>
      <c r="M16" s="39">
        <f t="shared" si="2"/>
        <v>212659965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f>'TX-EGM-FLSH'!D19+'TX-HPLR-FLSH'!D19+'TX-HPLC-FLSH'!D19</f>
        <v>-87857089</v>
      </c>
      <c r="E19" s="38">
        <f>'TX-EGM-FLSH'!E19+'TX-HPLR-FLSH'!E19+'TX-HPLC-FLSH'!E19</f>
        <v>-226994887</v>
      </c>
      <c r="F19" s="60">
        <f>H19-D19</f>
        <v>0</v>
      </c>
      <c r="G19" s="37">
        <f>I19-E19</f>
        <v>0</v>
      </c>
      <c r="H19" s="60">
        <f>'TX-EGM-FLSH'!H19+'TX-HPLR-FLSH'!H19+'TX-HPLC-FLSH'!H19</f>
        <v>-87857089</v>
      </c>
      <c r="I19" s="38">
        <f>'TX-EGM-FLSH'!I19+'TX-HPLR-FLSH'!I19+'TX-HPLC-FLSH'!I19</f>
        <v>-226994887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-87857089</v>
      </c>
      <c r="M19" s="38">
        <f t="shared" si="3"/>
        <v>-226994887</v>
      </c>
    </row>
    <row r="20" spans="1:13" x14ac:dyDescent="0.25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0">
        <f>'TX-EGM-FLSH'!D21+'TX-HPLR-FLSH'!D21+'TX-HPLC-FLSH'!D21</f>
        <v>-1380008</v>
      </c>
      <c r="E21" s="38">
        <f>'TX-EGM-FLSH'!E21+'TX-HPLR-FLSH'!E21+'TX-HPLC-FLSH'!E21</f>
        <v>-3451079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-1380008</v>
      </c>
      <c r="I21" s="38">
        <f>'TX-EGM-FLSH'!I21+'TX-HPLR-FLSH'!I21+'TX-HPLC-FLSH'!I21</f>
        <v>-3451079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-1380008</v>
      </c>
      <c r="M21" s="38">
        <f t="shared" si="3"/>
        <v>-3451079</v>
      </c>
    </row>
    <row r="22" spans="1:13" x14ac:dyDescent="0.25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0">
        <f>'TX-EGM-FLSH'!D23+'TX-HPLR-FLSH'!D23+'TX-HPLC-FLSH'!D23</f>
        <v>787</v>
      </c>
      <c r="E23" s="38">
        <f>'TX-EGM-FLSH'!E23+'TX-HPLR-FLSH'!E23+'TX-HPLC-FLSH'!E23</f>
        <v>-1467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787</v>
      </c>
      <c r="I23" s="38">
        <f>'TX-EGM-FLSH'!I23+'TX-HPLR-FLSH'!I23+'TX-HPLC-FLSH'!I23</f>
        <v>-1467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787</v>
      </c>
      <c r="M23" s="38">
        <f t="shared" si="3"/>
        <v>-1467</v>
      </c>
    </row>
    <row r="24" spans="1:13" x14ac:dyDescent="0.25">
      <c r="A24" s="9"/>
      <c r="B24" s="7" t="s">
        <v>33</v>
      </c>
      <c r="C24" s="6"/>
      <c r="D24" s="61">
        <f>SUM(D19:D23)</f>
        <v>-89236310</v>
      </c>
      <c r="E24" s="39">
        <f>SUM(E19:E23)</f>
        <v>-230447433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-89236310</v>
      </c>
      <c r="I24" s="39">
        <f t="shared" si="5"/>
        <v>-230447433</v>
      </c>
      <c r="J24" s="61">
        <f t="shared" si="5"/>
        <v>0</v>
      </c>
      <c r="K24" s="39">
        <f t="shared" si="5"/>
        <v>0</v>
      </c>
      <c r="L24" s="61">
        <f t="shared" si="5"/>
        <v>-89236310</v>
      </c>
      <c r="M24" s="39">
        <f t="shared" si="5"/>
        <v>-230447433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f>'TX-EGM-FLSH'!D27+'TX-HPLR-FLSH'!D27+'TX-HPLC-FLSH'!D27</f>
        <v>17101591</v>
      </c>
      <c r="E27" s="38">
        <f>'TX-EGM-FLSH'!E27+'TX-HPLR-FLSH'!E27+'TX-HPLC-FLSH'!E27</f>
        <v>45570982</v>
      </c>
      <c r="F27" s="60">
        <f>H27-D27</f>
        <v>0</v>
      </c>
      <c r="G27" s="37">
        <f>I27-E27</f>
        <v>0</v>
      </c>
      <c r="H27" s="60">
        <f>'TX-EGM-FLSH'!H27+'TX-HPLR-FLSH'!H27+'TX-HPLC-FLSH'!H27</f>
        <v>17101591</v>
      </c>
      <c r="I27" s="38">
        <f>'TX-EGM-FLSH'!I27+'TX-HPLR-FLSH'!I27+'TX-HPLC-FLSH'!I27</f>
        <v>45570982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17101591</v>
      </c>
      <c r="M27" s="38">
        <f>I27+K27</f>
        <v>45570982</v>
      </c>
    </row>
    <row r="28" spans="1:13" x14ac:dyDescent="0.25">
      <c r="A28" s="9">
        <v>12</v>
      </c>
      <c r="B28" s="7"/>
      <c r="C28" s="18" t="s">
        <v>36</v>
      </c>
      <c r="D28" s="60">
        <f>'TX-EGM-FLSH'!D28+'TX-HPLR-FLSH'!D28+'TX-HPLC-FLSH'!D28</f>
        <v>-12256203</v>
      </c>
      <c r="E28" s="38">
        <f>'TX-EGM-FLSH'!E28+'TX-HPLR-FLSH'!E28+'TX-HPLC-FLSH'!E28</f>
        <v>-32774802</v>
      </c>
      <c r="F28" s="60">
        <f>H28-D28</f>
        <v>0</v>
      </c>
      <c r="G28" s="37">
        <f>I28-E28</f>
        <v>0</v>
      </c>
      <c r="H28" s="60">
        <f>'TX-EGM-FLSH'!H28+'TX-HPLR-FLSH'!H28+'TX-HPLC-FLSH'!H28</f>
        <v>-12256203</v>
      </c>
      <c r="I28" s="38">
        <f>'TX-EGM-FLSH'!I28+'TX-HPLR-FLSH'!I28+'TX-HPLC-FLSH'!I28</f>
        <v>-32774802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-12256203</v>
      </c>
      <c r="M28" s="38">
        <f>I28+K28</f>
        <v>-32774802</v>
      </c>
    </row>
    <row r="29" spans="1:13" x14ac:dyDescent="0.25">
      <c r="A29" s="9"/>
      <c r="B29" s="7" t="s">
        <v>37</v>
      </c>
      <c r="C29" s="6"/>
      <c r="D29" s="61">
        <f>SUM(D27:D28)</f>
        <v>4845388</v>
      </c>
      <c r="E29" s="39">
        <f>SUM(E27:E28)</f>
        <v>12796180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4845388</v>
      </c>
      <c r="I29" s="39">
        <f t="shared" si="6"/>
        <v>12796180</v>
      </c>
      <c r="J29" s="61">
        <f t="shared" si="6"/>
        <v>0</v>
      </c>
      <c r="K29" s="39">
        <f t="shared" si="6"/>
        <v>0</v>
      </c>
      <c r="L29" s="61">
        <f t="shared" si="6"/>
        <v>4845388</v>
      </c>
      <c r="M29" s="39">
        <f t="shared" si="6"/>
        <v>12796180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f>'TX-EGM-FLSH'!D39+'TX-HPLR-FLSH'!D39+'TX-HPLC-FLSH'!D39</f>
        <v>3360682</v>
      </c>
      <c r="E39" s="38">
        <f>'TX-EGM-FLSH'!E39+'TX-HPLR-FLSH'!E39+'TX-HPLC-FLSH'!E39</f>
        <v>8502527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3360682</v>
      </c>
      <c r="I39" s="38">
        <f>'TX-EGM-FLSH'!I39+'TX-HPLR-FLSH'!I39+'TX-HPLC-FLSH'!I39</f>
        <v>8502527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3360682</v>
      </c>
      <c r="M39" s="38">
        <f t="shared" si="11"/>
        <v>8502527</v>
      </c>
    </row>
    <row r="40" spans="1:13" ht="22.5" customHeight="1" x14ac:dyDescent="0.25">
      <c r="A40" s="9">
        <v>18</v>
      </c>
      <c r="B40" s="7"/>
      <c r="C40" s="18" t="s">
        <v>46</v>
      </c>
      <c r="D40" s="60">
        <f>'TX-EGM-FLSH'!D40+'TX-HPLR-FLSH'!D40+'TX-HPLC-FLSH'!D40</f>
        <v>-76762</v>
      </c>
      <c r="E40" s="38">
        <f>'TX-EGM-FLSH'!E40+'TX-HPLR-FLSH'!E40+'TX-HPLC-FLSH'!E40</f>
        <v>-194207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-76762</v>
      </c>
      <c r="I40" s="38">
        <f>'TX-EGM-FLSH'!I40+'TX-HPLR-FLSH'!I40+'TX-HPLC-FLSH'!I40</f>
        <v>-194207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-76762</v>
      </c>
      <c r="M40" s="38">
        <f t="shared" si="11"/>
        <v>-194207</v>
      </c>
    </row>
    <row r="41" spans="1:13" x14ac:dyDescent="0.25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-76762</v>
      </c>
      <c r="E42" s="39">
        <f>SUM(E40:E41)</f>
        <v>-194207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-76762</v>
      </c>
      <c r="I42" s="39">
        <f t="shared" si="12"/>
        <v>-194207</v>
      </c>
      <c r="J42" s="61">
        <f t="shared" si="12"/>
        <v>0</v>
      </c>
      <c r="K42" s="39">
        <f t="shared" si="12"/>
        <v>0</v>
      </c>
      <c r="L42" s="61">
        <f t="shared" si="12"/>
        <v>-76762</v>
      </c>
      <c r="M42" s="39">
        <f t="shared" si="12"/>
        <v>-194207</v>
      </c>
    </row>
    <row r="43" spans="1:13" ht="21" customHeight="1" x14ac:dyDescent="0.25">
      <c r="A43" s="9"/>
      <c r="B43" s="7" t="s">
        <v>49</v>
      </c>
      <c r="C43" s="6"/>
      <c r="D43" s="61">
        <f>D42+D39</f>
        <v>3283920</v>
      </c>
      <c r="E43" s="39">
        <f>E42+E39</f>
        <v>8308320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3283920</v>
      </c>
      <c r="I43" s="39">
        <f t="shared" si="13"/>
        <v>8308320</v>
      </c>
      <c r="J43" s="61">
        <f t="shared" si="13"/>
        <v>0</v>
      </c>
      <c r="K43" s="39">
        <f t="shared" si="13"/>
        <v>0</v>
      </c>
      <c r="L43" s="61">
        <f t="shared" si="13"/>
        <v>3283920</v>
      </c>
      <c r="M43" s="39">
        <f t="shared" si="13"/>
        <v>8308320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f>'TX-EGM-FLSH'!D49+'TX-HPLR-FLSH'!D49+'TX-HPLC-FLSH'!D49</f>
        <v>-65296</v>
      </c>
      <c r="E49" s="38">
        <f>'TX-EGM-FLSH'!E49+'TX-HPLR-FLSH'!E49+'TX-HPLC-FLSH'!E49</f>
        <v>1763.1873878538609</v>
      </c>
      <c r="F49" s="60">
        <f>H49-D49</f>
        <v>0</v>
      </c>
      <c r="G49" s="37">
        <f>I49-E49</f>
        <v>0</v>
      </c>
      <c r="H49" s="60">
        <f>'TX-EGM-FLSH'!H49+'TX-HPLR-FLSH'!H49+'TX-HPLC-FLSH'!H49</f>
        <v>-65296</v>
      </c>
      <c r="I49" s="38">
        <f>'TX-EGM-FLSH'!I49+'TX-HPLR-FLSH'!I49+'TX-HPLC-FLSH'!I49</f>
        <v>1763.1873878538609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-65296</v>
      </c>
      <c r="M49" s="38">
        <f>I49+K49</f>
        <v>1763.1873878538609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-2098942.1799999997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-2098942.1799999997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-2098942.1799999997</v>
      </c>
    </row>
    <row r="55" spans="1:15" x14ac:dyDescent="0.25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-2098942.1799999997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-2098942.1799999997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-2098942.1799999997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-876739.35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-876739.35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-876739.35</v>
      </c>
    </row>
    <row r="71" spans="1:13" x14ac:dyDescent="0.25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1503217.93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1503217.93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1503217.93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626478.57999999996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626478.57999999996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626478.57999999996</v>
      </c>
    </row>
    <row r="73" spans="1:13" x14ac:dyDescent="0.25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160256.74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160256.74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160256.74</v>
      </c>
    </row>
    <row r="75" spans="1:13" x14ac:dyDescent="0.25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5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-1740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-1740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-1740</v>
      </c>
    </row>
    <row r="77" spans="1:13" x14ac:dyDescent="0.25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5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5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-11770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-11770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-11770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1884778.327387847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1884778.327387847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1884778.327387847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165</v>
      </c>
      <c r="B85" s="3"/>
      <c r="E85" s="31">
        <f>+'TX-HPLR-FLSH'!E82+'TX-EGM-FLSH'!E82</f>
        <v>909059.9687676332</v>
      </c>
    </row>
    <row r="86" spans="1:67" s="3" customFormat="1" x14ac:dyDescent="0.25">
      <c r="A86" s="168"/>
      <c r="C86" s="10" t="s">
        <v>166</v>
      </c>
      <c r="D86" s="172">
        <f>'TX-EGM-FLSH'!D86+'TX-HPLR-FLSH'!D86</f>
        <v>0</v>
      </c>
      <c r="E86" s="172">
        <f>'TX-EGM-FLSH'!E86+'TX-HPLR-FLSH'!E86</f>
        <v>165000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165000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165000</v>
      </c>
    </row>
    <row r="87" spans="1:67" s="3" customFormat="1" x14ac:dyDescent="0.25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5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0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0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0</v>
      </c>
    </row>
    <row r="89" spans="1:67" s="44" customFormat="1" ht="20.25" customHeight="1" x14ac:dyDescent="0.25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165000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165000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2049778.327387847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2049778.327387847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2049778.327387847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H6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30511507</v>
      </c>
      <c r="E11" s="65">
        <v>77372482</v>
      </c>
      <c r="F11" s="60">
        <f>H11-D11</f>
        <v>0</v>
      </c>
      <c r="G11" s="37">
        <f>I11-E11</f>
        <v>0</v>
      </c>
      <c r="H11" s="65">
        <f>D11</f>
        <v>30511507</v>
      </c>
      <c r="I11" s="66">
        <f>E11</f>
        <v>77372482</v>
      </c>
      <c r="J11" s="60"/>
      <c r="K11" s="38"/>
      <c r="L11" s="60">
        <f t="shared" ref="L11:M15" si="0">H11+J11</f>
        <v>30511507</v>
      </c>
      <c r="M11" s="38">
        <f t="shared" si="0"/>
        <v>77372482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16114174</v>
      </c>
      <c r="E13" s="65">
        <v>43985024</v>
      </c>
      <c r="F13" s="60">
        <f t="shared" si="1"/>
        <v>0</v>
      </c>
      <c r="G13" s="37">
        <f t="shared" si="1"/>
        <v>0</v>
      </c>
      <c r="H13" s="65">
        <f t="shared" si="2"/>
        <v>16114174</v>
      </c>
      <c r="I13" s="66">
        <f t="shared" si="2"/>
        <v>43985024</v>
      </c>
      <c r="J13" s="60"/>
      <c r="K13" s="38"/>
      <c r="L13" s="60">
        <f t="shared" si="0"/>
        <v>16114174</v>
      </c>
      <c r="M13" s="38">
        <f t="shared" si="0"/>
        <v>43985024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46625681</v>
      </c>
      <c r="E16" s="39">
        <v>121357506</v>
      </c>
      <c r="F16" s="61">
        <f t="shared" ref="F16:M16" si="3">SUM(F11:F15)</f>
        <v>0</v>
      </c>
      <c r="G16" s="39">
        <f t="shared" si="3"/>
        <v>0</v>
      </c>
      <c r="H16" s="61">
        <f>SUM(H11:H15)</f>
        <v>46625681</v>
      </c>
      <c r="I16" s="39">
        <f>SUM(I11:I15)</f>
        <v>121357506</v>
      </c>
      <c r="J16" s="61">
        <f t="shared" si="3"/>
        <v>0</v>
      </c>
      <c r="K16" s="39">
        <f t="shared" si="3"/>
        <v>0</v>
      </c>
      <c r="L16" s="61">
        <f t="shared" si="3"/>
        <v>46625681</v>
      </c>
      <c r="M16" s="39">
        <f t="shared" si="3"/>
        <v>121357506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-31688679</v>
      </c>
      <c r="E19" s="65">
        <v>-77791801</v>
      </c>
      <c r="F19" s="60">
        <f>H19-D19</f>
        <v>0</v>
      </c>
      <c r="G19" s="37">
        <f>I19-E19</f>
        <v>0</v>
      </c>
      <c r="H19" s="65">
        <f t="shared" si="4"/>
        <v>-31688679</v>
      </c>
      <c r="I19" s="66">
        <f t="shared" si="4"/>
        <v>-77791801</v>
      </c>
      <c r="J19" s="60"/>
      <c r="K19" s="38"/>
      <c r="L19" s="60">
        <f t="shared" ref="L19:M23" si="5">H19+J19</f>
        <v>-31688679</v>
      </c>
      <c r="M19" s="38">
        <f t="shared" si="5"/>
        <v>-77791801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-14820932</v>
      </c>
      <c r="E21" s="65">
        <v>-40713579</v>
      </c>
      <c r="F21" s="60">
        <f t="shared" si="6"/>
        <v>0</v>
      </c>
      <c r="G21" s="37">
        <f t="shared" si="6"/>
        <v>0</v>
      </c>
      <c r="H21" s="65">
        <f t="shared" si="4"/>
        <v>-14820932</v>
      </c>
      <c r="I21" s="66">
        <f t="shared" si="4"/>
        <v>-40713579</v>
      </c>
      <c r="J21" s="60"/>
      <c r="K21" s="38"/>
      <c r="L21" s="60">
        <f t="shared" si="5"/>
        <v>-14820932</v>
      </c>
      <c r="M21" s="38">
        <f t="shared" si="5"/>
        <v>-40713579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270716</v>
      </c>
      <c r="E23" s="65">
        <v>705468</v>
      </c>
      <c r="F23" s="60">
        <f t="shared" si="6"/>
        <v>0</v>
      </c>
      <c r="G23" s="37">
        <f t="shared" si="6"/>
        <v>0</v>
      </c>
      <c r="H23" s="65">
        <f t="shared" si="4"/>
        <v>270716</v>
      </c>
      <c r="I23" s="66">
        <f t="shared" si="4"/>
        <v>705468</v>
      </c>
      <c r="J23" s="60"/>
      <c r="K23" s="38"/>
      <c r="L23" s="60">
        <f t="shared" si="5"/>
        <v>270716</v>
      </c>
      <c r="M23" s="38">
        <f t="shared" si="5"/>
        <v>705468</v>
      </c>
    </row>
    <row r="24" spans="1:13" x14ac:dyDescent="0.25">
      <c r="A24" s="9"/>
      <c r="B24" s="7" t="s">
        <v>33</v>
      </c>
      <c r="C24" s="6"/>
      <c r="D24" s="61">
        <v>-46238895</v>
      </c>
      <c r="E24" s="39">
        <v>-117799912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-46238895</v>
      </c>
      <c r="I24" s="39">
        <f>SUM(I19:I23)</f>
        <v>-117799912</v>
      </c>
      <c r="J24" s="61">
        <f t="shared" si="7"/>
        <v>0</v>
      </c>
      <c r="K24" s="39">
        <f t="shared" si="7"/>
        <v>0</v>
      </c>
      <c r="L24" s="61">
        <f t="shared" si="7"/>
        <v>-46238895</v>
      </c>
      <c r="M24" s="39">
        <f t="shared" si="7"/>
        <v>-117799912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-33906</v>
      </c>
      <c r="E32" s="65">
        <v>-92962</v>
      </c>
      <c r="F32" s="60">
        <f>H32-D32</f>
        <v>0</v>
      </c>
      <c r="G32" s="37">
        <f>I32-E32</f>
        <v>0</v>
      </c>
      <c r="H32" s="65">
        <f t="shared" ref="H32:I35" si="9">D32</f>
        <v>-33906</v>
      </c>
      <c r="I32" s="66">
        <f t="shared" si="9"/>
        <v>-92962</v>
      </c>
      <c r="J32" s="60"/>
      <c r="K32" s="38"/>
      <c r="L32" s="60">
        <f t="shared" ref="L32:M35" si="10">H32+J32</f>
        <v>-33906</v>
      </c>
      <c r="M32" s="38">
        <f t="shared" si="10"/>
        <v>-92962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-313014</v>
      </c>
      <c r="E35" s="65">
        <v>-885054</v>
      </c>
      <c r="F35" s="60">
        <f t="shared" si="11"/>
        <v>0</v>
      </c>
      <c r="G35" s="37">
        <f t="shared" si="11"/>
        <v>0</v>
      </c>
      <c r="H35" s="65">
        <f t="shared" si="9"/>
        <v>-313014</v>
      </c>
      <c r="I35" s="66">
        <f t="shared" si="9"/>
        <v>-885054</v>
      </c>
      <c r="J35" s="60"/>
      <c r="K35" s="38"/>
      <c r="L35" s="60">
        <f t="shared" si="10"/>
        <v>-313014</v>
      </c>
      <c r="M35" s="38">
        <f t="shared" si="10"/>
        <v>-885054</v>
      </c>
    </row>
    <row r="36" spans="1:13" x14ac:dyDescent="0.25">
      <c r="A36" s="9"/>
      <c r="B36" s="7" t="s">
        <v>43</v>
      </c>
      <c r="C36" s="6"/>
      <c r="D36" s="61">
        <v>-346920</v>
      </c>
      <c r="E36" s="39">
        <v>-978016</v>
      </c>
      <c r="F36" s="61">
        <f>SUM(F32:F35)</f>
        <v>0</v>
      </c>
      <c r="G36" s="39">
        <f>SUM(G32:G35)</f>
        <v>0</v>
      </c>
      <c r="H36" s="61">
        <f>SUM(H32:H35)</f>
        <v>-346920</v>
      </c>
      <c r="I36" s="39">
        <f>SUM(I32:I35)</f>
        <v>-978016</v>
      </c>
      <c r="J36" s="61">
        <f>SUM(J32:J34)</f>
        <v>0</v>
      </c>
      <c r="K36" s="39">
        <f>SUM(K32:K34)</f>
        <v>0</v>
      </c>
      <c r="L36" s="61">
        <f>SUM(L32:L35)</f>
        <v>-346920</v>
      </c>
      <c r="M36" s="39">
        <f>SUM(M32:M35)</f>
        <v>-978016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53828</v>
      </c>
      <c r="E39" s="65">
        <v>127611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53828</v>
      </c>
      <c r="I39" s="66">
        <f t="shared" si="12"/>
        <v>127611</v>
      </c>
      <c r="J39" s="60"/>
      <c r="K39" s="38"/>
      <c r="L39" s="60">
        <f t="shared" ref="L39:M41" si="14">H39+J39</f>
        <v>53828</v>
      </c>
      <c r="M39" s="38">
        <f t="shared" si="14"/>
        <v>127611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-93773</v>
      </c>
      <c r="E40" s="65">
        <v>-259254</v>
      </c>
      <c r="F40" s="60">
        <f t="shared" si="13"/>
        <v>0</v>
      </c>
      <c r="G40" s="37">
        <f t="shared" si="13"/>
        <v>0</v>
      </c>
      <c r="H40" s="65">
        <f t="shared" si="12"/>
        <v>-93773</v>
      </c>
      <c r="I40" s="66">
        <f t="shared" si="12"/>
        <v>-259254</v>
      </c>
      <c r="J40" s="60"/>
      <c r="K40" s="38"/>
      <c r="L40" s="60">
        <f t="shared" si="14"/>
        <v>-93773</v>
      </c>
      <c r="M40" s="38">
        <f t="shared" si="14"/>
        <v>-259254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-93773</v>
      </c>
      <c r="E42" s="39">
        <v>-259254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-93773</v>
      </c>
      <c r="I42" s="39">
        <f>SUM(I40:I41)</f>
        <v>-259254</v>
      </c>
      <c r="J42" s="61">
        <f t="shared" si="15"/>
        <v>0</v>
      </c>
      <c r="K42" s="39">
        <f t="shared" si="15"/>
        <v>0</v>
      </c>
      <c r="L42" s="61">
        <f t="shared" si="15"/>
        <v>-93773</v>
      </c>
      <c r="M42" s="39">
        <f t="shared" si="15"/>
        <v>-259254</v>
      </c>
    </row>
    <row r="43" spans="1:13" ht="21" customHeight="1" x14ac:dyDescent="0.25">
      <c r="A43" s="9"/>
      <c r="B43" s="7" t="s">
        <v>49</v>
      </c>
      <c r="C43" s="6"/>
      <c r="D43" s="61">
        <v>-39945</v>
      </c>
      <c r="E43" s="39">
        <v>-131643</v>
      </c>
      <c r="F43" s="61">
        <f t="shared" ref="F43:M43" si="16">F42+F39</f>
        <v>0</v>
      </c>
      <c r="G43" s="39">
        <f t="shared" si="16"/>
        <v>0</v>
      </c>
      <c r="H43" s="61">
        <f>H42+H39</f>
        <v>-39945</v>
      </c>
      <c r="I43" s="39">
        <f>I42+I39</f>
        <v>-131643</v>
      </c>
      <c r="J43" s="61">
        <f t="shared" si="16"/>
        <v>0</v>
      </c>
      <c r="K43" s="39">
        <f t="shared" si="16"/>
        <v>0</v>
      </c>
      <c r="L43" s="61">
        <f t="shared" si="16"/>
        <v>-39945</v>
      </c>
      <c r="M43" s="39">
        <f t="shared" si="16"/>
        <v>-131643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95</v>
      </c>
      <c r="E49" s="65">
        <v>227.03603693366651</v>
      </c>
      <c r="F49" s="60">
        <f>H49-D49</f>
        <v>0</v>
      </c>
      <c r="G49" s="37">
        <f>I49-E49</f>
        <v>0</v>
      </c>
      <c r="H49" s="65">
        <f>D49</f>
        <v>95</v>
      </c>
      <c r="I49" s="66">
        <f>E49</f>
        <v>227.03603693366651</v>
      </c>
      <c r="J49" s="60"/>
      <c r="K49" s="38"/>
      <c r="L49" s="60">
        <f>H49+J49</f>
        <v>95</v>
      </c>
      <c r="M49" s="38">
        <f>I49+K49</f>
        <v>227.03603693366651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-270716</v>
      </c>
      <c r="E51" s="65">
        <v>-705468</v>
      </c>
      <c r="F51" s="60">
        <f>H51-D51</f>
        <v>0</v>
      </c>
      <c r="G51" s="37">
        <f>I51-E51</f>
        <v>0</v>
      </c>
      <c r="H51" s="65">
        <f>D51</f>
        <v>-270716</v>
      </c>
      <c r="I51" s="66">
        <f>E51</f>
        <v>-705468</v>
      </c>
      <c r="J51" s="60"/>
      <c r="K51" s="38"/>
      <c r="L51" s="60">
        <f>H51+J51</f>
        <v>-270716</v>
      </c>
      <c r="M51" s="38">
        <f>I51+K51</f>
        <v>-705468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-1711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-1711</v>
      </c>
      <c r="J54" s="60"/>
      <c r="K54" s="38"/>
      <c r="L54" s="60">
        <f>H54+J54</f>
        <v>0</v>
      </c>
      <c r="M54" s="38">
        <f>I54+K54</f>
        <v>-1711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-1336060.51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-1336060.51</v>
      </c>
      <c r="J55" s="60"/>
      <c r="K55" s="38"/>
      <c r="L55" s="60">
        <f>H55+J55</f>
        <v>0</v>
      </c>
      <c r="M55" s="38">
        <f>I55+K55</f>
        <v>-1336060.51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-1337771.51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-1337771.51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-1337771.51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-1343082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-1343082</v>
      </c>
      <c r="J70" s="60"/>
      <c r="K70" s="38"/>
      <c r="L70" s="60">
        <f>H70+J70</f>
        <v>0</v>
      </c>
      <c r="M70" s="38">
        <f>I70+K70</f>
        <v>-1343082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-2316418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-2316418</v>
      </c>
      <c r="J71" s="60"/>
      <c r="K71" s="38"/>
      <c r="L71" s="60">
        <f>H71+J71</f>
        <v>0</v>
      </c>
      <c r="M71" s="38">
        <f>I71+K71</f>
        <v>-2316418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-3659500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-3659500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-3659500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4339471.5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4339471.5</v>
      </c>
      <c r="J74" s="60"/>
      <c r="K74" s="38"/>
      <c r="L74" s="60">
        <f t="shared" si="22"/>
        <v>0</v>
      </c>
      <c r="M74" s="38">
        <f t="shared" si="22"/>
        <v>4339471.5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11284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11284</v>
      </c>
      <c r="J75" s="60"/>
      <c r="K75" s="38"/>
      <c r="L75" s="60">
        <f t="shared" si="22"/>
        <v>0</v>
      </c>
      <c r="M75" s="38">
        <f t="shared" si="22"/>
        <v>11284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-18099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-18099</v>
      </c>
      <c r="J76" s="60"/>
      <c r="K76" s="38"/>
      <c r="L76" s="60">
        <f t="shared" si="22"/>
        <v>0</v>
      </c>
      <c r="M76" s="38">
        <f t="shared" si="22"/>
        <v>-18099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-109060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-109060</v>
      </c>
      <c r="J81" s="60"/>
      <c r="K81" s="38"/>
      <c r="L81" s="60">
        <f t="shared" si="22"/>
        <v>0</v>
      </c>
      <c r="M81" s="38">
        <f t="shared" si="22"/>
        <v>-109060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16</v>
      </c>
      <c r="E82" s="74">
        <f>SUM(E72:E81)+E16+E24+E29+E36+E43+E45+E47+E49+E51+E56+E61+E66</f>
        <v>969019.02603693376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969019.02603693376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969019.02603693376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171</v>
      </c>
      <c r="B85" s="3"/>
    </row>
    <row r="86" spans="1:67" s="3" customFormat="1" x14ac:dyDescent="0.25">
      <c r="A86" s="168"/>
      <c r="C86" s="10" t="s">
        <v>166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5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5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5">
      <c r="A89" s="175"/>
      <c r="B89" s="176"/>
      <c r="C89" s="177" t="s">
        <v>169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167</v>
      </c>
      <c r="D91" s="179">
        <f>+D82+D89</f>
        <v>16</v>
      </c>
      <c r="E91" s="179">
        <f t="shared" ref="E91:M91" si="25">+E82+E89</f>
        <v>969019.02603693376</v>
      </c>
      <c r="F91" s="179">
        <f t="shared" si="25"/>
        <v>0</v>
      </c>
      <c r="G91" s="179">
        <f t="shared" si="25"/>
        <v>0</v>
      </c>
      <c r="H91" s="179">
        <f t="shared" si="25"/>
        <v>16</v>
      </c>
      <c r="I91" s="179">
        <f t="shared" si="25"/>
        <v>969019.02603693376</v>
      </c>
      <c r="J91" s="179">
        <f t="shared" si="25"/>
        <v>0</v>
      </c>
      <c r="K91" s="179">
        <f t="shared" si="25"/>
        <v>0</v>
      </c>
      <c r="L91" s="179">
        <f t="shared" si="25"/>
        <v>16</v>
      </c>
      <c r="M91" s="179">
        <f t="shared" si="25"/>
        <v>969019.02603693376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5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5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38">
        <v>-219000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-219000</v>
      </c>
      <c r="J81" s="60"/>
      <c r="K81" s="38"/>
      <c r="L81" s="60">
        <f t="shared" si="24"/>
        <v>0</v>
      </c>
      <c r="M81" s="38">
        <f t="shared" si="24"/>
        <v>-219000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-219000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-219000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23454938</v>
      </c>
      <c r="E11" s="170">
        <v>62968390</v>
      </c>
      <c r="F11" s="60">
        <f>H11-D11</f>
        <v>0</v>
      </c>
      <c r="G11" s="37">
        <f>I11-E11</f>
        <v>0</v>
      </c>
      <c r="H11" s="65">
        <f>D11</f>
        <v>23454938</v>
      </c>
      <c r="I11" s="66">
        <f>E11</f>
        <v>62968390</v>
      </c>
      <c r="J11" s="60"/>
      <c r="K11" s="38"/>
      <c r="L11" s="60">
        <f t="shared" ref="L11:M15" si="0">H11+J11</f>
        <v>23454938</v>
      </c>
      <c r="M11" s="38">
        <f t="shared" si="0"/>
        <v>62968390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170">
        <v>5323406</v>
      </c>
      <c r="E13" s="170">
        <v>13960052</v>
      </c>
      <c r="F13" s="60">
        <f t="shared" si="1"/>
        <v>0</v>
      </c>
      <c r="G13" s="37">
        <f t="shared" si="1"/>
        <v>0</v>
      </c>
      <c r="H13" s="65">
        <f t="shared" si="2"/>
        <v>5323406</v>
      </c>
      <c r="I13" s="66">
        <f t="shared" si="2"/>
        <v>13960052</v>
      </c>
      <c r="J13" s="60"/>
      <c r="K13" s="38"/>
      <c r="L13" s="60">
        <f t="shared" si="0"/>
        <v>5323406</v>
      </c>
      <c r="M13" s="38">
        <f t="shared" si="0"/>
        <v>13960052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191">
        <v>28778344</v>
      </c>
      <c r="E16" s="191">
        <v>76928442</v>
      </c>
      <c r="F16" s="61">
        <f t="shared" ref="F16:M16" si="3">SUM(F11:F15)</f>
        <v>0</v>
      </c>
      <c r="G16" s="39">
        <f t="shared" si="3"/>
        <v>0</v>
      </c>
      <c r="H16" s="61">
        <f>SUM(H11:H15)</f>
        <v>28778344</v>
      </c>
      <c r="I16" s="39">
        <f>SUM(I11:I15)</f>
        <v>76928442</v>
      </c>
      <c r="J16" s="61">
        <f t="shared" si="3"/>
        <v>0</v>
      </c>
      <c r="K16" s="39">
        <f t="shared" si="3"/>
        <v>0</v>
      </c>
      <c r="L16" s="61">
        <f t="shared" si="3"/>
        <v>28778344</v>
      </c>
      <c r="M16" s="39">
        <f t="shared" si="3"/>
        <v>76928442</v>
      </c>
    </row>
    <row r="17" spans="1:13" x14ac:dyDescent="0.25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-23427327</v>
      </c>
      <c r="E19" s="170">
        <v>-62432041</v>
      </c>
      <c r="F19" s="60">
        <f>H19-D19</f>
        <v>0</v>
      </c>
      <c r="G19" s="37">
        <f>I19-E19</f>
        <v>0</v>
      </c>
      <c r="H19" s="65">
        <f t="shared" si="4"/>
        <v>-23427327</v>
      </c>
      <c r="I19" s="66">
        <f t="shared" si="4"/>
        <v>-62432041</v>
      </c>
      <c r="J19" s="60"/>
      <c r="K19" s="38"/>
      <c r="L19" s="60">
        <f t="shared" ref="L19:M23" si="5">H19+J19</f>
        <v>-23427327</v>
      </c>
      <c r="M19" s="38">
        <f t="shared" si="5"/>
        <v>-62432041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-5305230</v>
      </c>
      <c r="E21" s="170">
        <v>-14001196</v>
      </c>
      <c r="F21" s="60">
        <f t="shared" si="6"/>
        <v>0</v>
      </c>
      <c r="G21" s="37">
        <f t="shared" si="6"/>
        <v>0</v>
      </c>
      <c r="H21" s="65">
        <f t="shared" si="4"/>
        <v>-5305230</v>
      </c>
      <c r="I21" s="66">
        <f t="shared" si="4"/>
        <v>-14001196</v>
      </c>
      <c r="J21" s="60"/>
      <c r="K21" s="38"/>
      <c r="L21" s="60">
        <f t="shared" si="5"/>
        <v>-5305230</v>
      </c>
      <c r="M21" s="38">
        <f t="shared" si="5"/>
        <v>-14001196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91">
        <v>-28732557</v>
      </c>
      <c r="E24" s="191">
        <v>-76433237</v>
      </c>
      <c r="F24" s="61">
        <f t="shared" ref="F24:M24" si="7">SUM(F19:F23)</f>
        <v>0</v>
      </c>
      <c r="G24" s="39">
        <f t="shared" si="7"/>
        <v>0</v>
      </c>
      <c r="H24" s="61">
        <f>SUM(H19:H23)</f>
        <v>-28732557</v>
      </c>
      <c r="I24" s="39">
        <f>SUM(I19:I23)</f>
        <v>-76433237</v>
      </c>
      <c r="J24" s="61">
        <f t="shared" si="7"/>
        <v>0</v>
      </c>
      <c r="K24" s="39">
        <f t="shared" si="7"/>
        <v>0</v>
      </c>
      <c r="L24" s="61">
        <f t="shared" si="7"/>
        <v>-28732557</v>
      </c>
      <c r="M24" s="39">
        <f t="shared" si="7"/>
        <v>-76433237</v>
      </c>
    </row>
    <row r="25" spans="1:13" x14ac:dyDescent="0.25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-18646</v>
      </c>
      <c r="E32" s="170">
        <v>5814</v>
      </c>
      <c r="F32" s="60">
        <f>H32-D32</f>
        <v>0</v>
      </c>
      <c r="G32" s="37">
        <f>I32-E32</f>
        <v>0</v>
      </c>
      <c r="H32" s="65">
        <f t="shared" ref="H32:I35" si="9">D32</f>
        <v>-18646</v>
      </c>
      <c r="I32" s="66">
        <f t="shared" si="9"/>
        <v>5814</v>
      </c>
      <c r="J32" s="60"/>
      <c r="K32" s="38"/>
      <c r="L32" s="60">
        <f t="shared" ref="L32:M35" si="10">H32+J32</f>
        <v>-18646</v>
      </c>
      <c r="M32" s="38">
        <f t="shared" si="10"/>
        <v>5814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1">
        <v>-18646</v>
      </c>
      <c r="E36" s="191">
        <v>5814</v>
      </c>
      <c r="F36" s="61">
        <f>SUM(F32:F35)</f>
        <v>0</v>
      </c>
      <c r="G36" s="39">
        <f>SUM(G32:G35)</f>
        <v>0</v>
      </c>
      <c r="H36" s="61">
        <f>SUM(H32:H35)</f>
        <v>-18646</v>
      </c>
      <c r="I36" s="39">
        <f>SUM(I32:I35)</f>
        <v>5814</v>
      </c>
      <c r="J36" s="61">
        <f>SUM(J32:J34)</f>
        <v>0</v>
      </c>
      <c r="K36" s="39">
        <f>SUM(K32:K34)</f>
        <v>0</v>
      </c>
      <c r="L36" s="61">
        <f>SUM(L32:L35)</f>
        <v>-18646</v>
      </c>
      <c r="M36" s="39">
        <f>SUM(M32:M35)</f>
        <v>5814</v>
      </c>
    </row>
    <row r="37" spans="1:13" x14ac:dyDescent="0.25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-27141</v>
      </c>
      <c r="E49" s="170">
        <v>-84951.33</v>
      </c>
      <c r="F49" s="60">
        <f>H49-D49</f>
        <v>0</v>
      </c>
      <c r="G49" s="37">
        <f>I49-E49</f>
        <v>0</v>
      </c>
      <c r="H49" s="65">
        <f>D49</f>
        <v>-27141</v>
      </c>
      <c r="I49" s="66">
        <f>E49</f>
        <v>-84951.33</v>
      </c>
      <c r="J49" s="60"/>
      <c r="K49" s="38"/>
      <c r="L49" s="60">
        <f>H49+J49</f>
        <v>-27141</v>
      </c>
      <c r="M49" s="38">
        <f>I49+K49</f>
        <v>-84951.33</v>
      </c>
    </row>
    <row r="50" spans="1:15" x14ac:dyDescent="0.25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-837625.47710170969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-837625.47710170969</v>
      </c>
      <c r="J70" s="65"/>
      <c r="K70" s="38"/>
      <c r="L70" s="60">
        <f t="shared" si="20"/>
        <v>0</v>
      </c>
      <c r="M70" s="38">
        <f t="shared" si="20"/>
        <v>-837625.47710170969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756466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756466</v>
      </c>
      <c r="J71" s="65"/>
      <c r="K71" s="38"/>
      <c r="L71" s="60">
        <f t="shared" si="20"/>
        <v>0</v>
      </c>
      <c r="M71" s="38">
        <f t="shared" si="20"/>
        <v>756466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-81159.477101709694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-81159.477101709694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-81159.477101709694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302842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302842</v>
      </c>
      <c r="J74" s="60"/>
      <c r="K74" s="38"/>
      <c r="L74" s="60">
        <f t="shared" si="23"/>
        <v>0</v>
      </c>
      <c r="M74" s="38">
        <f t="shared" si="23"/>
        <v>302842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-340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-340</v>
      </c>
      <c r="J76" s="60"/>
      <c r="K76" s="38"/>
      <c r="L76" s="60">
        <f t="shared" si="23"/>
        <v>0</v>
      </c>
      <c r="M76" s="38">
        <f t="shared" si="23"/>
        <v>-340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78</v>
      </c>
      <c r="D81" s="170">
        <v>0</v>
      </c>
      <c r="E81" s="170">
        <v>-192629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-192629</v>
      </c>
      <c r="J81" s="60"/>
      <c r="K81" s="38"/>
      <c r="L81" s="60">
        <f t="shared" si="23"/>
        <v>0</v>
      </c>
      <c r="M81" s="38">
        <f t="shared" si="23"/>
        <v>-192629</v>
      </c>
    </row>
    <row r="82" spans="1:13" s="2" customFormat="1" ht="20.25" customHeight="1" thickBot="1" x14ac:dyDescent="0.3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444781.19289828656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444781.19289828656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444781.19289828656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163</v>
      </c>
      <c r="B85" s="3"/>
      <c r="L85" s="45"/>
    </row>
    <row r="86" spans="1:13" s="3" customFormat="1" x14ac:dyDescent="0.25">
      <c r="A86" s="168"/>
      <c r="C86" s="10" t="s">
        <v>166</v>
      </c>
      <c r="D86" s="172">
        <v>0</v>
      </c>
      <c r="E86" s="172">
        <v>21000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21000</v>
      </c>
      <c r="J86" s="172"/>
      <c r="K86" s="172"/>
      <c r="L86" s="172">
        <f t="shared" ref="L86:M88" si="27">H86+J86</f>
        <v>0</v>
      </c>
      <c r="M86" s="172">
        <f t="shared" si="27"/>
        <v>21000</v>
      </c>
    </row>
    <row r="87" spans="1:13" s="3" customFormat="1" x14ac:dyDescent="0.25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5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5">
      <c r="A89" s="168"/>
      <c r="B89" s="4"/>
      <c r="C89" s="178" t="s">
        <v>169</v>
      </c>
      <c r="D89" s="179">
        <f>SUM(D86:D88)</f>
        <v>0</v>
      </c>
      <c r="E89" s="179">
        <f t="shared" ref="E89:M89" si="28">SUM(E86:E88)</f>
        <v>21000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21000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21000</v>
      </c>
    </row>
    <row r="90" spans="1:13" x14ac:dyDescent="0.25">
      <c r="A90" s="4"/>
      <c r="B90" s="3"/>
    </row>
    <row r="91" spans="1:13" s="2" customFormat="1" ht="20.25" customHeight="1" x14ac:dyDescent="0.25">
      <c r="A91" s="168"/>
      <c r="B91" s="4"/>
      <c r="C91" s="178" t="s">
        <v>167</v>
      </c>
      <c r="D91" s="179">
        <f>+D82+D89</f>
        <v>0</v>
      </c>
      <c r="E91" s="179">
        <f t="shared" ref="E91:M91" si="29">+E82+E89</f>
        <v>465781.19289828656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465781.19289828656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465781.19289828656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10187550</v>
      </c>
      <c r="E11" s="65">
        <v>26402745</v>
      </c>
      <c r="F11" s="60">
        <f>H11-D11</f>
        <v>0</v>
      </c>
      <c r="G11" s="37">
        <f>I11-E11</f>
        <v>0</v>
      </c>
      <c r="H11" s="65">
        <f>D11</f>
        <v>10187550</v>
      </c>
      <c r="I11" s="66">
        <f>E11</f>
        <v>26402745</v>
      </c>
      <c r="J11" s="60"/>
      <c r="K11" s="38"/>
      <c r="L11" s="60">
        <f t="shared" ref="L11:M15" si="0">H11+J11</f>
        <v>10187550</v>
      </c>
      <c r="M11" s="38">
        <f t="shared" si="0"/>
        <v>26402745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14374462</v>
      </c>
      <c r="E13" s="65">
        <v>42702094</v>
      </c>
      <c r="F13" s="60">
        <f t="shared" si="1"/>
        <v>0</v>
      </c>
      <c r="G13" s="37">
        <f t="shared" si="1"/>
        <v>0</v>
      </c>
      <c r="H13" s="65">
        <f t="shared" si="2"/>
        <v>14374462</v>
      </c>
      <c r="I13" s="66">
        <f t="shared" si="2"/>
        <v>42702094</v>
      </c>
      <c r="J13" s="60"/>
      <c r="K13" s="38"/>
      <c r="L13" s="60">
        <f t="shared" si="0"/>
        <v>14374462</v>
      </c>
      <c r="M13" s="38">
        <f t="shared" si="0"/>
        <v>42702094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24562012</v>
      </c>
      <c r="E16" s="39">
        <v>69104839</v>
      </c>
      <c r="F16" s="61">
        <f t="shared" ref="F16:M16" si="3">SUM(F11:F15)</f>
        <v>0</v>
      </c>
      <c r="G16" s="39">
        <f t="shared" si="3"/>
        <v>0</v>
      </c>
      <c r="H16" s="61">
        <f>SUM(H11:H15)</f>
        <v>24562012</v>
      </c>
      <c r="I16" s="39">
        <f>SUM(I11:I15)</f>
        <v>69104839</v>
      </c>
      <c r="J16" s="61">
        <f t="shared" si="3"/>
        <v>0</v>
      </c>
      <c r="K16" s="39">
        <f t="shared" si="3"/>
        <v>0</v>
      </c>
      <c r="L16" s="61">
        <f t="shared" si="3"/>
        <v>24562012</v>
      </c>
      <c r="M16" s="39">
        <f t="shared" si="3"/>
        <v>69104839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-8205022</v>
      </c>
      <c r="E19" s="65">
        <v>-19561994</v>
      </c>
      <c r="F19" s="60">
        <f>H19-D19</f>
        <v>0</v>
      </c>
      <c r="G19" s="37">
        <f>I19-E19</f>
        <v>0</v>
      </c>
      <c r="H19" s="65">
        <f t="shared" si="4"/>
        <v>-8205022</v>
      </c>
      <c r="I19" s="66">
        <f t="shared" si="4"/>
        <v>-19561994</v>
      </c>
      <c r="J19" s="60"/>
      <c r="K19" s="38"/>
      <c r="L19" s="60">
        <f t="shared" ref="L19:M23" si="5">H19+J19</f>
        <v>-8205022</v>
      </c>
      <c r="M19" s="38">
        <f t="shared" si="5"/>
        <v>-19561994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-18849654</v>
      </c>
      <c r="E21" s="65">
        <v>-54228520</v>
      </c>
      <c r="F21" s="60">
        <f t="shared" si="6"/>
        <v>0</v>
      </c>
      <c r="G21" s="37">
        <f t="shared" si="6"/>
        <v>0</v>
      </c>
      <c r="H21" s="65">
        <f t="shared" si="4"/>
        <v>-18849654</v>
      </c>
      <c r="I21" s="66">
        <f t="shared" si="4"/>
        <v>-54228520</v>
      </c>
      <c r="J21" s="60"/>
      <c r="K21" s="38"/>
      <c r="L21" s="60">
        <f t="shared" si="5"/>
        <v>-18849654</v>
      </c>
      <c r="M21" s="38">
        <f t="shared" si="5"/>
        <v>-54228520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478761</v>
      </c>
      <c r="E23" s="65">
        <v>1304213</v>
      </c>
      <c r="F23" s="60">
        <f t="shared" si="6"/>
        <v>0</v>
      </c>
      <c r="G23" s="37">
        <f t="shared" si="6"/>
        <v>0</v>
      </c>
      <c r="H23" s="65">
        <f t="shared" si="4"/>
        <v>478761</v>
      </c>
      <c r="I23" s="66">
        <f t="shared" si="4"/>
        <v>1304213</v>
      </c>
      <c r="J23" s="60"/>
      <c r="K23" s="38"/>
      <c r="L23" s="60">
        <f t="shared" si="5"/>
        <v>478761</v>
      </c>
      <c r="M23" s="38">
        <f t="shared" si="5"/>
        <v>1304213</v>
      </c>
    </row>
    <row r="24" spans="1:13" x14ac:dyDescent="0.25">
      <c r="A24" s="9"/>
      <c r="B24" s="7" t="s">
        <v>33</v>
      </c>
      <c r="C24" s="6"/>
      <c r="D24" s="61">
        <v>-26575915</v>
      </c>
      <c r="E24" s="39">
        <v>-72486301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-26575915</v>
      </c>
      <c r="I24" s="39">
        <f>SUM(I19:I23)</f>
        <v>-72486301</v>
      </c>
      <c r="J24" s="61">
        <f t="shared" si="7"/>
        <v>0</v>
      </c>
      <c r="K24" s="39">
        <f t="shared" si="7"/>
        <v>0</v>
      </c>
      <c r="L24" s="61">
        <f t="shared" si="7"/>
        <v>-26575915</v>
      </c>
      <c r="M24" s="39">
        <f t="shared" si="7"/>
        <v>-72486301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-2784</v>
      </c>
      <c r="E32" s="65">
        <v>-5239</v>
      </c>
      <c r="F32" s="60">
        <f>H32-D32</f>
        <v>0</v>
      </c>
      <c r="G32" s="37">
        <f>I32-E32</f>
        <v>0</v>
      </c>
      <c r="H32" s="65">
        <f t="shared" ref="H32:I35" si="9">D32</f>
        <v>-2784</v>
      </c>
      <c r="I32" s="66">
        <f t="shared" si="9"/>
        <v>-5239</v>
      </c>
      <c r="J32" s="60"/>
      <c r="K32" s="38"/>
      <c r="L32" s="60">
        <f t="shared" ref="L32:M35" si="10">H32+J32</f>
        <v>-2784</v>
      </c>
      <c r="M32" s="38">
        <f t="shared" si="10"/>
        <v>-5239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600000</v>
      </c>
      <c r="E35" s="65">
        <v>1628106</v>
      </c>
      <c r="F35" s="60">
        <f t="shared" si="11"/>
        <v>0</v>
      </c>
      <c r="G35" s="37">
        <f t="shared" si="11"/>
        <v>0</v>
      </c>
      <c r="H35" s="65">
        <f t="shared" si="9"/>
        <v>600000</v>
      </c>
      <c r="I35" s="66">
        <f t="shared" si="9"/>
        <v>1628106</v>
      </c>
      <c r="J35" s="60"/>
      <c r="K35" s="38"/>
      <c r="L35" s="60">
        <f t="shared" si="10"/>
        <v>600000</v>
      </c>
      <c r="M35" s="38">
        <f t="shared" si="10"/>
        <v>1628106</v>
      </c>
    </row>
    <row r="36" spans="1:13" x14ac:dyDescent="0.25">
      <c r="A36" s="9"/>
      <c r="B36" s="7" t="s">
        <v>43</v>
      </c>
      <c r="C36" s="6"/>
      <c r="D36" s="61">
        <v>597216</v>
      </c>
      <c r="E36" s="39">
        <v>1622867</v>
      </c>
      <c r="F36" s="61">
        <f>SUM(F32:F35)</f>
        <v>0</v>
      </c>
      <c r="G36" s="39">
        <f>SUM(G32:G35)</f>
        <v>0</v>
      </c>
      <c r="H36" s="61">
        <f>SUM(H32:H35)</f>
        <v>597216</v>
      </c>
      <c r="I36" s="39">
        <f>SUM(I32:I35)</f>
        <v>1622867</v>
      </c>
      <c r="J36" s="61">
        <f>SUM(J32:J34)</f>
        <v>0</v>
      </c>
      <c r="K36" s="39">
        <f>SUM(K32:K34)</f>
        <v>0</v>
      </c>
      <c r="L36" s="61">
        <f>SUM(L32:L35)</f>
        <v>597216</v>
      </c>
      <c r="M36" s="39">
        <f>SUM(M32:M35)</f>
        <v>1622867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1679791</v>
      </c>
      <c r="E39" s="65">
        <v>4720380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1679791</v>
      </c>
      <c r="I39" s="66">
        <f t="shared" si="12"/>
        <v>4720380</v>
      </c>
      <c r="J39" s="60"/>
      <c r="K39" s="38"/>
      <c r="L39" s="60">
        <f t="shared" ref="L39:M41" si="14">H39+J39</f>
        <v>1679791</v>
      </c>
      <c r="M39" s="38">
        <f t="shared" si="14"/>
        <v>4720380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-202671</v>
      </c>
      <c r="E40" s="65">
        <v>-563215</v>
      </c>
      <c r="F40" s="60">
        <f t="shared" si="13"/>
        <v>0</v>
      </c>
      <c r="G40" s="37">
        <f t="shared" si="13"/>
        <v>0</v>
      </c>
      <c r="H40" s="65">
        <f t="shared" si="12"/>
        <v>-202671</v>
      </c>
      <c r="I40" s="66">
        <f t="shared" si="12"/>
        <v>-563215</v>
      </c>
      <c r="J40" s="65"/>
      <c r="K40" s="38"/>
      <c r="L40" s="60">
        <f t="shared" si="14"/>
        <v>-202671</v>
      </c>
      <c r="M40" s="38">
        <f t="shared" si="14"/>
        <v>-563215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-202671</v>
      </c>
      <c r="E42" s="39">
        <v>-563215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-202671</v>
      </c>
      <c r="I42" s="39">
        <f>SUM(I40:I41)</f>
        <v>-563215</v>
      </c>
      <c r="J42" s="69">
        <f t="shared" si="15"/>
        <v>0</v>
      </c>
      <c r="K42" s="39">
        <f t="shared" si="15"/>
        <v>0</v>
      </c>
      <c r="L42" s="69">
        <f t="shared" si="15"/>
        <v>-202671</v>
      </c>
      <c r="M42" s="39">
        <f t="shared" si="15"/>
        <v>-563215</v>
      </c>
    </row>
    <row r="43" spans="1:13" ht="21" customHeight="1" x14ac:dyDescent="0.25">
      <c r="A43" s="9"/>
      <c r="B43" s="7" t="s">
        <v>49</v>
      </c>
      <c r="C43" s="6"/>
      <c r="D43" s="61">
        <v>1477120</v>
      </c>
      <c r="E43" s="39">
        <v>4157165</v>
      </c>
      <c r="F43" s="61">
        <f t="shared" ref="F43:M43" si="16">F42+F39</f>
        <v>0</v>
      </c>
      <c r="G43" s="39">
        <f t="shared" si="16"/>
        <v>0</v>
      </c>
      <c r="H43" s="61">
        <f>H42+H39</f>
        <v>1477120</v>
      </c>
      <c r="I43" s="39">
        <f>I42+I39</f>
        <v>4157165</v>
      </c>
      <c r="J43" s="61">
        <f t="shared" si="16"/>
        <v>0</v>
      </c>
      <c r="K43" s="39">
        <f t="shared" si="16"/>
        <v>0</v>
      </c>
      <c r="L43" s="61">
        <f t="shared" si="16"/>
        <v>1477120</v>
      </c>
      <c r="M43" s="39">
        <f t="shared" si="16"/>
        <v>4157165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-60433</v>
      </c>
      <c r="E49" s="65">
        <v>-153499.82</v>
      </c>
      <c r="F49" s="60">
        <f>H49-D49</f>
        <v>0</v>
      </c>
      <c r="G49" s="37">
        <f>I49-E49</f>
        <v>0</v>
      </c>
      <c r="H49" s="65">
        <f>D49</f>
        <v>-60433</v>
      </c>
      <c r="I49" s="66">
        <f>E49</f>
        <v>-153499.82</v>
      </c>
      <c r="J49" s="60"/>
      <c r="K49" s="38"/>
      <c r="L49" s="60">
        <f>H49+J49</f>
        <v>-60433</v>
      </c>
      <c r="M49" s="38">
        <f>I49+K49</f>
        <v>-153499.82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-478761</v>
      </c>
      <c r="E51" s="65">
        <v>-1304213</v>
      </c>
      <c r="F51" s="60">
        <f>H51-D51</f>
        <v>0</v>
      </c>
      <c r="G51" s="37">
        <f>I51-E51</f>
        <v>0</v>
      </c>
      <c r="H51" s="65">
        <f>D51</f>
        <v>-478761</v>
      </c>
      <c r="I51" s="66">
        <f>E51</f>
        <v>-1304213</v>
      </c>
      <c r="J51" s="60"/>
      <c r="K51" s="38"/>
      <c r="L51" s="60">
        <f>H51+J51</f>
        <v>-478761</v>
      </c>
      <c r="M51" s="38">
        <f>I51+K51</f>
        <v>-1304213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-544443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-544443</v>
      </c>
      <c r="J54" s="60"/>
      <c r="K54" s="38"/>
      <c r="L54" s="60">
        <f>H54+J54</f>
        <v>0</v>
      </c>
      <c r="M54" s="38">
        <f>I54+K54</f>
        <v>-544443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159396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159396</v>
      </c>
      <c r="J55" s="60"/>
      <c r="K55" s="38"/>
      <c r="L55" s="60">
        <f>H55+J55</f>
        <v>0</v>
      </c>
      <c r="M55" s="38">
        <f>I55+K55</f>
        <v>159396</v>
      </c>
    </row>
    <row r="56" spans="1:15" x14ac:dyDescent="0.25">
      <c r="A56" s="9"/>
      <c r="B56" s="7" t="s">
        <v>57</v>
      </c>
      <c r="C56" s="6"/>
      <c r="D56" s="61">
        <v>0</v>
      </c>
      <c r="E56" s="39">
        <v>-385047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-385047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-385047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8066078.1451007947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8066078.1451007947</v>
      </c>
      <c r="J70" s="65"/>
      <c r="K70" s="38"/>
      <c r="L70" s="60">
        <f t="shared" si="20"/>
        <v>0</v>
      </c>
      <c r="M70" s="38">
        <f t="shared" si="20"/>
        <v>8066078.1451007947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-6989410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-6989410</v>
      </c>
      <c r="J71" s="65"/>
      <c r="K71" s="38"/>
      <c r="L71" s="60">
        <f t="shared" si="20"/>
        <v>0</v>
      </c>
      <c r="M71" s="38">
        <f t="shared" si="20"/>
        <v>-6989410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1076668.1451007947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1076668.1451007947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1076668.1451007947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-1092870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-1092870</v>
      </c>
      <c r="J74" s="60"/>
      <c r="K74" s="38"/>
      <c r="L74" s="60">
        <f t="shared" si="23"/>
        <v>0</v>
      </c>
      <c r="M74" s="38">
        <f t="shared" si="23"/>
        <v>-1092870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25711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25711</v>
      </c>
      <c r="J75" s="60"/>
      <c r="K75" s="38"/>
      <c r="L75" s="60">
        <f t="shared" si="23"/>
        <v>0</v>
      </c>
      <c r="M75" s="38">
        <f t="shared" si="23"/>
        <v>25711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39257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39257</v>
      </c>
      <c r="J81" s="60"/>
      <c r="K81" s="38"/>
      <c r="L81" s="60">
        <f t="shared" si="23"/>
        <v>0</v>
      </c>
      <c r="M81" s="38">
        <f t="shared" si="23"/>
        <v>39257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604576.32510080235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604576.32510080235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604576.32510080235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G20" sqref="G20"/>
    </sheetView>
  </sheetViews>
  <sheetFormatPr defaultRowHeight="13.2" x14ac:dyDescent="0.25"/>
  <cols>
    <col min="1" max="1" width="21.6640625" customWidth="1"/>
    <col min="2" max="2" width="21.33203125" customWidth="1"/>
    <col min="3" max="3" width="20" customWidth="1"/>
    <col min="4" max="7" width="17" customWidth="1"/>
    <col min="8" max="8" width="25.6640625" customWidth="1"/>
  </cols>
  <sheetData>
    <row r="1" spans="1:10" s="33" customFormat="1" x14ac:dyDescent="0.25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5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5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5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5">
      <c r="A5" s="5" t="s">
        <v>199</v>
      </c>
      <c r="B5" s="50"/>
      <c r="C5" s="50"/>
      <c r="D5" s="50"/>
      <c r="E5" s="50"/>
      <c r="F5" s="50"/>
      <c r="G5" s="50"/>
      <c r="H5" s="50"/>
    </row>
    <row r="9" spans="1:10" ht="13.8" thickBot="1" x14ac:dyDescent="0.3"/>
    <row r="10" spans="1:10" s="87" customFormat="1" ht="36.6" thickBot="1" x14ac:dyDescent="0.4">
      <c r="A10" s="104" t="s">
        <v>12</v>
      </c>
      <c r="B10" s="105" t="s">
        <v>194</v>
      </c>
      <c r="C10" s="194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5">
      <c r="A11" s="101" t="s">
        <v>13</v>
      </c>
      <c r="B11" s="140">
        <f>'CE-FLSH'!$M$82</f>
        <v>2528127.8323529484</v>
      </c>
      <c r="C11" s="65">
        <f t="shared" ref="C11:C24" si="0">+D11-B11</f>
        <v>-127.83235294837505</v>
      </c>
      <c r="D11" s="140">
        <f>+'[2]ST Warroom 99'!$B$14</f>
        <v>2528000</v>
      </c>
      <c r="E11" s="140">
        <f>+F11-D11</f>
        <v>807040</v>
      </c>
      <c r="F11" s="140">
        <f>+'[2]ST Warroom 99'!$B$48</f>
        <v>3335040</v>
      </c>
      <c r="G11" s="195">
        <f>CE_GL!$E$82</f>
        <v>2662480.0600000294</v>
      </c>
      <c r="H11" s="107">
        <f t="shared" ref="H11:H25" si="1">G11-F11</f>
        <v>-672559.93999997061</v>
      </c>
      <c r="I11" s="31"/>
      <c r="J11" s="31"/>
    </row>
    <row r="12" spans="1:10" x14ac:dyDescent="0.25">
      <c r="A12" s="101" t="s">
        <v>190</v>
      </c>
      <c r="B12" s="140">
        <f>'ARUBA-FLSH'!$M$82</f>
        <v>295648.48086115019</v>
      </c>
      <c r="C12" s="65">
        <f>+D12-B12</f>
        <v>351.51913884980604</v>
      </c>
      <c r="D12" s="140">
        <f>+'[2]ST Warroom 99'!$Q$14</f>
        <v>296000</v>
      </c>
      <c r="E12" s="140">
        <f>+F12-D12</f>
        <v>-26966</v>
      </c>
      <c r="F12" s="140">
        <f>+'[2]ST Warroom 99'!$Q$48</f>
        <v>269034</v>
      </c>
      <c r="G12" s="195">
        <f>ARUBA_GL!$E$82</f>
        <v>-880784.47500000044</v>
      </c>
      <c r="H12" s="107">
        <f>G12-F12</f>
        <v>-1149818.4750000006</v>
      </c>
      <c r="I12" s="31"/>
      <c r="J12" s="31"/>
    </row>
    <row r="13" spans="1:10" x14ac:dyDescent="0.25">
      <c r="A13" s="101" t="s">
        <v>14</v>
      </c>
      <c r="B13" s="140">
        <v>0</v>
      </c>
      <c r="C13" s="65">
        <f t="shared" si="0"/>
        <v>0</v>
      </c>
      <c r="D13" s="140">
        <v>0</v>
      </c>
      <c r="E13" s="140">
        <f t="shared" ref="E13:E25" si="2">+F13-D13</f>
        <v>0</v>
      </c>
      <c r="F13" s="140">
        <v>0</v>
      </c>
      <c r="G13" s="195">
        <v>0</v>
      </c>
      <c r="H13" s="107">
        <f t="shared" si="1"/>
        <v>0</v>
      </c>
      <c r="I13" s="31"/>
      <c r="J13" s="31"/>
    </row>
    <row r="14" spans="1:10" x14ac:dyDescent="0.25">
      <c r="A14" s="101" t="s">
        <v>156</v>
      </c>
      <c r="B14" s="139">
        <f>'BGC-EGM-FLSH'!$M$82+'EAST-EGM-FLSH'!M82</f>
        <v>3996141.8554710071</v>
      </c>
      <c r="C14" s="65">
        <f t="shared" si="0"/>
        <v>-141.85547100706026</v>
      </c>
      <c r="D14" s="139">
        <f>+'[2]ST Warroom 99'!$C$14</f>
        <v>3996000</v>
      </c>
      <c r="E14" s="140">
        <f t="shared" si="2"/>
        <v>418510</v>
      </c>
      <c r="F14" s="139">
        <f>+'[2]ST Warroom 99'!$C$48</f>
        <v>4414510</v>
      </c>
      <c r="G14" s="195">
        <f>'BGC-EGM-GL'!$E$82+'EAST-EGM-GL'!E82</f>
        <v>-1567224.5959999417</v>
      </c>
      <c r="H14" s="107">
        <f t="shared" si="1"/>
        <v>-5981734.5959999412</v>
      </c>
      <c r="I14" s="31"/>
      <c r="J14" s="31"/>
    </row>
    <row r="15" spans="1:10" x14ac:dyDescent="0.25">
      <c r="A15" s="101" t="s">
        <v>157</v>
      </c>
      <c r="B15" s="139">
        <f>'EAST-LRC-FLSH'!$M$82</f>
        <v>-4449311.1615377134</v>
      </c>
      <c r="C15" s="65">
        <f t="shared" si="0"/>
        <v>311.16153771337122</v>
      </c>
      <c r="D15" s="139">
        <f>+'[2]ST Warroom 99'!$D$14</f>
        <v>-4449000</v>
      </c>
      <c r="E15" s="140">
        <f t="shared" si="2"/>
        <v>0</v>
      </c>
      <c r="F15" s="139">
        <f>+'[2]ST Warroom 99'!$D$48</f>
        <v>-4449000</v>
      </c>
      <c r="G15" s="195">
        <f>'EAST-LRC-GL'!$E$82</f>
        <v>-186220.63099999595</v>
      </c>
      <c r="H15" s="107">
        <f t="shared" si="1"/>
        <v>4262779.3690000037</v>
      </c>
      <c r="I15" s="31"/>
      <c r="J15" s="31"/>
    </row>
    <row r="16" spans="1:10" x14ac:dyDescent="0.25">
      <c r="A16" s="101" t="s">
        <v>164</v>
      </c>
      <c r="B16" s="139">
        <f>+'EAST-EGM-FLSH'!M89</f>
        <v>206810</v>
      </c>
      <c r="C16" s="65">
        <f t="shared" si="0"/>
        <v>190</v>
      </c>
      <c r="D16" s="139">
        <f>+'[2]ST Warroom 99'!$E$14</f>
        <v>207000</v>
      </c>
      <c r="E16" s="140">
        <f t="shared" si="2"/>
        <v>0</v>
      </c>
      <c r="F16" s="139">
        <f>+'[2]ST Warroom 99'!$E$48</f>
        <v>207000</v>
      </c>
      <c r="G16" s="195">
        <f>+'EAST-EGM-GL'!E89</f>
        <v>206809</v>
      </c>
      <c r="H16" s="107">
        <f t="shared" si="1"/>
        <v>-191</v>
      </c>
      <c r="I16" s="31"/>
      <c r="J16" s="31"/>
    </row>
    <row r="17" spans="1:10" x14ac:dyDescent="0.25">
      <c r="A17" s="101" t="s">
        <v>16</v>
      </c>
      <c r="B17" s="139">
        <f>'TX-EGM-FLSH'!$M$82</f>
        <v>912970.09876764938</v>
      </c>
      <c r="C17" s="65">
        <f t="shared" si="0"/>
        <v>4029.9012323506176</v>
      </c>
      <c r="D17" s="139">
        <f>+'[2]ST Warroom 99'!$H$14</f>
        <v>917000</v>
      </c>
      <c r="E17" s="140">
        <f t="shared" si="2"/>
        <v>238888</v>
      </c>
      <c r="F17" s="139">
        <f>+'[2]ST Warroom 99'!$H$48</f>
        <v>1155888</v>
      </c>
      <c r="G17" s="195">
        <f>'TX-EGM-GL'!$E$91</f>
        <v>781168.8899999999</v>
      </c>
      <c r="H17" s="107">
        <f t="shared" si="1"/>
        <v>-374719.1100000001</v>
      </c>
      <c r="I17" s="31"/>
      <c r="J17" s="31"/>
    </row>
    <row r="18" spans="1:10" x14ac:dyDescent="0.25">
      <c r="A18" s="101" t="s">
        <v>182</v>
      </c>
      <c r="B18" s="139">
        <f>'TX-HPLR-FLSH'!$M$82</f>
        <v>-3910.1300000161282</v>
      </c>
      <c r="C18" s="65">
        <f t="shared" si="0"/>
        <v>-89.869999983871821</v>
      </c>
      <c r="D18" s="139">
        <f>+'[2]ST Warroom 99'!$I$14</f>
        <v>-4000</v>
      </c>
      <c r="E18" s="140">
        <f t="shared" si="2"/>
        <v>0</v>
      </c>
      <c r="F18" s="139">
        <f>+'[2]ST Warroom 99'!$I$48</f>
        <v>-4000</v>
      </c>
      <c r="G18" s="195">
        <f>'TX-HPLR-GL '!$E$82</f>
        <v>344.55999999999483</v>
      </c>
      <c r="H18" s="107">
        <f t="shared" si="1"/>
        <v>4344.5599999999949</v>
      </c>
      <c r="I18" s="31"/>
      <c r="J18" s="31"/>
    </row>
    <row r="19" spans="1:10" x14ac:dyDescent="0.25">
      <c r="A19" s="101" t="s">
        <v>183</v>
      </c>
      <c r="B19" s="139">
        <f>'TX-HPLC-FLSH'!$M$82</f>
        <v>975718.35862020752</v>
      </c>
      <c r="C19" s="65">
        <f t="shared" si="0"/>
        <v>281.64137979247607</v>
      </c>
      <c r="D19" s="139">
        <f>+'[2]ST Warroom 99'!$J$14</f>
        <v>976000</v>
      </c>
      <c r="E19" s="140">
        <f t="shared" si="2"/>
        <v>0</v>
      </c>
      <c r="F19" s="139">
        <f>+'[2]ST Warroom 99'!$J$48</f>
        <v>976000</v>
      </c>
      <c r="G19" s="195">
        <f>'TX-HPLC-GL'!$E$82</f>
        <v>1700253.0699999928</v>
      </c>
      <c r="H19" s="107">
        <f t="shared" si="1"/>
        <v>724253.06999999285</v>
      </c>
      <c r="I19" s="31"/>
      <c r="J19" s="31"/>
    </row>
    <row r="20" spans="1:10" x14ac:dyDescent="0.25">
      <c r="A20" s="101" t="s">
        <v>176</v>
      </c>
      <c r="B20" s="139">
        <f>'TX-EGM-FLSH'!$M$89</f>
        <v>165000</v>
      </c>
      <c r="C20" s="65">
        <f t="shared" si="0"/>
        <v>0</v>
      </c>
      <c r="D20" s="60">
        <f>+'[2]ST Warroom 99'!$K$14</f>
        <v>165000</v>
      </c>
      <c r="E20" s="140">
        <f t="shared" si="2"/>
        <v>0</v>
      </c>
      <c r="F20" s="60">
        <f>+'[2]ST Warroom 99'!$K$48</f>
        <v>165000</v>
      </c>
      <c r="G20" s="195">
        <f>'TX-HPLC-GL'!$E$89</f>
        <v>164980.20000000019</v>
      </c>
      <c r="H20" s="107">
        <f t="shared" si="1"/>
        <v>-19.799999999813735</v>
      </c>
      <c r="I20" s="31"/>
      <c r="J20" s="31"/>
    </row>
    <row r="21" spans="1:10" x14ac:dyDescent="0.25">
      <c r="A21" s="101" t="s">
        <v>17</v>
      </c>
      <c r="B21" s="139">
        <f>'WE-FLSH'!$M$82</f>
        <v>969019.02603693376</v>
      </c>
      <c r="C21" s="65">
        <f t="shared" si="0"/>
        <v>1980.973963066237</v>
      </c>
      <c r="D21" s="139">
        <f>+'[2]ST Warroom 99'!$L$14</f>
        <v>971000</v>
      </c>
      <c r="E21" s="140">
        <f t="shared" si="2"/>
        <v>102809</v>
      </c>
      <c r="F21" s="139">
        <f>+'[2]ST Warroom 99'!$L$48</f>
        <v>1073809</v>
      </c>
      <c r="G21" s="195">
        <f>'WE-GL '!$E$82</f>
        <v>573386.57000001473</v>
      </c>
      <c r="H21" s="107">
        <f t="shared" si="1"/>
        <v>-500422.42999998527</v>
      </c>
      <c r="I21" s="31"/>
      <c r="J21" s="31"/>
    </row>
    <row r="22" spans="1:10" x14ac:dyDescent="0.25">
      <c r="A22" s="101" t="s">
        <v>18</v>
      </c>
      <c r="B22" s="139">
        <f>STG_FLSH!$M$82</f>
        <v>-219000</v>
      </c>
      <c r="C22" s="65">
        <f t="shared" si="0"/>
        <v>0</v>
      </c>
      <c r="D22" s="139">
        <f>+'[2]ST Warroom 99'!$M$14</f>
        <v>-219000</v>
      </c>
      <c r="E22" s="140">
        <f t="shared" si="2"/>
        <v>293187</v>
      </c>
      <c r="F22" s="139">
        <f>+'[2]ST Warroom 99'!$M$48</f>
        <v>74187</v>
      </c>
      <c r="G22" s="195">
        <f>STG_GL!$E$82</f>
        <v>74187</v>
      </c>
      <c r="H22" s="107">
        <f t="shared" si="1"/>
        <v>0</v>
      </c>
      <c r="I22" s="31"/>
      <c r="J22" s="31"/>
    </row>
    <row r="23" spans="1:10" x14ac:dyDescent="0.25">
      <c r="A23" s="101" t="s">
        <v>158</v>
      </c>
      <c r="B23" s="139">
        <f>ONT_FLSH!$M$82</f>
        <v>444781.19289828656</v>
      </c>
      <c r="C23" s="65">
        <f t="shared" si="0"/>
        <v>218.80710171343526</v>
      </c>
      <c r="D23" s="139">
        <f>+'[2]ST Warroom 99'!$O$14</f>
        <v>445000</v>
      </c>
      <c r="E23" s="140">
        <f t="shared" si="2"/>
        <v>497352</v>
      </c>
      <c r="F23" s="139">
        <f>+'[2]ST Warroom 99'!$O$48</f>
        <v>942352</v>
      </c>
      <c r="G23" s="195">
        <f>'ONT_GL '!$E$82</f>
        <v>6585982.2099999823</v>
      </c>
      <c r="H23" s="107">
        <f t="shared" si="1"/>
        <v>5643630.2099999823</v>
      </c>
      <c r="I23" s="31"/>
      <c r="J23" s="31"/>
    </row>
    <row r="24" spans="1:10" x14ac:dyDescent="0.25">
      <c r="A24" s="101" t="s">
        <v>163</v>
      </c>
      <c r="B24" s="139">
        <f>ONT_FLSH!$M$89</f>
        <v>21000</v>
      </c>
      <c r="C24" s="65">
        <f t="shared" si="0"/>
        <v>0</v>
      </c>
      <c r="D24" s="195">
        <f>+'[2]ST Warroom 99'!$P$14</f>
        <v>21000</v>
      </c>
      <c r="E24" s="140">
        <f t="shared" si="2"/>
        <v>0</v>
      </c>
      <c r="F24" s="195">
        <f>+'[2]ST Warroom 99'!$P$48</f>
        <v>21000</v>
      </c>
      <c r="G24" s="195">
        <f>+'ONT_GL '!E89</f>
        <v>21000</v>
      </c>
      <c r="H24" s="107">
        <f t="shared" si="1"/>
        <v>0</v>
      </c>
      <c r="I24" s="31"/>
      <c r="J24" s="31"/>
    </row>
    <row r="25" spans="1:10" x14ac:dyDescent="0.25">
      <c r="A25" s="157" t="s">
        <v>113</v>
      </c>
      <c r="B25" s="139">
        <f>+BUG_FLSH!M82</f>
        <v>604576.32510080235</v>
      </c>
      <c r="C25" s="65">
        <f>+D25-B25</f>
        <v>-576.32510080235079</v>
      </c>
      <c r="D25" s="139">
        <f>+'[2]ST Warroom 99'!$G$14</f>
        <v>604000</v>
      </c>
      <c r="E25" s="140">
        <f t="shared" si="2"/>
        <v>-16832</v>
      </c>
      <c r="F25" s="139">
        <f>+'[2]ST Warroom 99'!$G$48</f>
        <v>587168</v>
      </c>
      <c r="G25" s="195">
        <f>+BUG_GL!E82</f>
        <v>561020.44799999706</v>
      </c>
      <c r="H25" s="107">
        <f t="shared" si="1"/>
        <v>-26147.552000002936</v>
      </c>
      <c r="I25" s="31"/>
      <c r="J25" s="31"/>
    </row>
    <row r="26" spans="1:10" ht="21.75" customHeight="1" thickBot="1" x14ac:dyDescent="0.3">
      <c r="A26" s="101" t="s">
        <v>10</v>
      </c>
      <c r="B26" s="61">
        <f t="shared" ref="B26:H26" si="3">SUM(B11:B25)</f>
        <v>6447571.8785712551</v>
      </c>
      <c r="C26" s="61">
        <f t="shared" si="3"/>
        <v>6428.1214287442854</v>
      </c>
      <c r="D26" s="61">
        <f t="shared" si="3"/>
        <v>6454000</v>
      </c>
      <c r="E26" s="61">
        <f t="shared" si="3"/>
        <v>2313988</v>
      </c>
      <c r="F26" s="61">
        <f t="shared" si="3"/>
        <v>8767988</v>
      </c>
      <c r="G26" s="61">
        <f t="shared" si="3"/>
        <v>10697382.306000078</v>
      </c>
      <c r="H26" s="108">
        <f t="shared" si="3"/>
        <v>1929394.3060000781</v>
      </c>
      <c r="I26" s="31"/>
      <c r="J26" s="31"/>
    </row>
    <row r="27" spans="1:10" ht="21" customHeight="1" thickBot="1" x14ac:dyDescent="0.3">
      <c r="A27" s="102" t="s">
        <v>19</v>
      </c>
      <c r="B27" s="103">
        <f>TOTAL!$E$91</f>
        <v>6447571.8785711844</v>
      </c>
      <c r="C27" s="103">
        <f>+C26</f>
        <v>6428.1214287442854</v>
      </c>
      <c r="D27" s="103">
        <f>+'[2]ST Warroom 99'!$T$14</f>
        <v>6454000</v>
      </c>
      <c r="E27" s="103">
        <f>+'[2]ST Warroom 99'!$T$31</f>
        <v>2313988</v>
      </c>
      <c r="F27" s="103">
        <f>+'[2]ST Warroom 99'!$T$48</f>
        <v>8767988</v>
      </c>
      <c r="G27" s="103">
        <f>TOTAL!$G$91</f>
        <v>10697382.306000035</v>
      </c>
      <c r="H27" s="208">
        <f>+[1]OAvsACT!$G$53</f>
        <v>1929400.8599999994</v>
      </c>
      <c r="I27" s="31"/>
      <c r="J27" s="31"/>
    </row>
    <row r="28" spans="1:10" x14ac:dyDescent="0.25">
      <c r="B28" s="45"/>
      <c r="C28" s="45"/>
      <c r="D28" s="45"/>
      <c r="E28" s="45"/>
      <c r="F28" s="45"/>
      <c r="G28" s="45"/>
      <c r="H28" s="45">
        <f>+H27-H26</f>
        <v>6.5539999213069677</v>
      </c>
      <c r="I28" s="45"/>
      <c r="J28" s="45"/>
    </row>
    <row r="29" spans="1:10" x14ac:dyDescent="0.25">
      <c r="B29" s="45">
        <f t="shared" ref="B29:G29" si="4">+B26-B27</f>
        <v>7.0780515670776367E-8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4.2840838432312012E-8</v>
      </c>
      <c r="H29" s="45">
        <v>0</v>
      </c>
      <c r="I29" s="45"/>
      <c r="J29" s="45"/>
    </row>
    <row r="31" spans="1:10" hidden="1" x14ac:dyDescent="0.25"/>
    <row r="32" spans="1:1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3:7" hidden="1" x14ac:dyDescent="0.25"/>
    <row r="50" spans="3:7" hidden="1" x14ac:dyDescent="0.25"/>
    <row r="51" spans="3:7" hidden="1" x14ac:dyDescent="0.25"/>
    <row r="52" spans="3:7" hidden="1" x14ac:dyDescent="0.25"/>
    <row r="53" spans="3:7" hidden="1" x14ac:dyDescent="0.25"/>
    <row r="54" spans="3:7" hidden="1" x14ac:dyDescent="0.25"/>
    <row r="55" spans="3:7" hidden="1" x14ac:dyDescent="0.25"/>
    <row r="56" spans="3:7" hidden="1" x14ac:dyDescent="0.25"/>
    <row r="57" spans="3:7" hidden="1" x14ac:dyDescent="0.25"/>
    <row r="58" spans="3:7" hidden="1" x14ac:dyDescent="0.25">
      <c r="C58" s="2"/>
      <c r="D58" s="2"/>
      <c r="E58" s="2"/>
      <c r="F58" s="2"/>
      <c r="G58" s="2"/>
    </row>
    <row r="59" spans="3:7" hidden="1" x14ac:dyDescent="0.25"/>
    <row r="60" spans="3:7" hidden="1" x14ac:dyDescent="0.25"/>
    <row r="61" spans="3:7" hidden="1" x14ac:dyDescent="0.25"/>
    <row r="62" spans="3:7" hidden="1" x14ac:dyDescent="0.25"/>
    <row r="63" spans="3:7" hidden="1" x14ac:dyDescent="0.25"/>
    <row r="64" spans="3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spans="7:7" hidden="1" x14ac:dyDescent="0.25"/>
    <row r="82" spans="7:7" x14ac:dyDescent="0.25">
      <c r="G82">
        <v>3956539</v>
      </c>
    </row>
    <row r="83" spans="7:7" x14ac:dyDescent="0.25">
      <c r="G83" s="45">
        <f>+G27-G82</f>
        <v>6740843.3060000353</v>
      </c>
    </row>
    <row r="85" spans="7:7" x14ac:dyDescent="0.25">
      <c r="G85" s="45">
        <f>+G83+G84</f>
        <v>6740843.3060000353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N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50766027</v>
      </c>
      <c r="E11" s="38">
        <f>SUM(G11,I11,K11,M11,O11,Q11,S11,U11,W11,Y11,AA11,AC11,AE11)</f>
        <v>131917428.63000001</v>
      </c>
      <c r="F11" s="60">
        <f>'TIE-OUT'!F11+RECLASS!F11</f>
        <v>0</v>
      </c>
      <c r="G11" s="38">
        <f>'TIE-OUT'!G11+RECLASS!G11</f>
        <v>0</v>
      </c>
      <c r="H11" s="127">
        <f>+Actuals!E124</f>
        <v>49970747</v>
      </c>
      <c r="I11" s="128">
        <f>+Actuals!F124</f>
        <v>131080881.31000002</v>
      </c>
      <c r="J11" s="127">
        <f>+Actuals!G124</f>
        <v>832838</v>
      </c>
      <c r="K11" s="128">
        <f>+Actuals!H124</f>
        <v>1031116.94</v>
      </c>
      <c r="L11" s="127">
        <f>+Actuals!I124</f>
        <v>-22496</v>
      </c>
      <c r="M11" s="128">
        <f>+Actuals!J124</f>
        <v>-125878.41</v>
      </c>
      <c r="N11" s="127">
        <f>+Actuals!K164</f>
        <v>56</v>
      </c>
      <c r="O11" s="128">
        <f>+Actuals!L164</f>
        <v>82501.8</v>
      </c>
      <c r="P11" s="127">
        <f>+Actuals!M164</f>
        <v>5010</v>
      </c>
      <c r="Q11" s="128">
        <f>+Actuals!N164</f>
        <v>-104342.01</v>
      </c>
      <c r="R11" s="127">
        <f>+Actuals!O164</f>
        <v>-5128</v>
      </c>
      <c r="S11" s="128">
        <f>+Actuals!P164</f>
        <v>-13461</v>
      </c>
      <c r="T11" s="127">
        <f>+Actuals!Q164</f>
        <v>-15000</v>
      </c>
      <c r="U11" s="128">
        <f>+Actuals!R164</f>
        <v>-33390</v>
      </c>
      <c r="V11" s="127">
        <f>+Actuals!S124</f>
        <v>0</v>
      </c>
      <c r="W11" s="128">
        <f>+Actuals!T124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-1710295.2</v>
      </c>
      <c r="F12" s="60">
        <f>'TIE-OUT'!F12+RECLASS!F12</f>
        <v>0</v>
      </c>
      <c r="G12" s="38">
        <f>'TIE-OUT'!G12+RECLASS!G12</f>
        <v>-1714161.02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58">
        <v>3865.82</v>
      </c>
      <c r="L12" s="127">
        <f>+Actuals!I125</f>
        <v>0</v>
      </c>
      <c r="M12" s="128">
        <f>+Actuals!J125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8716146</v>
      </c>
      <c r="E13" s="38">
        <f t="shared" si="0"/>
        <v>23315535</v>
      </c>
      <c r="F13" s="60">
        <f>'TIE-OUT'!F13+RECLASS!F13</f>
        <v>0</v>
      </c>
      <c r="G13" s="38">
        <f>'TIE-OUT'!G13+RECLASS!G13</f>
        <v>0</v>
      </c>
      <c r="H13" s="127">
        <f>+Actuals!E126</f>
        <v>18205371</v>
      </c>
      <c r="I13" s="128">
        <f>+Actuals!F126</f>
        <v>50109495</v>
      </c>
      <c r="J13" s="127">
        <f>+Actuals!G126</f>
        <v>8744871</v>
      </c>
      <c r="K13" s="128">
        <f>+Actuals!H126</f>
        <v>23396475</v>
      </c>
      <c r="L13" s="127">
        <f>+Actuals!I126</f>
        <v>-18205371</v>
      </c>
      <c r="M13" s="128">
        <f>+Actuals!J126</f>
        <v>-50109495</v>
      </c>
      <c r="N13" s="127">
        <f>+Actuals!K166</f>
        <v>26928570</v>
      </c>
      <c r="O13" s="128">
        <f>+Actuals!L166</f>
        <v>73445067</v>
      </c>
      <c r="P13" s="127">
        <f>+Actuals!M166</f>
        <v>0</v>
      </c>
      <c r="Q13" s="128">
        <f>+Actuals!N166</f>
        <v>0</v>
      </c>
      <c r="R13" s="127">
        <f>+Actuals!O166</f>
        <v>-26959613</v>
      </c>
      <c r="S13" s="128">
        <f>+Actuals!P166</f>
        <v>-73531694</v>
      </c>
      <c r="T13" s="127">
        <f>+Actuals!Q166</f>
        <v>2318</v>
      </c>
      <c r="U13" s="128">
        <f>+Actuals!R166</f>
        <v>5687</v>
      </c>
      <c r="V13" s="127">
        <f>+Actuals!S126</f>
        <v>0</v>
      </c>
      <c r="W13" s="128">
        <f>+Actuals!T126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1711484.02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1364377.86</v>
      </c>
      <c r="J15" s="127">
        <f>+Actuals!G128</f>
        <v>0</v>
      </c>
      <c r="K15" s="129">
        <f>+Actuals!H128</f>
        <v>335419.15999999997</v>
      </c>
      <c r="L15" s="127">
        <f>+Actuals!I128</f>
        <v>0</v>
      </c>
      <c r="M15" s="129">
        <f>+Actuals!J128</f>
        <v>0</v>
      </c>
      <c r="N15" s="127">
        <f>+Actuals!K168</f>
        <v>0</v>
      </c>
      <c r="O15" s="128">
        <f>+Actuals!L168</f>
        <v>677904</v>
      </c>
      <c r="P15" s="127">
        <f>+Actuals!M168</f>
        <v>0</v>
      </c>
      <c r="Q15" s="129">
        <f>+Actuals!N168</f>
        <v>-677904</v>
      </c>
      <c r="R15" s="127">
        <f>+Actuals!O168</f>
        <v>0</v>
      </c>
      <c r="S15" s="129">
        <f>+Actuals!P168</f>
        <v>11687</v>
      </c>
      <c r="T15" s="127">
        <f>+Actuals!Q168</f>
        <v>0</v>
      </c>
      <c r="U15" s="129">
        <f>+Actuals!R168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5">
      <c r="A16" s="9"/>
      <c r="B16" s="7" t="s">
        <v>30</v>
      </c>
      <c r="C16" s="6"/>
      <c r="D16" s="61">
        <f t="shared" ref="D16:I16" si="1">SUM(D11:D15)</f>
        <v>59482173</v>
      </c>
      <c r="E16" s="39">
        <f t="shared" si="1"/>
        <v>155234152.45000002</v>
      </c>
      <c r="F16" s="61">
        <f t="shared" si="1"/>
        <v>0</v>
      </c>
      <c r="G16" s="39">
        <f t="shared" si="1"/>
        <v>-1714161.02</v>
      </c>
      <c r="H16" s="61">
        <f t="shared" si="1"/>
        <v>68176118</v>
      </c>
      <c r="I16" s="82">
        <f t="shared" si="1"/>
        <v>182554754.17000002</v>
      </c>
      <c r="J16" s="61">
        <f t="shared" ref="J16:AE16" si="2">SUM(J11:J15)</f>
        <v>9577709</v>
      </c>
      <c r="K16" s="82">
        <f t="shared" si="2"/>
        <v>24766876.920000002</v>
      </c>
      <c r="L16" s="61">
        <f t="shared" si="2"/>
        <v>-18227867</v>
      </c>
      <c r="M16" s="82">
        <f t="shared" si="2"/>
        <v>-50235373.409999996</v>
      </c>
      <c r="N16" s="61">
        <f t="shared" si="2"/>
        <v>26928626</v>
      </c>
      <c r="O16" s="39">
        <f t="shared" si="2"/>
        <v>74205472.799999997</v>
      </c>
      <c r="P16" s="61">
        <f t="shared" ref="P16:U16" si="3">SUM(P11:P15)</f>
        <v>5010</v>
      </c>
      <c r="Q16" s="82">
        <f t="shared" si="3"/>
        <v>-782246.01</v>
      </c>
      <c r="R16" s="61">
        <f t="shared" si="3"/>
        <v>-26964741</v>
      </c>
      <c r="S16" s="82">
        <f t="shared" si="3"/>
        <v>-73533468</v>
      </c>
      <c r="T16" s="61">
        <f t="shared" si="3"/>
        <v>-12682</v>
      </c>
      <c r="U16" s="82">
        <f t="shared" si="3"/>
        <v>-27703</v>
      </c>
      <c r="V16" s="61">
        <f t="shared" si="2"/>
        <v>0</v>
      </c>
      <c r="W16" s="82">
        <f t="shared" si="2"/>
        <v>0</v>
      </c>
      <c r="X16" s="61">
        <f t="shared" si="2"/>
        <v>0</v>
      </c>
      <c r="Y16" s="82">
        <f t="shared" si="2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-54782749</v>
      </c>
      <c r="E19" s="38">
        <f t="shared" si="4"/>
        <v>-135429011.12</v>
      </c>
      <c r="F19" s="64">
        <f>'TIE-OUT'!F19+RECLASS!F19</f>
        <v>0</v>
      </c>
      <c r="G19" s="68">
        <f>'TIE-OUT'!G19+RECLASS!G19</f>
        <v>0</v>
      </c>
      <c r="H19" s="127">
        <f>+Actuals!E129</f>
        <v>-53955816</v>
      </c>
      <c r="I19" s="128">
        <f>+Actuals!F129</f>
        <v>-134016378.83</v>
      </c>
      <c r="J19" s="127">
        <f>+Actuals!G129</f>
        <v>-969994</v>
      </c>
      <c r="K19" s="128">
        <f>+Actuals!H129</f>
        <v>-2245607.2999999998</v>
      </c>
      <c r="L19" s="127">
        <f>+Actuals!I129</f>
        <v>13342</v>
      </c>
      <c r="M19" s="128">
        <f>+Actuals!J129</f>
        <v>518747.78</v>
      </c>
      <c r="N19" s="127">
        <f>+Actuals!K169</f>
        <v>146536</v>
      </c>
      <c r="O19" s="128">
        <f>+Actuals!L169</f>
        <v>357629.47</v>
      </c>
      <c r="P19" s="127">
        <f>+Actuals!M169</f>
        <v>-1580</v>
      </c>
      <c r="Q19" s="128">
        <f>+Actuals!N169</f>
        <v>-3268.94</v>
      </c>
      <c r="R19" s="127">
        <f>+Actuals!O169</f>
        <v>-15237</v>
      </c>
      <c r="S19" s="128">
        <f>+Actuals!P169</f>
        <v>-37649.31</v>
      </c>
      <c r="T19" s="127">
        <f>+Actuals!Q169</f>
        <v>0</v>
      </c>
      <c r="U19" s="128">
        <f>+Actuals!R169</f>
        <v>-2483.9899999999998</v>
      </c>
      <c r="V19" s="127">
        <f>+Actuals!S129</f>
        <v>0</v>
      </c>
      <c r="W19" s="128">
        <f>+Actuals!T129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-1793105.3499999999</v>
      </c>
      <c r="F20" s="60">
        <f>'TIE-OUT'!F20+RECLASS!F20</f>
        <v>0</v>
      </c>
      <c r="G20" s="38">
        <f>'TIE-OUT'!G20+RECLASS!G20</f>
        <v>-1793105.3499999999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v>0</v>
      </c>
      <c r="L20" s="127">
        <f>+Actuals!I130</f>
        <v>0</v>
      </c>
      <c r="M20" s="128">
        <f>+Actuals!J130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4"/>
        <v>-5190039</v>
      </c>
      <c r="E21" s="38">
        <f t="shared" si="4"/>
        <v>-13596709</v>
      </c>
      <c r="F21" s="60">
        <f>'TIE-OUT'!F21+RECLASS!F21</f>
        <v>0</v>
      </c>
      <c r="G21" s="38">
        <f>'TIE-OUT'!G21+RECLASS!G21</f>
        <v>0</v>
      </c>
      <c r="H21" s="127">
        <f>+Actuals!E131</f>
        <v>-20187264</v>
      </c>
      <c r="I21" s="128">
        <f>+Actuals!F131</f>
        <v>-55179309</v>
      </c>
      <c r="J21" s="127">
        <f>+Actuals!G131</f>
        <v>-5190039</v>
      </c>
      <c r="K21" s="128">
        <f>+Actuals!H131</f>
        <v>-13596710</v>
      </c>
      <c r="L21" s="127">
        <f>+Actuals!I131</f>
        <v>20187264</v>
      </c>
      <c r="M21" s="128">
        <f>+Actuals!J131</f>
        <v>55179309</v>
      </c>
      <c r="N21" s="127">
        <f>+Actuals!K171</f>
        <v>-25377303</v>
      </c>
      <c r="O21" s="128">
        <f>+Actuals!L171</f>
        <v>-68776019</v>
      </c>
      <c r="P21" s="127">
        <f>+Actuals!M171</f>
        <v>0</v>
      </c>
      <c r="Q21" s="128">
        <f>+Actuals!N171</f>
        <v>0</v>
      </c>
      <c r="R21" s="127">
        <f>+Actuals!O171</f>
        <v>25377303</v>
      </c>
      <c r="S21" s="128">
        <f>+Actuals!P171</f>
        <v>68776020</v>
      </c>
      <c r="T21" s="127">
        <f>+Actuals!Q171</f>
        <v>0</v>
      </c>
      <c r="U21" s="128">
        <f>+Actuals!R171</f>
        <v>0</v>
      </c>
      <c r="V21" s="127">
        <f>+Actuals!S131</f>
        <v>0</v>
      </c>
      <c r="W21" s="128">
        <f>+Actuals!T131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4"/>
        <v>518368</v>
      </c>
      <c r="E23" s="38">
        <f t="shared" si="4"/>
        <v>1104510.1920000003</v>
      </c>
      <c r="F23" s="81">
        <f>'TIE-OUT'!F23+RECLASS!F23</f>
        <v>0</v>
      </c>
      <c r="G23" s="82">
        <f>'TIE-OUT'!G23+RECLASS!G23</f>
        <v>0</v>
      </c>
      <c r="H23" s="127">
        <f>+Actuals!E133</f>
        <v>688197</v>
      </c>
      <c r="I23" s="129">
        <f>+Actuals!F133</f>
        <v>1531926.5220000001</v>
      </c>
      <c r="J23" s="127">
        <f>+Actuals!G133</f>
        <v>17205</v>
      </c>
      <c r="K23" s="129">
        <f>+Actuals!H133</f>
        <v>38298.33</v>
      </c>
      <c r="L23" s="127">
        <f>+Actuals!I133</f>
        <v>114</v>
      </c>
      <c r="M23" s="129">
        <f>+Actuals!J133</f>
        <v>283.86</v>
      </c>
      <c r="N23" s="127">
        <f>+Actuals!K173</f>
        <v>1002</v>
      </c>
      <c r="O23" s="128">
        <f>+Actuals!L173</f>
        <v>2494.98</v>
      </c>
      <c r="P23" s="127">
        <f>+Actuals!M173</f>
        <v>348</v>
      </c>
      <c r="Q23" s="129">
        <f>+Actuals!N173</f>
        <v>866.52</v>
      </c>
      <c r="R23" s="127">
        <f>+Actuals!O173</f>
        <v>-188498</v>
      </c>
      <c r="S23" s="129">
        <f>+Actuals!P173</f>
        <v>-469360.02</v>
      </c>
      <c r="T23" s="127">
        <f>+Actuals!Q173</f>
        <v>0</v>
      </c>
      <c r="U23" s="129">
        <f>+Actuals!R173</f>
        <v>0</v>
      </c>
      <c r="V23" s="127">
        <f>+Actuals!S133</f>
        <v>0</v>
      </c>
      <c r="W23" s="129">
        <f>+Actuals!T133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5">
      <c r="A24" s="9"/>
      <c r="B24" s="7" t="s">
        <v>33</v>
      </c>
      <c r="C24" s="6"/>
      <c r="D24" s="61">
        <f t="shared" ref="D24:I24" si="5">SUM(D19:D23)</f>
        <v>-59454420</v>
      </c>
      <c r="E24" s="39">
        <f t="shared" si="5"/>
        <v>-149714315.278</v>
      </c>
      <c r="F24" s="61">
        <f t="shared" si="5"/>
        <v>0</v>
      </c>
      <c r="G24" s="39">
        <f t="shared" si="5"/>
        <v>-1793105.3499999999</v>
      </c>
      <c r="H24" s="61">
        <f t="shared" si="5"/>
        <v>-73454883</v>
      </c>
      <c r="I24" s="39">
        <f t="shared" si="5"/>
        <v>-187663761.30799997</v>
      </c>
      <c r="J24" s="61">
        <f t="shared" ref="J24:AE24" si="6">SUM(J19:J23)</f>
        <v>-6142828</v>
      </c>
      <c r="K24" s="39">
        <f t="shared" si="6"/>
        <v>-15804018.970000001</v>
      </c>
      <c r="L24" s="61">
        <f t="shared" si="6"/>
        <v>20200720</v>
      </c>
      <c r="M24" s="39">
        <f t="shared" si="6"/>
        <v>55698340.640000001</v>
      </c>
      <c r="N24" s="61">
        <f t="shared" si="6"/>
        <v>-25229765</v>
      </c>
      <c r="O24" s="39">
        <f t="shared" si="6"/>
        <v>-68415894.549999997</v>
      </c>
      <c r="P24" s="61">
        <f t="shared" ref="P24:U24" si="7">SUM(P19:P23)</f>
        <v>-1232</v>
      </c>
      <c r="Q24" s="39">
        <f t="shared" si="7"/>
        <v>-2402.42</v>
      </c>
      <c r="R24" s="61">
        <f t="shared" si="7"/>
        <v>25173568</v>
      </c>
      <c r="S24" s="39">
        <f t="shared" si="7"/>
        <v>68269010.670000002</v>
      </c>
      <c r="T24" s="61">
        <f t="shared" si="7"/>
        <v>0</v>
      </c>
      <c r="U24" s="39">
        <f t="shared" si="7"/>
        <v>-2483.9899999999998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266722</v>
      </c>
      <c r="E27" s="38">
        <f>SUM(G27,I27,K27,M27,O27,Q27,S27,U27,W27,Y27,AA27,AC27,AE27)</f>
        <v>675104.87</v>
      </c>
      <c r="F27" s="64">
        <f>'TIE-OUT'!F27+RECLASS!F27</f>
        <v>0</v>
      </c>
      <c r="G27" s="68">
        <f>'TIE-OUT'!G27+RECLASS!G27</f>
        <v>0</v>
      </c>
      <c r="H27" s="127">
        <f>+Actuals!E134</f>
        <v>266722</v>
      </c>
      <c r="I27" s="128">
        <f>+Actuals!F134</f>
        <v>675104.87</v>
      </c>
      <c r="J27" s="127">
        <f>+Actuals!G134</f>
        <v>-30003</v>
      </c>
      <c r="K27" s="128">
        <f>+Actuals!H134</f>
        <v>-79507.289999999994</v>
      </c>
      <c r="L27" s="127">
        <f>+Actuals!I134</f>
        <v>30003</v>
      </c>
      <c r="M27" s="128">
        <f>+Actuals!J134</f>
        <v>79507.289999999994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-470956</v>
      </c>
      <c r="E28" s="38">
        <f>SUM(G28,I28,K28,M28,O28,Q28,S28,U28,W28,Y28,AA28,AC28,AE28)</f>
        <v>-1343213.03</v>
      </c>
      <c r="F28" s="81">
        <f>'TIE-OUT'!F28+RECLASS!F28</f>
        <v>0</v>
      </c>
      <c r="G28" s="82">
        <f>'TIE-OUT'!G28+RECLASS!G28</f>
        <v>0</v>
      </c>
      <c r="H28" s="127">
        <f>+Actuals!E135</f>
        <v>-465963</v>
      </c>
      <c r="I28" s="128">
        <f>+Actuals!F135</f>
        <v>-1328630.18</v>
      </c>
      <c r="J28" s="127">
        <f>+Actuals!G135</f>
        <v>25007</v>
      </c>
      <c r="K28" s="128">
        <f>+Actuals!H135</f>
        <v>64167.15</v>
      </c>
      <c r="L28" s="127">
        <f>+Actuals!I135</f>
        <v>-30000</v>
      </c>
      <c r="M28" s="128">
        <f>+Actuals!J135</f>
        <v>-78750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5">
      <c r="A29" s="9"/>
      <c r="B29" s="7" t="s">
        <v>37</v>
      </c>
      <c r="C29" s="18"/>
      <c r="D29" s="61">
        <f t="shared" ref="D29:I29" si="8">SUM(D27:D28)</f>
        <v>-204234</v>
      </c>
      <c r="E29" s="39">
        <f t="shared" si="8"/>
        <v>-668108.16</v>
      </c>
      <c r="F29" s="61">
        <f t="shared" si="8"/>
        <v>0</v>
      </c>
      <c r="G29" s="39">
        <f t="shared" si="8"/>
        <v>0</v>
      </c>
      <c r="H29" s="61">
        <f t="shared" si="8"/>
        <v>-199241</v>
      </c>
      <c r="I29" s="39">
        <f t="shared" si="8"/>
        <v>-653525.30999999994</v>
      </c>
      <c r="J29" s="61">
        <f t="shared" ref="J29:AE29" si="9">SUM(J27:J28)</f>
        <v>-4996</v>
      </c>
      <c r="K29" s="39">
        <f t="shared" si="9"/>
        <v>-15340.139999999992</v>
      </c>
      <c r="L29" s="61">
        <f t="shared" si="9"/>
        <v>3</v>
      </c>
      <c r="M29" s="39">
        <f t="shared" si="9"/>
        <v>757.2899999999936</v>
      </c>
      <c r="N29" s="61">
        <f t="shared" si="9"/>
        <v>0</v>
      </c>
      <c r="O29" s="39">
        <f t="shared" si="9"/>
        <v>0</v>
      </c>
      <c r="P29" s="61">
        <f t="shared" ref="P29:U29" si="10">SUM(P27:P28)</f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-294407</v>
      </c>
      <c r="E32" s="38">
        <f t="shared" si="11"/>
        <v>-687105.48600000003</v>
      </c>
      <c r="F32" s="64">
        <f>'TIE-OUT'!F32+RECLASS!F32</f>
        <v>0</v>
      </c>
      <c r="G32" s="68">
        <f>'TIE-OUT'!G32+RECLASS!G32</f>
        <v>0</v>
      </c>
      <c r="H32" s="127">
        <f>+Actuals!E136</f>
        <v>-20487</v>
      </c>
      <c r="I32" s="128">
        <f>+Actuals!F136</f>
        <v>-45604.06</v>
      </c>
      <c r="J32" s="127">
        <f>+Actuals!G136</f>
        <v>-153634</v>
      </c>
      <c r="K32" s="128">
        <f>+Actuals!H136</f>
        <v>-341989.28600000002</v>
      </c>
      <c r="L32" s="127">
        <f>+Actuals!I136</f>
        <v>24843</v>
      </c>
      <c r="M32" s="128">
        <f>+Actuals!J136</f>
        <v>61859.07</v>
      </c>
      <c r="N32" s="127">
        <f>+Actuals!K176</f>
        <v>33960</v>
      </c>
      <c r="O32" s="128">
        <f>+Actuals!L176</f>
        <v>84560.4</v>
      </c>
      <c r="P32" s="127">
        <f>+Actuals!M176</f>
        <v>-5320</v>
      </c>
      <c r="Q32" s="128">
        <f>+Actuals!N176</f>
        <v>-13246.8</v>
      </c>
      <c r="R32" s="127">
        <f>+Actuals!O176</f>
        <v>-143060</v>
      </c>
      <c r="S32" s="128">
        <f>+Actuals!P176</f>
        <v>-356219.4</v>
      </c>
      <c r="T32" s="127">
        <f>+Actuals!Q176</f>
        <v>-30709</v>
      </c>
      <c r="U32" s="128">
        <f>+Actuals!R176</f>
        <v>-76465.41</v>
      </c>
      <c r="V32" s="127">
        <f>+Actuals!S136</f>
        <v>0</v>
      </c>
      <c r="W32" s="128">
        <f>+Actuals!T136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11"/>
        <v>-30906</v>
      </c>
      <c r="E33" s="38">
        <f t="shared" si="11"/>
        <v>-98911.42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-11791</v>
      </c>
      <c r="K33" s="128">
        <f>+Actuals!H137</f>
        <v>-31532.47</v>
      </c>
      <c r="L33" s="127">
        <f>+Actuals!I137</f>
        <v>-4839</v>
      </c>
      <c r="M33" s="128">
        <f>+Actuals!J137</f>
        <v>-13086.72</v>
      </c>
      <c r="N33" s="127">
        <f>+Actuals!K177</f>
        <v>0</v>
      </c>
      <c r="O33" s="128">
        <f>+Actuals!L177</f>
        <v>0</v>
      </c>
      <c r="P33" s="127">
        <f>+Actuals!M177</f>
        <v>0</v>
      </c>
      <c r="Q33" s="128">
        <f>+Actuals!N177</f>
        <v>0</v>
      </c>
      <c r="R33" s="127">
        <f>+Actuals!O177</f>
        <v>-13903</v>
      </c>
      <c r="S33" s="128">
        <f>+Actuals!P177</f>
        <v>-53295.05</v>
      </c>
      <c r="T33" s="127">
        <f>+Actuals!Q177</f>
        <v>-373</v>
      </c>
      <c r="U33" s="128">
        <f>+Actuals!R177</f>
        <v>-997.18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11"/>
        <v>5127</v>
      </c>
      <c r="E34" s="38">
        <f t="shared" si="11"/>
        <v>13508.13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2386</v>
      </c>
      <c r="K34" s="128">
        <f>+Actuals!H138</f>
        <v>6378.73</v>
      </c>
      <c r="L34" s="127">
        <f>+Actuals!I138</f>
        <v>2631</v>
      </c>
      <c r="M34" s="128">
        <f>+Actuals!J138</f>
        <v>6835.33</v>
      </c>
      <c r="N34" s="127">
        <f>+Actuals!K178</f>
        <v>0</v>
      </c>
      <c r="O34" s="128">
        <f>+Actuals!L178</f>
        <v>0</v>
      </c>
      <c r="P34" s="127">
        <f>+Actuals!M178</f>
        <v>0</v>
      </c>
      <c r="Q34" s="128">
        <f>+Actuals!N178</f>
        <v>0</v>
      </c>
      <c r="R34" s="127">
        <f>+Actuals!O178</f>
        <v>110</v>
      </c>
      <c r="S34" s="128">
        <f>+Actuals!P178</f>
        <v>294.07</v>
      </c>
      <c r="T34" s="127">
        <f>+Actuals!Q178</f>
        <v>0</v>
      </c>
      <c r="U34" s="128">
        <f>+Actuals!R178</f>
        <v>0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+Actuals!I139</f>
        <v>0</v>
      </c>
      <c r="M35" s="128">
        <f>+Actuals!J139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5">
      <c r="A36" s="9"/>
      <c r="B36" s="7" t="s">
        <v>43</v>
      </c>
      <c r="C36" s="6"/>
      <c r="D36" s="61">
        <f t="shared" ref="D36:I36" si="12">SUM(D32:D35)</f>
        <v>-320186</v>
      </c>
      <c r="E36" s="39">
        <f t="shared" si="12"/>
        <v>-772508.77600000007</v>
      </c>
      <c r="F36" s="61">
        <f t="shared" si="12"/>
        <v>0</v>
      </c>
      <c r="G36" s="39">
        <f t="shared" si="12"/>
        <v>0</v>
      </c>
      <c r="H36" s="61">
        <f t="shared" si="12"/>
        <v>-20487</v>
      </c>
      <c r="I36" s="39">
        <f t="shared" si="12"/>
        <v>-45604.06</v>
      </c>
      <c r="J36" s="61">
        <f t="shared" ref="J36:AE36" si="13">SUM(J32:J35)</f>
        <v>-163039</v>
      </c>
      <c r="K36" s="39">
        <f t="shared" si="13"/>
        <v>-367143.02600000007</v>
      </c>
      <c r="L36" s="61">
        <f t="shared" si="13"/>
        <v>22635</v>
      </c>
      <c r="M36" s="39">
        <f t="shared" si="13"/>
        <v>55607.68</v>
      </c>
      <c r="N36" s="61">
        <f t="shared" si="13"/>
        <v>33960</v>
      </c>
      <c r="O36" s="39">
        <f t="shared" si="13"/>
        <v>84560.4</v>
      </c>
      <c r="P36" s="61">
        <f t="shared" ref="P36:U36" si="14">SUM(P32:P35)</f>
        <v>-5320</v>
      </c>
      <c r="Q36" s="39">
        <f t="shared" si="14"/>
        <v>-13246.8</v>
      </c>
      <c r="R36" s="61">
        <f t="shared" si="14"/>
        <v>-156853</v>
      </c>
      <c r="S36" s="39">
        <f t="shared" si="14"/>
        <v>-409220.38</v>
      </c>
      <c r="T36" s="61">
        <f t="shared" si="14"/>
        <v>-31082</v>
      </c>
      <c r="U36" s="39">
        <f t="shared" si="14"/>
        <v>-77462.59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277088</v>
      </c>
      <c r="E39" s="38">
        <f t="shared" si="15"/>
        <v>616797.89</v>
      </c>
      <c r="F39" s="64">
        <f>'TIE-OUT'!F39+RECLASS!F39</f>
        <v>0</v>
      </c>
      <c r="G39" s="68">
        <f>'TIE-OUT'!G39+RECLASS!G39</f>
        <v>0</v>
      </c>
      <c r="H39" s="127">
        <f>+Actuals!E140</f>
        <v>150</v>
      </c>
      <c r="I39" s="128">
        <f>+Actuals!F140</f>
        <v>333.9</v>
      </c>
      <c r="J39" s="127">
        <f>+Actuals!G140</f>
        <v>277088</v>
      </c>
      <c r="K39" s="128">
        <f>+Actuals!H140</f>
        <v>616797.89</v>
      </c>
      <c r="L39" s="127">
        <f>+Actuals!I140</f>
        <v>0</v>
      </c>
      <c r="M39" s="128">
        <f>+Actuals!J140</f>
        <v>0</v>
      </c>
      <c r="N39" s="127">
        <f>+Actuals!K180</f>
        <v>-150</v>
      </c>
      <c r="O39" s="128">
        <f>+Actuals!L180</f>
        <v>-333.9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-27717</v>
      </c>
      <c r="E40" s="38">
        <f t="shared" si="15"/>
        <v>-74520.06</v>
      </c>
      <c r="F40" s="60">
        <f>'TIE-OUT'!F40+RECLASS!F40</f>
        <v>0</v>
      </c>
      <c r="G40" s="38">
        <f>'TIE-OUT'!G40+RECLASS!G40</f>
        <v>0</v>
      </c>
      <c r="H40" s="127">
        <f>+Actuals!E141</f>
        <v>-1</v>
      </c>
      <c r="I40" s="128">
        <f>+Actuals!F141</f>
        <v>-2.25</v>
      </c>
      <c r="J40" s="127">
        <f>+Actuals!G141</f>
        <v>-27716</v>
      </c>
      <c r="K40" s="128">
        <f>+Actuals!H141</f>
        <v>-121832.83</v>
      </c>
      <c r="L40" s="127">
        <f>+Actuals!I141</f>
        <v>0</v>
      </c>
      <c r="M40" s="128">
        <f>+Actuals!J141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47315.02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5">
      <c r="A42" s="9"/>
      <c r="B42" s="7"/>
      <c r="C42" s="53" t="s">
        <v>48</v>
      </c>
      <c r="D42" s="61">
        <f t="shared" ref="D42:I42" si="16">SUM(D40:D41)</f>
        <v>-27717</v>
      </c>
      <c r="E42" s="39">
        <f t="shared" si="16"/>
        <v>-74520.06</v>
      </c>
      <c r="F42" s="61">
        <f t="shared" si="16"/>
        <v>0</v>
      </c>
      <c r="G42" s="39">
        <f t="shared" si="16"/>
        <v>0</v>
      </c>
      <c r="H42" s="61">
        <f t="shared" si="16"/>
        <v>-1</v>
      </c>
      <c r="I42" s="39">
        <f t="shared" si="16"/>
        <v>-2.25</v>
      </c>
      <c r="J42" s="61">
        <f t="shared" ref="J42:AE42" si="17">SUM(J40:J41)</f>
        <v>-27716</v>
      </c>
      <c r="K42" s="39">
        <f t="shared" si="17"/>
        <v>-121832.83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ref="P42:U42" si="18">SUM(P40:P41)</f>
        <v>0</v>
      </c>
      <c r="Q42" s="39">
        <f t="shared" si="18"/>
        <v>47315.02</v>
      </c>
      <c r="R42" s="61">
        <f t="shared" si="18"/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I43" si="19">D42+D39</f>
        <v>249371</v>
      </c>
      <c r="E43" s="39">
        <f t="shared" si="19"/>
        <v>542277.83000000007</v>
      </c>
      <c r="F43" s="61">
        <f t="shared" si="19"/>
        <v>0</v>
      </c>
      <c r="G43" s="39">
        <f t="shared" si="19"/>
        <v>0</v>
      </c>
      <c r="H43" s="61">
        <f t="shared" si="19"/>
        <v>149</v>
      </c>
      <c r="I43" s="39">
        <f t="shared" si="19"/>
        <v>331.65</v>
      </c>
      <c r="J43" s="61">
        <f t="shared" ref="J43:AE43" si="20">J42+J39</f>
        <v>249372</v>
      </c>
      <c r="K43" s="39">
        <f t="shared" si="20"/>
        <v>494965.06</v>
      </c>
      <c r="L43" s="61">
        <f t="shared" si="20"/>
        <v>0</v>
      </c>
      <c r="M43" s="39">
        <f t="shared" si="20"/>
        <v>0</v>
      </c>
      <c r="N43" s="61">
        <f t="shared" si="20"/>
        <v>-150</v>
      </c>
      <c r="O43" s="39">
        <f t="shared" si="20"/>
        <v>-333.9</v>
      </c>
      <c r="P43" s="61">
        <f t="shared" ref="P43:U43" si="21">P42+P39</f>
        <v>0</v>
      </c>
      <c r="Q43" s="39">
        <f t="shared" si="21"/>
        <v>47315.02</v>
      </c>
      <c r="R43" s="61">
        <f t="shared" si="21"/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247296</v>
      </c>
      <c r="E49" s="38">
        <f>SUM(G49,I49,K49,M49,O49,Q49,S49,U49,W49,Y49,AA49,AC49,AE49)</f>
        <v>550480.89599999983</v>
      </c>
      <c r="F49" s="60">
        <f>'TIE-OUT'!F49+RECLASS!F49</f>
        <v>0</v>
      </c>
      <c r="G49" s="38">
        <f>'TIE-OUT'!G49+RECLASS!G49</f>
        <v>0</v>
      </c>
      <c r="H49" s="127">
        <f>+Actuals!E145</f>
        <v>5498344</v>
      </c>
      <c r="I49" s="128">
        <f>+Actuals!F145</f>
        <v>12239313.744000001</v>
      </c>
      <c r="J49" s="127">
        <f>+Actuals!G145</f>
        <v>-3516218</v>
      </c>
      <c r="K49" s="128">
        <f>+Actuals!H145</f>
        <v>-7827101.2680000011</v>
      </c>
      <c r="L49" s="127">
        <f>+Actuals!I145</f>
        <v>-1995491</v>
      </c>
      <c r="M49" s="128">
        <f>+Actuals!J145</f>
        <v>-4441962.966</v>
      </c>
      <c r="N49" s="127">
        <f>+Actuals!K185</f>
        <v>-1732671</v>
      </c>
      <c r="O49" s="128">
        <f>+Actuals!L185</f>
        <v>-3856925.6460000002</v>
      </c>
      <c r="P49" s="127">
        <f>+Actuals!M185</f>
        <v>1542</v>
      </c>
      <c r="Q49" s="128">
        <f>+Actuals!N185</f>
        <v>3432.4920000000002</v>
      </c>
      <c r="R49" s="127">
        <f>+Actuals!O185</f>
        <v>1948026</v>
      </c>
      <c r="S49" s="128">
        <f>+Actuals!P185</f>
        <v>4336305.8760000002</v>
      </c>
      <c r="T49" s="127">
        <f>+Actuals!Q185</f>
        <v>43764</v>
      </c>
      <c r="U49" s="128">
        <f>+Actuals!R185</f>
        <v>97418.664000000004</v>
      </c>
      <c r="V49" s="127">
        <f>+Actuals!S145</f>
        <v>0</v>
      </c>
      <c r="W49" s="128">
        <f>+Actuals!T145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-518368</v>
      </c>
      <c r="E51" s="38">
        <f>SUM(G51,I51,K51,M51,O51,Q51,S51,U51,W51,Y51,AA51,AC51,AE51)</f>
        <v>-1104510.1920000003</v>
      </c>
      <c r="F51" s="60">
        <f>'TIE-OUT'!F51+RECLASS!F51</f>
        <v>0</v>
      </c>
      <c r="G51" s="38">
        <f>'TIE-OUT'!G51+RECLASS!G51</f>
        <v>0</v>
      </c>
      <c r="H51" s="127">
        <f>+Actuals!E146</f>
        <v>-688197</v>
      </c>
      <c r="I51" s="128">
        <f>+Actuals!F146</f>
        <v>-1531926.5220000001</v>
      </c>
      <c r="J51" s="127">
        <f>+Actuals!G146</f>
        <v>-17205</v>
      </c>
      <c r="K51" s="128">
        <f>+Actuals!H146</f>
        <v>-38298.33</v>
      </c>
      <c r="L51" s="127">
        <f>+Actuals!I146</f>
        <v>-114</v>
      </c>
      <c r="M51" s="128">
        <f>+Actuals!J146</f>
        <v>-283.86</v>
      </c>
      <c r="N51" s="127">
        <f>+Actuals!K186</f>
        <v>-1002</v>
      </c>
      <c r="O51" s="128">
        <f>+Actuals!L186</f>
        <v>-2494.98</v>
      </c>
      <c r="P51" s="127">
        <f>+Actuals!M186</f>
        <v>-348</v>
      </c>
      <c r="Q51" s="128">
        <f>+Actuals!N186</f>
        <v>-866.52</v>
      </c>
      <c r="R51" s="127">
        <f>+Actuals!O186</f>
        <v>188498</v>
      </c>
      <c r="S51" s="128">
        <f>+Actuals!P186</f>
        <v>469360.02</v>
      </c>
      <c r="T51" s="127">
        <f>+Actuals!Q186</f>
        <v>0</v>
      </c>
      <c r="U51" s="128">
        <f>+Actuals!R186</f>
        <v>0</v>
      </c>
      <c r="V51" s="127">
        <f>+Actuals!S146</f>
        <v>0</v>
      </c>
      <c r="W51" s="128">
        <f>+Actuals!T146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-37223230</v>
      </c>
      <c r="E54" s="38">
        <f>SUM(G54,I54,K54,M54,O54,Q54,S54,U54,W54,Y54,AA54,AC54,AE54)</f>
        <v>-324752.98</v>
      </c>
      <c r="F54" s="64">
        <f>'TIE-OUT'!F54+RECLASS!F54</f>
        <v>0</v>
      </c>
      <c r="G54" s="68">
        <f>'TIE-OUT'!G54+RECLASS!G54</f>
        <v>-542825</v>
      </c>
      <c r="H54" s="127">
        <f>+Actuals!E147</f>
        <v>-37726352</v>
      </c>
      <c r="I54" s="128">
        <f>+Actuals!F147</f>
        <v>-415191.02</v>
      </c>
      <c r="J54" s="127">
        <f>+Actuals!G147</f>
        <v>1222393</v>
      </c>
      <c r="K54" s="128">
        <f>+Actuals!H147</f>
        <v>198464.82</v>
      </c>
      <c r="L54" s="127">
        <f>+Actuals!I147</f>
        <v>-398072</v>
      </c>
      <c r="M54" s="128">
        <f>+Actuals!J147</f>
        <v>-994.81</v>
      </c>
      <c r="N54" s="127">
        <f>+Actuals!K187</f>
        <v>-485</v>
      </c>
      <c r="O54" s="128">
        <f>+Actuals!L187</f>
        <v>28.26</v>
      </c>
      <c r="P54" s="127">
        <f>+Actuals!M187</f>
        <v>-6652</v>
      </c>
      <c r="Q54" s="128">
        <f>+Actuals!N187</f>
        <v>847835.56</v>
      </c>
      <c r="R54" s="127">
        <f>+Actuals!O187</f>
        <v>-357736</v>
      </c>
      <c r="S54" s="128">
        <f>+Actuals!P187</f>
        <v>-423741.64</v>
      </c>
      <c r="T54" s="127">
        <f>+Actuals!Q187</f>
        <v>43674</v>
      </c>
      <c r="U54" s="128">
        <f>+Actuals!R187</f>
        <v>11670.85</v>
      </c>
      <c r="V54" s="127">
        <f>+Actuals!S147</f>
        <v>0</v>
      </c>
      <c r="W54" s="128">
        <f>+Actuals!T147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-2106622.7200000002</v>
      </c>
      <c r="F55" s="81">
        <f>'TIE-OUT'!F55+RECLASS!F55</f>
        <v>0</v>
      </c>
      <c r="G55" s="82">
        <f>'TIE-OUT'!G55+RECLASS!G55</f>
        <v>12456</v>
      </c>
      <c r="H55" s="127">
        <f>+Actuals!E148</f>
        <v>0</v>
      </c>
      <c r="I55" s="128">
        <f>+Actuals!F148</f>
        <v>-2160349.21</v>
      </c>
      <c r="J55" s="127">
        <f>+Actuals!G148</f>
        <v>0</v>
      </c>
      <c r="K55" s="128">
        <f>+Actuals!H148</f>
        <v>491447.41</v>
      </c>
      <c r="L55" s="127">
        <f>+Actuals!I148</f>
        <v>0</v>
      </c>
      <c r="M55" s="128">
        <f>+Actuals!J148</f>
        <v>-26083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-424093.92</v>
      </c>
      <c r="T55" s="127">
        <f>+Actuals!Q188</f>
        <v>0</v>
      </c>
      <c r="U55" s="128">
        <f>+Actuals!R188</f>
        <v>0</v>
      </c>
      <c r="V55" s="127">
        <f>+Actuals!S148</f>
        <v>0</v>
      </c>
      <c r="W55" s="128">
        <f>+Actuals!T148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5">
      <c r="A56" s="9"/>
      <c r="B56" s="7" t="s">
        <v>57</v>
      </c>
      <c r="C56" s="6"/>
      <c r="D56" s="61">
        <f t="shared" ref="D56:I56" si="22">SUM(D54:D55)</f>
        <v>-37223230</v>
      </c>
      <c r="E56" s="39">
        <f t="shared" si="22"/>
        <v>-2431375.7000000002</v>
      </c>
      <c r="F56" s="61">
        <f t="shared" si="22"/>
        <v>0</v>
      </c>
      <c r="G56" s="39">
        <f t="shared" si="22"/>
        <v>-530369</v>
      </c>
      <c r="H56" s="61">
        <f t="shared" si="22"/>
        <v>-37726352</v>
      </c>
      <c r="I56" s="39">
        <f t="shared" si="22"/>
        <v>-2575540.23</v>
      </c>
      <c r="J56" s="61">
        <f t="shared" ref="J56:AE56" si="23">SUM(J54:J55)</f>
        <v>1222393</v>
      </c>
      <c r="K56" s="39">
        <f t="shared" si="23"/>
        <v>689912.23</v>
      </c>
      <c r="L56" s="61">
        <f t="shared" si="23"/>
        <v>-398072</v>
      </c>
      <c r="M56" s="39">
        <f t="shared" si="23"/>
        <v>-27077.81</v>
      </c>
      <c r="N56" s="61">
        <f t="shared" si="23"/>
        <v>-485</v>
      </c>
      <c r="O56" s="39">
        <f t="shared" si="23"/>
        <v>28.26</v>
      </c>
      <c r="P56" s="61">
        <f t="shared" ref="P56:U56" si="24">SUM(P54:P55)</f>
        <v>-6652</v>
      </c>
      <c r="Q56" s="39">
        <f t="shared" si="24"/>
        <v>847835.56</v>
      </c>
      <c r="R56" s="61">
        <f t="shared" si="24"/>
        <v>-357736</v>
      </c>
      <c r="S56" s="39">
        <f t="shared" si="24"/>
        <v>-847835.56</v>
      </c>
      <c r="T56" s="61">
        <f t="shared" si="24"/>
        <v>43674</v>
      </c>
      <c r="U56" s="39">
        <f t="shared" si="24"/>
        <v>11670.85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5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ref="P61:U61" si="27">SUM(P59:P60)</f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5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ref="P66:U66" si="30">SUM(P64:P65)</f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2723828.88</v>
      </c>
      <c r="F70" s="64">
        <f>'TIE-OUT'!F70+RECLASS!F70</f>
        <v>0</v>
      </c>
      <c r="G70" s="68">
        <f>'TIE-OUT'!G70+RECLASS!G70</f>
        <v>2723828.88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-845380</v>
      </c>
      <c r="F71" s="81">
        <f>'TIE-OUT'!F71+RECLASS!F71</f>
        <v>0</v>
      </c>
      <c r="G71" s="82">
        <f>'TIE-OUT'!G71+RECLASS!G71</f>
        <v>-845380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5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1878448.88</v>
      </c>
      <c r="F72" s="61">
        <f t="shared" si="31"/>
        <v>0</v>
      </c>
      <c r="G72" s="39">
        <f t="shared" si="31"/>
        <v>1878448.88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ref="P72:U72" si="33">SUM(P70:P71)</f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-921800</v>
      </c>
      <c r="F74" s="60">
        <f>'TIE-OUT'!F74+RECLASS!F74</f>
        <v>0</v>
      </c>
      <c r="G74" s="60">
        <f>'TIE-OUT'!G74+RECLASS!G74</f>
        <v>-921800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+Actuals!I156</f>
        <v>0</v>
      </c>
      <c r="M74" s="128">
        <f>+Actuals!J156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96400</v>
      </c>
      <c r="F75" s="60">
        <f>'TIE-OUT'!F75+RECLASS!F75</f>
        <v>0</v>
      </c>
      <c r="G75" s="60">
        <f>'TIE-OUT'!G75+RECLASS!G75</f>
        <v>96400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-26661.89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-27417.32</v>
      </c>
      <c r="L76" s="127">
        <f>+Actuals!I158</f>
        <v>0</v>
      </c>
      <c r="M76" s="128">
        <f>+Actuals!J158</f>
        <v>755.43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2662480.0600000294</v>
      </c>
      <c r="F82" s="91">
        <f>F16+F24+F29+F36+F43+F45+F47+F49</f>
        <v>0</v>
      </c>
      <c r="G82" s="92">
        <f>SUM(G72:G81)+G16+G24+G29+G36+G43+G45+G47+G49+G51+G56+G61+G66</f>
        <v>-2984586.49</v>
      </c>
      <c r="H82" s="91">
        <f>H16+H24+H29+H36+H43+H45+H47+H49</f>
        <v>0</v>
      </c>
      <c r="I82" s="156">
        <f>SUM(I72:I81)+I16+I24+I29+I36+I43+I45+I47+I49+I51+I56+I61+I66</f>
        <v>2324042.1340000504</v>
      </c>
      <c r="J82" s="91">
        <f>J16+J24+J29+J36+J43+J45+J47+J49</f>
        <v>0</v>
      </c>
      <c r="K82" s="156">
        <f>SUM(K72:K81)+K16+K24+K29+K36+K43+K45+K47+K49+K51+K56+K61+K66</f>
        <v>1872435.155999999</v>
      </c>
      <c r="L82" s="91">
        <f>L16+L24+L29+L36+L43+L45+L47+L49</f>
        <v>0</v>
      </c>
      <c r="M82" s="92">
        <f>SUM(M72:M81)+M16+M24+M29+M36+M43+M45+M47+M49+M51+M56+M61+M66</f>
        <v>1050762.9940000034</v>
      </c>
      <c r="N82" s="91">
        <f>N16+N24+N29+N36+N43+N45+N47+N49</f>
        <v>0</v>
      </c>
      <c r="O82" s="92">
        <f>SUM(O72:O81)+O16+O24+O29+O36+O43+O45+O47+O49+O51+O56+O61+O66</f>
        <v>2014412.3839999998</v>
      </c>
      <c r="P82" s="91">
        <f>P16+P24+P29+P36+P43+P45+P47+P49</f>
        <v>0</v>
      </c>
      <c r="Q82" s="92">
        <f>SUM(Q72:Q81)+Q16+Q24+Q29+Q36+Q43+Q45+Q47+Q49+Q51+Q56+Q61+Q66</f>
        <v>99821.321999999927</v>
      </c>
      <c r="R82" s="91">
        <f>R16+R24+R29+R36+R43+R45+R47+R49</f>
        <v>0</v>
      </c>
      <c r="S82" s="92">
        <f>SUM(S72:S81)+S16+S24+S29+S36+S43+S45+S47+S49+S51+S56+S61+S66</f>
        <v>-1715847.373999998</v>
      </c>
      <c r="T82" s="91">
        <f>T16+T24+T29+T36+T43+T45+T47+T49</f>
        <v>0</v>
      </c>
      <c r="U82" s="92">
        <f>SUM(U72:U81)+U16+U24+U29+U36+U43+U45+U47+U49+U51+U56+U61+U66</f>
        <v>1439.9340000000175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topLeftCell="G62" zoomScale="75" workbookViewId="0">
      <selection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192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11160749</v>
      </c>
      <c r="E11" s="38">
        <f>SUM(G11,I11,K11,M11,O11,Q11,S11,U11,W11,Y11,AA11,AC11,AE11)</f>
        <v>30866324.390000001</v>
      </c>
      <c r="F11" s="60">
        <f>'TIE-OUT'!H11+RECLASS!Z11</f>
        <v>0</v>
      </c>
      <c r="G11" s="38">
        <f>'TIE-OUT'!I11+RECLASS!AA11</f>
        <v>698599</v>
      </c>
      <c r="H11" s="127">
        <v>11207396</v>
      </c>
      <c r="I11" s="128">
        <v>30156140</v>
      </c>
      <c r="J11" s="127">
        <v>-56018</v>
      </c>
      <c r="K11" s="128">
        <v>-14138</v>
      </c>
      <c r="L11" s="127">
        <v>0</v>
      </c>
      <c r="M11" s="128">
        <v>0</v>
      </c>
      <c r="N11" s="127">
        <f>+Actuals!K324</f>
        <v>0</v>
      </c>
      <c r="O11" s="128">
        <f>+Actuals!L324</f>
        <v>0</v>
      </c>
      <c r="P11" s="127">
        <f>+Actuals!M324</f>
        <v>0</v>
      </c>
      <c r="Q11" s="128">
        <f>+Actuals!N324</f>
        <v>0</v>
      </c>
      <c r="R11" s="127">
        <f>+Actuals!O324</f>
        <v>9371</v>
      </c>
      <c r="S11" s="128">
        <f>+Actuals!P324</f>
        <v>25723.39</v>
      </c>
      <c r="T11" s="127">
        <f>+Actuals!Q324</f>
        <v>0</v>
      </c>
      <c r="U11" s="128">
        <f>+Actuals!R324</f>
        <v>0</v>
      </c>
      <c r="V11" s="127">
        <v>0</v>
      </c>
      <c r="W11" s="128">
        <v>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7">
        <v>0</v>
      </c>
      <c r="I12" s="128">
        <v>0</v>
      </c>
      <c r="J12" s="127">
        <v>0</v>
      </c>
      <c r="K12" s="128">
        <v>0</v>
      </c>
      <c r="L12" s="127">
        <v>0</v>
      </c>
      <c r="M12" s="128">
        <v>0</v>
      </c>
      <c r="N12" s="127">
        <f>+Actuals!K325</f>
        <v>0</v>
      </c>
      <c r="O12" s="128">
        <f>+Actuals!L325</f>
        <v>0</v>
      </c>
      <c r="P12" s="127">
        <f>+Actuals!M325</f>
        <v>0</v>
      </c>
      <c r="Q12" s="128">
        <f>+Actuals!N325</f>
        <v>0</v>
      </c>
      <c r="R12" s="127">
        <f>+Actuals!O325</f>
        <v>0</v>
      </c>
      <c r="S12" s="128">
        <f>+Actuals!P325</f>
        <v>0</v>
      </c>
      <c r="T12" s="127">
        <f>+Actuals!Q325</f>
        <v>0</v>
      </c>
      <c r="U12" s="128">
        <f>+Actuals!R325</f>
        <v>0</v>
      </c>
      <c r="V12" s="127">
        <v>0</v>
      </c>
      <c r="W12" s="128"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4504441</v>
      </c>
      <c r="E13" s="38">
        <f t="shared" si="0"/>
        <v>11834952</v>
      </c>
      <c r="F13" s="60">
        <f>'TIE-OUT'!H13+RECLASS!Z13</f>
        <v>0</v>
      </c>
      <c r="G13" s="38">
        <f>'TIE-OUT'!I13+RECLASS!AA13</f>
        <v>0</v>
      </c>
      <c r="H13" s="127">
        <v>0</v>
      </c>
      <c r="I13" s="128">
        <v>0</v>
      </c>
      <c r="J13" s="127">
        <v>4504441</v>
      </c>
      <c r="K13" s="128">
        <v>11834952</v>
      </c>
      <c r="L13" s="127">
        <v>0</v>
      </c>
      <c r="M13" s="128">
        <v>0</v>
      </c>
      <c r="N13" s="127">
        <f>+Actuals!K326</f>
        <v>4504441</v>
      </c>
      <c r="O13" s="128">
        <f>+Actuals!L326</f>
        <v>11834952</v>
      </c>
      <c r="P13" s="127">
        <f>+Actuals!M326</f>
        <v>0</v>
      </c>
      <c r="Q13" s="128">
        <f>+Actuals!N326</f>
        <v>0</v>
      </c>
      <c r="R13" s="127">
        <f>+Actuals!O326</f>
        <v>-4504441</v>
      </c>
      <c r="S13" s="128">
        <f>+Actuals!P326</f>
        <v>-11834952</v>
      </c>
      <c r="T13" s="127">
        <f>+Actuals!Q326</f>
        <v>0</v>
      </c>
      <c r="U13" s="128">
        <f>+Actuals!R326</f>
        <v>0</v>
      </c>
      <c r="V13" s="127">
        <v>0</v>
      </c>
      <c r="W13" s="128">
        <v>0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v>0</v>
      </c>
      <c r="M14" s="128">
        <v>0</v>
      </c>
      <c r="N14" s="127">
        <f>+Actuals!K327</f>
        <v>0</v>
      </c>
      <c r="O14" s="128">
        <f>+Actuals!L327</f>
        <v>0</v>
      </c>
      <c r="P14" s="127">
        <f>+Actuals!M327</f>
        <v>0</v>
      </c>
      <c r="Q14" s="128">
        <f>+Actuals!N327</f>
        <v>0</v>
      </c>
      <c r="R14" s="127">
        <f>+Actuals!O327</f>
        <v>0</v>
      </c>
      <c r="S14" s="128">
        <f>+Actuals!P327</f>
        <v>0</v>
      </c>
      <c r="T14" s="127">
        <f>+Actuals!Q327</f>
        <v>0</v>
      </c>
      <c r="U14" s="128">
        <f>+Actuals!R327</f>
        <v>0</v>
      </c>
      <c r="V14" s="127">
        <v>0</v>
      </c>
      <c r="W14" s="128"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842769</v>
      </c>
      <c r="F15" s="81">
        <f>'TIE-OUT'!H15+RECLASS!Z15</f>
        <v>0</v>
      </c>
      <c r="G15" s="82">
        <f>'TIE-OUT'!I15+RECLASS!AA15</f>
        <v>-698599</v>
      </c>
      <c r="H15" s="127">
        <v>0</v>
      </c>
      <c r="I15" s="128">
        <v>0</v>
      </c>
      <c r="J15" s="127">
        <v>0</v>
      </c>
      <c r="K15" s="128">
        <v>1541364</v>
      </c>
      <c r="L15" s="127">
        <v>0</v>
      </c>
      <c r="M15" s="128">
        <v>0</v>
      </c>
      <c r="N15" s="127">
        <f>+Actuals!K328</f>
        <v>0</v>
      </c>
      <c r="O15" s="128">
        <f>+Actuals!L328</f>
        <v>0</v>
      </c>
      <c r="P15" s="127">
        <f>+Actuals!M328</f>
        <v>0</v>
      </c>
      <c r="Q15" s="128">
        <f>+Actuals!N328</f>
        <v>4</v>
      </c>
      <c r="R15" s="127">
        <f>+Actuals!O328</f>
        <v>0</v>
      </c>
      <c r="S15" s="128">
        <f>+Actuals!P328</f>
        <v>0</v>
      </c>
      <c r="T15" s="127">
        <f>+Actuals!Q328</f>
        <v>0</v>
      </c>
      <c r="U15" s="128">
        <f>+Actuals!R328</f>
        <v>0</v>
      </c>
      <c r="V15" s="127">
        <v>0</v>
      </c>
      <c r="W15" s="128"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15665190</v>
      </c>
      <c r="E16" s="39">
        <f t="shared" si="1"/>
        <v>43544045.390000001</v>
      </c>
      <c r="F16" s="61">
        <f t="shared" si="1"/>
        <v>0</v>
      </c>
      <c r="G16" s="39">
        <f t="shared" si="1"/>
        <v>0</v>
      </c>
      <c r="H16" s="61">
        <f t="shared" si="1"/>
        <v>11207396</v>
      </c>
      <c r="I16" s="82">
        <f t="shared" si="1"/>
        <v>30156140</v>
      </c>
      <c r="J16" s="61">
        <f t="shared" si="1"/>
        <v>4448423</v>
      </c>
      <c r="K16" s="82">
        <f t="shared" si="1"/>
        <v>13362178</v>
      </c>
      <c r="L16" s="61">
        <f t="shared" si="1"/>
        <v>0</v>
      </c>
      <c r="M16" s="82">
        <f t="shared" si="1"/>
        <v>0</v>
      </c>
      <c r="N16" s="61">
        <f t="shared" si="1"/>
        <v>4504441</v>
      </c>
      <c r="O16" s="39">
        <f t="shared" si="1"/>
        <v>11834952</v>
      </c>
      <c r="P16" s="61">
        <f t="shared" ref="P16:U16" si="2">SUM(P11:P15)</f>
        <v>0</v>
      </c>
      <c r="Q16" s="82">
        <f t="shared" si="2"/>
        <v>4</v>
      </c>
      <c r="R16" s="61">
        <f t="shared" si="2"/>
        <v>-4495070</v>
      </c>
      <c r="S16" s="82">
        <f t="shared" si="2"/>
        <v>-11809228.609999999</v>
      </c>
      <c r="T16" s="61">
        <f t="shared" si="2"/>
        <v>0</v>
      </c>
      <c r="U16" s="82">
        <f t="shared" si="2"/>
        <v>0</v>
      </c>
      <c r="V16" s="61">
        <f t="shared" si="1"/>
        <v>0</v>
      </c>
      <c r="W16" s="82">
        <f t="shared" si="1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-5557302</v>
      </c>
      <c r="E19" s="38">
        <f t="shared" si="3"/>
        <v>-13984409</v>
      </c>
      <c r="F19" s="64">
        <f>'TIE-OUT'!H19+RECLASS!Z19</f>
        <v>0</v>
      </c>
      <c r="G19" s="68">
        <f>'TIE-OUT'!I19+RECLASS!AA19</f>
        <v>0</v>
      </c>
      <c r="H19" s="127">
        <v>-5562576</v>
      </c>
      <c r="I19" s="128">
        <v>-13971345</v>
      </c>
      <c r="J19" s="127">
        <v>5274</v>
      </c>
      <c r="K19" s="128">
        <v>-13064</v>
      </c>
      <c r="L19" s="127">
        <v>0</v>
      </c>
      <c r="M19" s="128">
        <v>0</v>
      </c>
      <c r="N19" s="127">
        <f>+Actuals!K329</f>
        <v>0</v>
      </c>
      <c r="O19" s="128">
        <f>+Actuals!L329</f>
        <v>0</v>
      </c>
      <c r="P19" s="127">
        <f>+Actuals!M329</f>
        <v>0</v>
      </c>
      <c r="Q19" s="128">
        <f>+Actuals!N329</f>
        <v>0</v>
      </c>
      <c r="R19" s="127">
        <f>+Actuals!O329</f>
        <v>0</v>
      </c>
      <c r="S19" s="128">
        <f>+Actuals!P329</f>
        <v>0</v>
      </c>
      <c r="T19" s="127">
        <f>+Actuals!Q329</f>
        <v>0</v>
      </c>
      <c r="U19" s="128">
        <f>+Actuals!R329</f>
        <v>0</v>
      </c>
      <c r="V19" s="127">
        <v>0</v>
      </c>
      <c r="W19" s="128"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7">
        <v>0</v>
      </c>
      <c r="I20" s="128">
        <v>0</v>
      </c>
      <c r="J20" s="127">
        <v>0</v>
      </c>
      <c r="K20" s="128">
        <v>0</v>
      </c>
      <c r="L20" s="127">
        <v>0</v>
      </c>
      <c r="M20" s="128">
        <v>0</v>
      </c>
      <c r="N20" s="127">
        <f>+Actuals!K330</f>
        <v>0</v>
      </c>
      <c r="O20" s="128">
        <f>+Actuals!L330</f>
        <v>0</v>
      </c>
      <c r="P20" s="127">
        <f>+Actuals!M330</f>
        <v>0</v>
      </c>
      <c r="Q20" s="128">
        <f>+Actuals!N330</f>
        <v>0</v>
      </c>
      <c r="R20" s="127">
        <f>+Actuals!O330</f>
        <v>0</v>
      </c>
      <c r="S20" s="128">
        <f>+Actuals!P330</f>
        <v>0</v>
      </c>
      <c r="T20" s="127">
        <f>+Actuals!Q330</f>
        <v>0</v>
      </c>
      <c r="U20" s="128">
        <f>+Actuals!R330</f>
        <v>0</v>
      </c>
      <c r="V20" s="127">
        <v>0</v>
      </c>
      <c r="W20" s="128"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-7266258</v>
      </c>
      <c r="E21" s="38">
        <f t="shared" si="3"/>
        <v>-19419693</v>
      </c>
      <c r="F21" s="60">
        <f>'TIE-OUT'!H21+RECLASS!Z21</f>
        <v>0</v>
      </c>
      <c r="G21" s="38">
        <f>'TIE-OUT'!I21+RECLASS!AA21</f>
        <v>0</v>
      </c>
      <c r="H21" s="127">
        <v>0</v>
      </c>
      <c r="I21" s="128">
        <v>0</v>
      </c>
      <c r="J21" s="127">
        <v>-7275629</v>
      </c>
      <c r="K21" s="128">
        <v>-19445416</v>
      </c>
      <c r="L21" s="127">
        <v>0</v>
      </c>
      <c r="M21" s="128">
        <v>0</v>
      </c>
      <c r="N21" s="127">
        <f>+Actuals!K331</f>
        <v>-7275629</v>
      </c>
      <c r="O21" s="128">
        <f>+Actuals!L331</f>
        <v>-19445416</v>
      </c>
      <c r="P21" s="127">
        <f>+Actuals!M331</f>
        <v>0</v>
      </c>
      <c r="Q21" s="128">
        <f>+Actuals!N331</f>
        <v>0</v>
      </c>
      <c r="R21" s="127">
        <f>+Actuals!O331</f>
        <v>7285000</v>
      </c>
      <c r="S21" s="128">
        <f>+Actuals!P331</f>
        <v>19471139</v>
      </c>
      <c r="T21" s="127">
        <f>+Actuals!Q331</f>
        <v>0</v>
      </c>
      <c r="U21" s="128">
        <f>+Actuals!R331</f>
        <v>0</v>
      </c>
      <c r="V21" s="127">
        <v>0</v>
      </c>
      <c r="W21" s="128">
        <v>0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v>0</v>
      </c>
      <c r="M22" s="128">
        <v>0</v>
      </c>
      <c r="N22" s="127">
        <f>+Actuals!K332</f>
        <v>0</v>
      </c>
      <c r="O22" s="128">
        <f>+Actuals!L332</f>
        <v>0</v>
      </c>
      <c r="P22" s="127">
        <f>+Actuals!M332</f>
        <v>0</v>
      </c>
      <c r="Q22" s="128">
        <f>+Actuals!N332</f>
        <v>0</v>
      </c>
      <c r="R22" s="127">
        <f>+Actuals!O332</f>
        <v>0</v>
      </c>
      <c r="S22" s="128">
        <f>+Actuals!P332</f>
        <v>0</v>
      </c>
      <c r="T22" s="127">
        <f>+Actuals!Q332</f>
        <v>0</v>
      </c>
      <c r="U22" s="128">
        <f>+Actuals!R332</f>
        <v>0</v>
      </c>
      <c r="V22" s="127">
        <v>0</v>
      </c>
      <c r="W22" s="128"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188229</v>
      </c>
      <c r="E23" s="38">
        <f t="shared" si="3"/>
        <v>494101.13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v>0</v>
      </c>
      <c r="M23" s="128">
        <v>0</v>
      </c>
      <c r="N23" s="127">
        <f>+Actuals!K333</f>
        <v>0</v>
      </c>
      <c r="O23" s="128">
        <f>+Actuals!L333</f>
        <v>0</v>
      </c>
      <c r="P23" s="127">
        <f>+Actuals!M333</f>
        <v>0</v>
      </c>
      <c r="Q23" s="128">
        <f>+Actuals!N333</f>
        <v>0</v>
      </c>
      <c r="R23" s="127">
        <f>+Actuals!O333</f>
        <v>188229</v>
      </c>
      <c r="S23" s="128">
        <f>+Actuals!P333</f>
        <v>494101.13</v>
      </c>
      <c r="T23" s="127">
        <f>+Actuals!Q333</f>
        <v>0</v>
      </c>
      <c r="U23" s="128">
        <f>+Actuals!R333</f>
        <v>0</v>
      </c>
      <c r="V23" s="127">
        <v>0</v>
      </c>
      <c r="W23" s="128">
        <v>0</v>
      </c>
      <c r="X23" s="127">
        <v>0</v>
      </c>
      <c r="Y23" s="128"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-12635331</v>
      </c>
      <c r="E24" s="39">
        <f t="shared" si="4"/>
        <v>-32910000.870000001</v>
      </c>
      <c r="F24" s="61">
        <f t="shared" si="4"/>
        <v>0</v>
      </c>
      <c r="G24" s="39">
        <f t="shared" si="4"/>
        <v>0</v>
      </c>
      <c r="H24" s="61">
        <f t="shared" si="4"/>
        <v>-5562576</v>
      </c>
      <c r="I24" s="39">
        <f t="shared" si="4"/>
        <v>-13971345</v>
      </c>
      <c r="J24" s="61">
        <f t="shared" si="4"/>
        <v>-7270355</v>
      </c>
      <c r="K24" s="39">
        <f t="shared" si="4"/>
        <v>-19458480</v>
      </c>
      <c r="L24" s="61">
        <f t="shared" si="4"/>
        <v>0</v>
      </c>
      <c r="M24" s="39">
        <f t="shared" si="4"/>
        <v>0</v>
      </c>
      <c r="N24" s="61">
        <f t="shared" si="4"/>
        <v>-7275629</v>
      </c>
      <c r="O24" s="39">
        <f t="shared" si="4"/>
        <v>-19445416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7473229</v>
      </c>
      <c r="S24" s="39">
        <f t="shared" si="5"/>
        <v>19965240.129999999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v>0</v>
      </c>
      <c r="M27" s="128">
        <v>0</v>
      </c>
      <c r="N27" s="127">
        <f>+Actuals!K334</f>
        <v>0</v>
      </c>
      <c r="O27" s="128">
        <f>+Actuals!L334</f>
        <v>0</v>
      </c>
      <c r="P27" s="127">
        <f>+Actuals!M334</f>
        <v>0</v>
      </c>
      <c r="Q27" s="128">
        <f>+Actuals!N334</f>
        <v>0</v>
      </c>
      <c r="R27" s="127">
        <f>+Actuals!O334</f>
        <v>0</v>
      </c>
      <c r="S27" s="128">
        <f>+Actuals!P334</f>
        <v>0</v>
      </c>
      <c r="T27" s="127">
        <f>+Actuals!Q334</f>
        <v>0</v>
      </c>
      <c r="U27" s="128">
        <f>+Actuals!R334</f>
        <v>0</v>
      </c>
      <c r="V27" s="127">
        <v>0</v>
      </c>
      <c r="W27" s="128"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v>0</v>
      </c>
      <c r="M28" s="128">
        <v>0</v>
      </c>
      <c r="N28" s="127">
        <f>+Actuals!K335</f>
        <v>0</v>
      </c>
      <c r="O28" s="128">
        <f>+Actuals!L335</f>
        <v>0</v>
      </c>
      <c r="P28" s="127">
        <f>+Actuals!M335</f>
        <v>0</v>
      </c>
      <c r="Q28" s="128">
        <f>+Actuals!N335</f>
        <v>0</v>
      </c>
      <c r="R28" s="127">
        <f>+Actuals!O335</f>
        <v>0</v>
      </c>
      <c r="S28" s="128">
        <f>+Actuals!P335</f>
        <v>0</v>
      </c>
      <c r="T28" s="127">
        <f>+Actuals!Q335</f>
        <v>0</v>
      </c>
      <c r="U28" s="128">
        <f>+Actuals!R335</f>
        <v>0</v>
      </c>
      <c r="V28" s="127">
        <v>0</v>
      </c>
      <c r="W28" s="128"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-5644820</v>
      </c>
      <c r="I32" s="128">
        <v>-14817652</v>
      </c>
      <c r="J32" s="127">
        <v>5644820</v>
      </c>
      <c r="K32" s="128">
        <v>14817652</v>
      </c>
      <c r="L32" s="127">
        <v>0</v>
      </c>
      <c r="M32" s="128">
        <v>0</v>
      </c>
      <c r="N32" s="127">
        <f>+Actuals!K336</f>
        <v>0</v>
      </c>
      <c r="O32" s="128">
        <f>+Actuals!L336</f>
        <v>0</v>
      </c>
      <c r="P32" s="127">
        <f>+Actuals!M336</f>
        <v>0</v>
      </c>
      <c r="Q32" s="128">
        <f>+Actuals!N336</f>
        <v>0</v>
      </c>
      <c r="R32" s="127">
        <f>+Actuals!O336</f>
        <v>0</v>
      </c>
      <c r="S32" s="128">
        <f>+Actuals!P336</f>
        <v>0</v>
      </c>
      <c r="T32" s="127">
        <f>+Actuals!Q336</f>
        <v>0</v>
      </c>
      <c r="U32" s="128">
        <f>+Actuals!R336</f>
        <v>0</v>
      </c>
      <c r="V32" s="127">
        <v>0</v>
      </c>
      <c r="W32" s="128"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v>0</v>
      </c>
      <c r="M33" s="128">
        <v>0</v>
      </c>
      <c r="N33" s="127">
        <f>+Actuals!K337</f>
        <v>0</v>
      </c>
      <c r="O33" s="128">
        <f>+Actuals!L337</f>
        <v>0</v>
      </c>
      <c r="P33" s="127">
        <f>+Actuals!M337</f>
        <v>0</v>
      </c>
      <c r="Q33" s="128">
        <f>+Actuals!N337</f>
        <v>0</v>
      </c>
      <c r="R33" s="127">
        <f>+Actuals!O337</f>
        <v>0</v>
      </c>
      <c r="S33" s="128">
        <f>+Actuals!P337</f>
        <v>0</v>
      </c>
      <c r="T33" s="127">
        <f>+Actuals!Q337</f>
        <v>0</v>
      </c>
      <c r="U33" s="128">
        <f>+Actuals!R337</f>
        <v>0</v>
      </c>
      <c r="V33" s="127">
        <v>0</v>
      </c>
      <c r="W33" s="128"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v>0</v>
      </c>
      <c r="M34" s="128">
        <v>0</v>
      </c>
      <c r="N34" s="127">
        <f>+Actuals!K338</f>
        <v>0</v>
      </c>
      <c r="O34" s="128">
        <f>+Actuals!L338</f>
        <v>0</v>
      </c>
      <c r="P34" s="127">
        <f>+Actuals!M338</f>
        <v>0</v>
      </c>
      <c r="Q34" s="128">
        <f>+Actuals!N338</f>
        <v>0</v>
      </c>
      <c r="R34" s="127">
        <f>+Actuals!O338</f>
        <v>0</v>
      </c>
      <c r="S34" s="128">
        <f>+Actuals!P338</f>
        <v>0</v>
      </c>
      <c r="T34" s="127">
        <f>+Actuals!Q338</f>
        <v>0</v>
      </c>
      <c r="U34" s="128">
        <f>+Actuals!R338</f>
        <v>0</v>
      </c>
      <c r="V34" s="127">
        <v>0</v>
      </c>
      <c r="W34" s="128"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v>0</v>
      </c>
      <c r="M35" s="128">
        <v>0</v>
      </c>
      <c r="N35" s="127">
        <f>+Actuals!K339</f>
        <v>0</v>
      </c>
      <c r="O35" s="128">
        <f>+Actuals!L339</f>
        <v>0</v>
      </c>
      <c r="P35" s="127">
        <f>+Actuals!M339</f>
        <v>0</v>
      </c>
      <c r="Q35" s="128">
        <f>+Actuals!N339</f>
        <v>0</v>
      </c>
      <c r="R35" s="127">
        <f>+Actuals!O339</f>
        <v>0</v>
      </c>
      <c r="S35" s="128">
        <f>+Actuals!P339</f>
        <v>0</v>
      </c>
      <c r="T35" s="127">
        <f>+Actuals!Q339</f>
        <v>0</v>
      </c>
      <c r="U35" s="128">
        <f>+Actuals!R339</f>
        <v>0</v>
      </c>
      <c r="V35" s="127">
        <v>0</v>
      </c>
      <c r="W35" s="128"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-5644820</v>
      </c>
      <c r="I36" s="39">
        <f t="shared" si="9"/>
        <v>-14817652</v>
      </c>
      <c r="J36" s="61">
        <f t="shared" si="9"/>
        <v>5644820</v>
      </c>
      <c r="K36" s="39">
        <f t="shared" si="9"/>
        <v>14817652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v>0</v>
      </c>
      <c r="M39" s="128">
        <v>0</v>
      </c>
      <c r="N39" s="127">
        <f>+Actuals!K340</f>
        <v>0</v>
      </c>
      <c r="O39" s="128">
        <f>+Actuals!L340</f>
        <v>0</v>
      </c>
      <c r="P39" s="127">
        <f>+Actuals!M340</f>
        <v>0</v>
      </c>
      <c r="Q39" s="128">
        <f>+Actuals!N340</f>
        <v>0</v>
      </c>
      <c r="R39" s="127">
        <f>+Actuals!O340</f>
        <v>0</v>
      </c>
      <c r="S39" s="128">
        <f>+Actuals!P340</f>
        <v>0</v>
      </c>
      <c r="T39" s="127">
        <f>+Actuals!Q340</f>
        <v>0</v>
      </c>
      <c r="U39" s="128">
        <f>+Actuals!R340</f>
        <v>0</v>
      </c>
      <c r="V39" s="127">
        <v>0</v>
      </c>
      <c r="W39" s="128"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v>0</v>
      </c>
      <c r="M40" s="128">
        <v>0</v>
      </c>
      <c r="N40" s="127">
        <f>+Actuals!K341</f>
        <v>0</v>
      </c>
      <c r="O40" s="128">
        <f>+Actuals!L341</f>
        <v>0</v>
      </c>
      <c r="P40" s="127">
        <f>+Actuals!M341</f>
        <v>0</v>
      </c>
      <c r="Q40" s="128">
        <f>+Actuals!N341</f>
        <v>0</v>
      </c>
      <c r="R40" s="127">
        <f>+Actuals!O341</f>
        <v>0</v>
      </c>
      <c r="S40" s="128">
        <f>+Actuals!P341</f>
        <v>0</v>
      </c>
      <c r="T40" s="127">
        <f>+Actuals!Q341</f>
        <v>0</v>
      </c>
      <c r="U40" s="128">
        <f>+Actuals!R341</f>
        <v>0</v>
      </c>
      <c r="V40" s="127">
        <v>0</v>
      </c>
      <c r="W40" s="128"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v>0</v>
      </c>
      <c r="M41" s="128">
        <v>0</v>
      </c>
      <c r="N41" s="127">
        <f>+Actuals!K342</f>
        <v>0</v>
      </c>
      <c r="O41" s="128">
        <f>+Actuals!L342</f>
        <v>0</v>
      </c>
      <c r="P41" s="127">
        <f>+Actuals!M342</f>
        <v>0</v>
      </c>
      <c r="Q41" s="128">
        <f>+Actuals!N342</f>
        <v>0</v>
      </c>
      <c r="R41" s="127">
        <f>+Actuals!O342</f>
        <v>0</v>
      </c>
      <c r="S41" s="128">
        <f>+Actuals!P342</f>
        <v>0</v>
      </c>
      <c r="T41" s="127">
        <f>+Actuals!Q342</f>
        <v>0</v>
      </c>
      <c r="U41" s="128">
        <f>+Actuals!R342</f>
        <v>0</v>
      </c>
      <c r="V41" s="127">
        <v>0</v>
      </c>
      <c r="W41" s="128"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v>0</v>
      </c>
      <c r="M45" s="128">
        <v>0</v>
      </c>
      <c r="N45" s="127">
        <f>+Actuals!K343</f>
        <v>0</v>
      </c>
      <c r="O45" s="128">
        <f>+Actuals!L343</f>
        <v>0</v>
      </c>
      <c r="P45" s="127">
        <f>+Actuals!M343</f>
        <v>0</v>
      </c>
      <c r="Q45" s="128">
        <f>+Actuals!N343</f>
        <v>0</v>
      </c>
      <c r="R45" s="127">
        <f>+Actuals!O343</f>
        <v>0</v>
      </c>
      <c r="S45" s="128">
        <f>+Actuals!P343</f>
        <v>0</v>
      </c>
      <c r="T45" s="127">
        <f>+Actuals!Q343</f>
        <v>0</v>
      </c>
      <c r="U45" s="128">
        <f>+Actuals!R343</f>
        <v>0</v>
      </c>
      <c r="V45" s="127">
        <v>0</v>
      </c>
      <c r="W45" s="128"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v>0</v>
      </c>
      <c r="M47" s="128">
        <v>0</v>
      </c>
      <c r="N47" s="127">
        <f>+Actuals!K344</f>
        <v>0</v>
      </c>
      <c r="O47" s="128">
        <f>+Actuals!L344</f>
        <v>0</v>
      </c>
      <c r="P47" s="127">
        <f>+Actuals!M344</f>
        <v>0</v>
      </c>
      <c r="Q47" s="128">
        <f>+Actuals!N344</f>
        <v>0</v>
      </c>
      <c r="R47" s="127">
        <f>+Actuals!O344</f>
        <v>0</v>
      </c>
      <c r="S47" s="128">
        <f>+Actuals!P344</f>
        <v>0</v>
      </c>
      <c r="T47" s="127">
        <f>+Actuals!Q344</f>
        <v>0</v>
      </c>
      <c r="U47" s="128">
        <f>+Actuals!R344</f>
        <v>0</v>
      </c>
      <c r="V47" s="127">
        <v>0</v>
      </c>
      <c r="W47" s="128"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-3029859</v>
      </c>
      <c r="E49" s="38">
        <f>SUM(G49,I49,K49,M49,O49,Q49,S49,U49,W49,Y49,AA49,AC49,AE49)</f>
        <v>-7953379.875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-2822888</v>
      </c>
      <c r="K49" s="128">
        <v>-7410081</v>
      </c>
      <c r="L49" s="127">
        <v>0</v>
      </c>
      <c r="M49" s="128">
        <v>0</v>
      </c>
      <c r="N49" s="127">
        <f>+Actuals!K345</f>
        <v>2771188</v>
      </c>
      <c r="O49" s="128">
        <f>+Actuals!L345</f>
        <v>7274368.5</v>
      </c>
      <c r="P49" s="127">
        <f>+Actuals!M345</f>
        <v>0</v>
      </c>
      <c r="Q49" s="128">
        <f>+Actuals!N345</f>
        <v>0</v>
      </c>
      <c r="R49" s="127">
        <f>+Actuals!O345</f>
        <v>-2978159</v>
      </c>
      <c r="S49" s="128">
        <f>+Actuals!P345</f>
        <v>-7817667.375</v>
      </c>
      <c r="T49" s="127">
        <f>+Actuals!Q345</f>
        <v>0</v>
      </c>
      <c r="U49" s="128">
        <f>+Actuals!R345</f>
        <v>0</v>
      </c>
      <c r="V49" s="127">
        <v>0</v>
      </c>
      <c r="W49" s="128">
        <v>0</v>
      </c>
      <c r="X49" s="127">
        <v>0</v>
      </c>
      <c r="Y49" s="128">
        <v>0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-188229</v>
      </c>
      <c r="E51" s="38">
        <f>SUM(G51,I51,K51,M51,O51,Q51,S51,U51,W51,Y51,AA51,AC51,AE51)</f>
        <v>-494101.13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v>0</v>
      </c>
      <c r="M51" s="128">
        <v>0</v>
      </c>
      <c r="N51" s="127">
        <f>+Actuals!K346</f>
        <v>0</v>
      </c>
      <c r="O51" s="128">
        <f>+Actuals!L346</f>
        <v>0</v>
      </c>
      <c r="P51" s="127">
        <f>+Actuals!M346</f>
        <v>0</v>
      </c>
      <c r="Q51" s="128">
        <f>+Actuals!N346</f>
        <v>0</v>
      </c>
      <c r="R51" s="127">
        <f>+Actuals!O346</f>
        <v>-188229</v>
      </c>
      <c r="S51" s="128">
        <f>+Actuals!P346</f>
        <v>-494101.13</v>
      </c>
      <c r="T51" s="127">
        <f>+Actuals!Q346</f>
        <v>0</v>
      </c>
      <c r="U51" s="128">
        <f>+Actuals!R346</f>
        <v>0</v>
      </c>
      <c r="V51" s="127">
        <v>0</v>
      </c>
      <c r="W51" s="128">
        <v>0</v>
      </c>
      <c r="X51" s="127">
        <v>0</v>
      </c>
      <c r="Y51" s="128"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-5138371</v>
      </c>
      <c r="E54" s="38">
        <f>SUM(G54,I54,K54,M54,O54,Q54,S54,U54,W54,Y54,AA54,AC54,AE54)</f>
        <v>-84523.99</v>
      </c>
      <c r="F54" s="64">
        <f>'TIE-OUT'!H54+RECLASS!Z54</f>
        <v>0</v>
      </c>
      <c r="G54" s="68">
        <f>'TIE-OUT'!I54+RECLASS!AA54</f>
        <v>0</v>
      </c>
      <c r="H54" s="127">
        <v>-5146522</v>
      </c>
      <c r="I54" s="128">
        <f>-24711-62744</f>
        <v>-87455</v>
      </c>
      <c r="J54" s="127">
        <v>17417</v>
      </c>
      <c r="K54" s="128">
        <f>-29+2960</f>
        <v>2931</v>
      </c>
      <c r="L54" s="127">
        <v>0</v>
      </c>
      <c r="M54" s="128">
        <v>0</v>
      </c>
      <c r="N54" s="127">
        <f>+Actuals!K347</f>
        <v>-9118</v>
      </c>
      <c r="O54" s="128">
        <f>+Actuals!L347</f>
        <v>0.01</v>
      </c>
      <c r="P54" s="127">
        <f>+Actuals!M347</f>
        <v>105</v>
      </c>
      <c r="Q54" s="128">
        <f>+Actuals!N347</f>
        <v>0</v>
      </c>
      <c r="R54" s="127">
        <f>+Actuals!O347</f>
        <v>-253</v>
      </c>
      <c r="S54" s="128">
        <f>+Actuals!P347</f>
        <v>0</v>
      </c>
      <c r="T54" s="127">
        <f>+Actuals!Q347</f>
        <v>0</v>
      </c>
      <c r="U54" s="128">
        <f>+Actuals!R347</f>
        <v>0</v>
      </c>
      <c r="V54" s="127">
        <v>0</v>
      </c>
      <c r="W54" s="128"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-1429768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-1850304</v>
      </c>
      <c r="J55" s="127">
        <v>0</v>
      </c>
      <c r="K55" s="128">
        <v>420536</v>
      </c>
      <c r="L55" s="127">
        <v>0</v>
      </c>
      <c r="M55" s="128">
        <v>0</v>
      </c>
      <c r="N55" s="127">
        <f>+Actuals!K348</f>
        <v>0</v>
      </c>
      <c r="O55" s="128">
        <f>+Actuals!L348</f>
        <v>0</v>
      </c>
      <c r="P55" s="127">
        <f>+Actuals!M348</f>
        <v>0</v>
      </c>
      <c r="Q55" s="128">
        <f>+Actuals!N348</f>
        <v>0</v>
      </c>
      <c r="R55" s="127">
        <f>+Actuals!O348</f>
        <v>0</v>
      </c>
      <c r="S55" s="128">
        <f>+Actuals!P348</f>
        <v>0</v>
      </c>
      <c r="T55" s="127">
        <f>+Actuals!Q348</f>
        <v>0</v>
      </c>
      <c r="U55" s="128">
        <f>+Actuals!R348</f>
        <v>0</v>
      </c>
      <c r="V55" s="127">
        <v>0</v>
      </c>
      <c r="W55" s="128"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-5138371</v>
      </c>
      <c r="E56" s="39">
        <f t="shared" si="16"/>
        <v>-1514291.99</v>
      </c>
      <c r="F56" s="61">
        <f t="shared" si="16"/>
        <v>0</v>
      </c>
      <c r="G56" s="39">
        <f t="shared" si="16"/>
        <v>0</v>
      </c>
      <c r="H56" s="61">
        <f t="shared" si="16"/>
        <v>-5146522</v>
      </c>
      <c r="I56" s="39">
        <f t="shared" si="16"/>
        <v>-1937759</v>
      </c>
      <c r="J56" s="61">
        <f t="shared" si="16"/>
        <v>17417</v>
      </c>
      <c r="K56" s="39">
        <f t="shared" si="16"/>
        <v>423467</v>
      </c>
      <c r="L56" s="61">
        <f t="shared" si="16"/>
        <v>0</v>
      </c>
      <c r="M56" s="39">
        <f t="shared" si="16"/>
        <v>0</v>
      </c>
      <c r="N56" s="61">
        <f t="shared" si="16"/>
        <v>-9118</v>
      </c>
      <c r="O56" s="39">
        <f t="shared" si="16"/>
        <v>0.01</v>
      </c>
      <c r="P56" s="61">
        <f t="shared" ref="P56:U56" si="17">SUM(P54:P55)</f>
        <v>105</v>
      </c>
      <c r="Q56" s="39">
        <f t="shared" si="17"/>
        <v>0</v>
      </c>
      <c r="R56" s="61">
        <f t="shared" si="17"/>
        <v>-253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v>0</v>
      </c>
      <c r="M59" s="128">
        <v>0</v>
      </c>
      <c r="N59" s="127">
        <f>+Actuals!K349</f>
        <v>0</v>
      </c>
      <c r="O59" s="128">
        <f>+Actuals!L349</f>
        <v>0</v>
      </c>
      <c r="P59" s="127">
        <f>+Actuals!M349</f>
        <v>0</v>
      </c>
      <c r="Q59" s="128">
        <f>+Actuals!N349</f>
        <v>0</v>
      </c>
      <c r="R59" s="127">
        <f>+Actuals!O349</f>
        <v>0</v>
      </c>
      <c r="S59" s="128">
        <f>+Actuals!P349</f>
        <v>0</v>
      </c>
      <c r="T59" s="127">
        <f>+Actuals!Q349</f>
        <v>0</v>
      </c>
      <c r="U59" s="128">
        <f>+Actuals!R349</f>
        <v>0</v>
      </c>
      <c r="V59" s="127">
        <v>0</v>
      </c>
      <c r="W59" s="128"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v>0</v>
      </c>
      <c r="M60" s="128">
        <v>0</v>
      </c>
      <c r="N60" s="127">
        <f>+Actuals!K350</f>
        <v>0</v>
      </c>
      <c r="O60" s="128">
        <f>+Actuals!L350</f>
        <v>0</v>
      </c>
      <c r="P60" s="127">
        <f>+Actuals!M350</f>
        <v>0</v>
      </c>
      <c r="Q60" s="128">
        <f>+Actuals!N350</f>
        <v>0</v>
      </c>
      <c r="R60" s="127">
        <f>+Actuals!O350</f>
        <v>0</v>
      </c>
      <c r="S60" s="128">
        <f>+Actuals!P350</f>
        <v>0</v>
      </c>
      <c r="T60" s="127">
        <f>+Actuals!Q350</f>
        <v>0</v>
      </c>
      <c r="U60" s="128">
        <f>+Actuals!R350</f>
        <v>0</v>
      </c>
      <c r="V60" s="127">
        <v>0</v>
      </c>
      <c r="W60" s="128"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v>0</v>
      </c>
      <c r="M64" s="128">
        <v>0</v>
      </c>
      <c r="N64" s="127">
        <f>+Actuals!K351</f>
        <v>0</v>
      </c>
      <c r="O64" s="128">
        <f>+Actuals!L351</f>
        <v>0</v>
      </c>
      <c r="P64" s="127">
        <f>+Actuals!M351</f>
        <v>0</v>
      </c>
      <c r="Q64" s="128">
        <f>+Actuals!N351</f>
        <v>0</v>
      </c>
      <c r="R64" s="127">
        <f>+Actuals!O351</f>
        <v>0</v>
      </c>
      <c r="S64" s="128">
        <f>+Actuals!P351</f>
        <v>0</v>
      </c>
      <c r="T64" s="127">
        <f>+Actuals!Q351</f>
        <v>0</v>
      </c>
      <c r="U64" s="128">
        <f>+Actuals!R351</f>
        <v>0</v>
      </c>
      <c r="V64" s="127">
        <v>0</v>
      </c>
      <c r="W64" s="128"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v>0</v>
      </c>
      <c r="M65" s="128">
        <v>0</v>
      </c>
      <c r="N65" s="127">
        <f>+Actuals!K352</f>
        <v>0</v>
      </c>
      <c r="O65" s="128">
        <f>+Actuals!L352</f>
        <v>0</v>
      </c>
      <c r="P65" s="127">
        <f>+Actuals!M352</f>
        <v>0</v>
      </c>
      <c r="Q65" s="128">
        <f>+Actuals!N352</f>
        <v>0</v>
      </c>
      <c r="R65" s="127">
        <f>+Actuals!O352</f>
        <v>0</v>
      </c>
      <c r="S65" s="128">
        <f>+Actuals!P352</f>
        <v>0</v>
      </c>
      <c r="T65" s="127">
        <f>+Actuals!Q352</f>
        <v>0</v>
      </c>
      <c r="U65" s="128">
        <f>+Actuals!R352</f>
        <v>0</v>
      </c>
      <c r="V65" s="127">
        <v>0</v>
      </c>
      <c r="W65" s="128"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16562230</v>
      </c>
      <c r="F70" s="64">
        <f>'TIE-OUT'!H70+RECLASS!Z70</f>
        <v>0</v>
      </c>
      <c r="G70" s="68">
        <f>'TIE-OUT'!I70+RECLASS!AA70</f>
        <v>16562230</v>
      </c>
      <c r="H70" s="127">
        <v>0</v>
      </c>
      <c r="I70" s="128">
        <v>0</v>
      </c>
      <c r="J70" s="127">
        <v>0</v>
      </c>
      <c r="K70" s="128">
        <v>0</v>
      </c>
      <c r="L70" s="127">
        <v>0</v>
      </c>
      <c r="M70" s="128">
        <v>0</v>
      </c>
      <c r="N70" s="127">
        <f>+Actuals!K353</f>
        <v>0</v>
      </c>
      <c r="O70" s="128">
        <f>+Actuals!L353</f>
        <v>0</v>
      </c>
      <c r="P70" s="127">
        <f>+Actuals!M353</f>
        <v>0</v>
      </c>
      <c r="Q70" s="128">
        <f>+Actuals!N353</f>
        <v>0</v>
      </c>
      <c r="R70" s="127">
        <f>+Actuals!O353</f>
        <v>0</v>
      </c>
      <c r="S70" s="128">
        <f>+Actuals!P353</f>
        <v>0</v>
      </c>
      <c r="T70" s="127">
        <f>+Actuals!Q353</f>
        <v>0</v>
      </c>
      <c r="U70" s="128">
        <f>+Actuals!R353</f>
        <v>0</v>
      </c>
      <c r="V70" s="127">
        <v>0</v>
      </c>
      <c r="W70" s="128"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-22061170</v>
      </c>
      <c r="F71" s="81">
        <f>'TIE-OUT'!H71+RECLASS!Z71</f>
        <v>0</v>
      </c>
      <c r="G71" s="82">
        <f>'TIE-OUT'!I71+RECLASS!AA71</f>
        <v>-22061170</v>
      </c>
      <c r="H71" s="127">
        <v>0</v>
      </c>
      <c r="I71" s="128">
        <v>0</v>
      </c>
      <c r="J71" s="127">
        <v>0</v>
      </c>
      <c r="K71" s="128">
        <v>0</v>
      </c>
      <c r="L71" s="127">
        <v>0</v>
      </c>
      <c r="M71" s="128">
        <v>0</v>
      </c>
      <c r="N71" s="127">
        <f>+Actuals!K354</f>
        <v>0</v>
      </c>
      <c r="O71" s="128">
        <f>+Actuals!L354</f>
        <v>0</v>
      </c>
      <c r="P71" s="127">
        <f>+Actuals!M354</f>
        <v>0</v>
      </c>
      <c r="Q71" s="128">
        <f>+Actuals!N354</f>
        <v>0</v>
      </c>
      <c r="R71" s="127">
        <f>+Actuals!O354</f>
        <v>0</v>
      </c>
      <c r="S71" s="128">
        <f>+Actuals!P354</f>
        <v>0</v>
      </c>
      <c r="T71" s="127">
        <f>+Actuals!Q354</f>
        <v>0</v>
      </c>
      <c r="U71" s="128">
        <f>+Actuals!R354</f>
        <v>0</v>
      </c>
      <c r="V71" s="127">
        <v>0</v>
      </c>
      <c r="W71" s="128"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-5498940</v>
      </c>
      <c r="F72" s="61">
        <f t="shared" si="22"/>
        <v>0</v>
      </c>
      <c r="G72" s="39">
        <f t="shared" si="22"/>
        <v>-5498940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v>0</v>
      </c>
      <c r="M73" s="128">
        <v>0</v>
      </c>
      <c r="N73" s="127">
        <f>+Actuals!K355</f>
        <v>0</v>
      </c>
      <c r="O73" s="128">
        <f>+Actuals!L355</f>
        <v>0</v>
      </c>
      <c r="P73" s="127">
        <f>+Actuals!M355</f>
        <v>0</v>
      </c>
      <c r="Q73" s="128">
        <f>+Actuals!N355</f>
        <v>0</v>
      </c>
      <c r="R73" s="127">
        <f>+Actuals!O355</f>
        <v>0</v>
      </c>
      <c r="S73" s="128">
        <f>+Actuals!P355</f>
        <v>0</v>
      </c>
      <c r="T73" s="127">
        <f>+Actuals!Q355</f>
        <v>0</v>
      </c>
      <c r="U73" s="128">
        <f>+Actuals!R355</f>
        <v>0</v>
      </c>
      <c r="V73" s="127">
        <v>0</v>
      </c>
      <c r="W73" s="128"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3945884</v>
      </c>
      <c r="F74" s="60">
        <f>'TIE-OUT'!H74+RECLASS!Z74</f>
        <v>0</v>
      </c>
      <c r="G74" s="60">
        <f>'TIE-OUT'!I74+RECLASS!AA74</f>
        <v>3945884</v>
      </c>
      <c r="H74" s="127">
        <v>0</v>
      </c>
      <c r="I74" s="128">
        <v>0</v>
      </c>
      <c r="J74" s="127">
        <v>0</v>
      </c>
      <c r="K74" s="128">
        <v>0</v>
      </c>
      <c r="L74" s="127">
        <v>0</v>
      </c>
      <c r="M74" s="128">
        <v>0</v>
      </c>
      <c r="N74" s="127">
        <f>+Actuals!K356</f>
        <v>0</v>
      </c>
      <c r="O74" s="128">
        <f>+Actuals!L356</f>
        <v>0</v>
      </c>
      <c r="P74" s="127">
        <f>+Actuals!M356</f>
        <v>0</v>
      </c>
      <c r="Q74" s="128">
        <f>+Actuals!N356</f>
        <v>0</v>
      </c>
      <c r="R74" s="127">
        <f>+Actuals!O356</f>
        <v>0</v>
      </c>
      <c r="S74" s="128">
        <f>+Actuals!P356</f>
        <v>0</v>
      </c>
      <c r="T74" s="127">
        <f>+Actuals!Q356</f>
        <v>0</v>
      </c>
      <c r="U74" s="128">
        <f>+Actuals!R356</f>
        <v>0</v>
      </c>
      <c r="V74" s="127">
        <v>0</v>
      </c>
      <c r="W74" s="128"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v>0</v>
      </c>
      <c r="M75" s="128">
        <v>0</v>
      </c>
      <c r="N75" s="127">
        <f>+Actuals!K357</f>
        <v>0</v>
      </c>
      <c r="O75" s="128">
        <f>+Actuals!L357</f>
        <v>0</v>
      </c>
      <c r="P75" s="127">
        <f>+Actuals!M357</f>
        <v>0</v>
      </c>
      <c r="Q75" s="128">
        <f>+Actuals!N357</f>
        <v>0</v>
      </c>
      <c r="R75" s="127">
        <f>+Actuals!O357</f>
        <v>0</v>
      </c>
      <c r="S75" s="128">
        <f>+Actuals!P357</f>
        <v>0</v>
      </c>
      <c r="T75" s="127">
        <f>+Actuals!Q357</f>
        <v>0</v>
      </c>
      <c r="U75" s="128">
        <f>+Actuals!R357</f>
        <v>0</v>
      </c>
      <c r="V75" s="127">
        <v>0</v>
      </c>
      <c r="W75" s="128"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v>0</v>
      </c>
      <c r="M76" s="128">
        <v>0</v>
      </c>
      <c r="N76" s="127">
        <f>+Actuals!K358</f>
        <v>0</v>
      </c>
      <c r="O76" s="128">
        <f>+Actuals!L358</f>
        <v>0</v>
      </c>
      <c r="P76" s="127">
        <f>+Actuals!M358</f>
        <v>0</v>
      </c>
      <c r="Q76" s="128">
        <f>+Actuals!N358</f>
        <v>0</v>
      </c>
      <c r="R76" s="127">
        <f>+Actuals!O358</f>
        <v>0</v>
      </c>
      <c r="S76" s="128">
        <f>+Actuals!P358</f>
        <v>0</v>
      </c>
      <c r="T76" s="127">
        <f>+Actuals!Q358</f>
        <v>0</v>
      </c>
      <c r="U76" s="128">
        <f>+Actuals!R358</f>
        <v>0</v>
      </c>
      <c r="V76" s="127">
        <v>0</v>
      </c>
      <c r="W76" s="128"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v>0</v>
      </c>
      <c r="M77" s="128">
        <v>0</v>
      </c>
      <c r="N77" s="127">
        <f>+Actuals!K359</f>
        <v>0</v>
      </c>
      <c r="O77" s="128">
        <f>+Actuals!L359</f>
        <v>0</v>
      </c>
      <c r="P77" s="127">
        <f>+Actuals!M359</f>
        <v>0</v>
      </c>
      <c r="Q77" s="128">
        <f>+Actuals!N359</f>
        <v>0</v>
      </c>
      <c r="R77" s="127">
        <f>+Actuals!O359</f>
        <v>0</v>
      </c>
      <c r="S77" s="128">
        <f>+Actuals!P359</f>
        <v>0</v>
      </c>
      <c r="T77" s="127">
        <f>+Actuals!Q359</f>
        <v>0</v>
      </c>
      <c r="U77" s="128">
        <f>+Actuals!R359</f>
        <v>0</v>
      </c>
      <c r="V77" s="127">
        <v>0</v>
      </c>
      <c r="W77" s="128"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v>0</v>
      </c>
      <c r="M78" s="128">
        <v>0</v>
      </c>
      <c r="N78" s="127">
        <f>+Actuals!K360</f>
        <v>0</v>
      </c>
      <c r="O78" s="128">
        <f>+Actuals!L360</f>
        <v>0</v>
      </c>
      <c r="P78" s="127">
        <f>+Actuals!M360</f>
        <v>0</v>
      </c>
      <c r="Q78" s="128">
        <f>+Actuals!N360</f>
        <v>0</v>
      </c>
      <c r="R78" s="127">
        <f>+Actuals!O360</f>
        <v>0</v>
      </c>
      <c r="S78" s="128">
        <f>+Actuals!P360</f>
        <v>0</v>
      </c>
      <c r="T78" s="127">
        <f>+Actuals!Q360</f>
        <v>0</v>
      </c>
      <c r="U78" s="128">
        <f>+Actuals!R360</f>
        <v>0</v>
      </c>
      <c r="V78" s="127">
        <v>0</v>
      </c>
      <c r="W78" s="128"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v>0</v>
      </c>
      <c r="M79" s="128">
        <v>0</v>
      </c>
      <c r="N79" s="127">
        <f>+Actuals!K361</f>
        <v>0</v>
      </c>
      <c r="O79" s="128">
        <f>+Actuals!L361</f>
        <v>0</v>
      </c>
      <c r="P79" s="127">
        <f>+Actuals!M361</f>
        <v>0</v>
      </c>
      <c r="Q79" s="128">
        <f>+Actuals!N361</f>
        <v>0</v>
      </c>
      <c r="R79" s="127">
        <f>+Actuals!O361</f>
        <v>0</v>
      </c>
      <c r="S79" s="128">
        <f>+Actuals!P361</f>
        <v>0</v>
      </c>
      <c r="T79" s="127">
        <f>+Actuals!Q361</f>
        <v>0</v>
      </c>
      <c r="U79" s="128">
        <f>+Actuals!R361</f>
        <v>0</v>
      </c>
      <c r="V79" s="127">
        <v>0</v>
      </c>
      <c r="W79" s="128"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v>0</v>
      </c>
      <c r="M80" s="128">
        <v>0</v>
      </c>
      <c r="N80" s="127">
        <f>+Actuals!K362</f>
        <v>0</v>
      </c>
      <c r="O80" s="128">
        <f>+Actuals!L362</f>
        <v>0</v>
      </c>
      <c r="P80" s="127">
        <f>+Actuals!M362</f>
        <v>0</v>
      </c>
      <c r="Q80" s="128">
        <f>+Actuals!N362</f>
        <v>0</v>
      </c>
      <c r="R80" s="127">
        <f>+Actuals!O362</f>
        <v>0</v>
      </c>
      <c r="S80" s="128">
        <f>+Actuals!P362</f>
        <v>0</v>
      </c>
      <c r="T80" s="127">
        <f>+Actuals!Q362</f>
        <v>0</v>
      </c>
      <c r="U80" s="128">
        <f>+Actuals!R362</f>
        <v>0</v>
      </c>
      <c r="V80" s="127">
        <v>0</v>
      </c>
      <c r="W80" s="128"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v>0</v>
      </c>
      <c r="M81" s="128">
        <v>0</v>
      </c>
      <c r="N81" s="127">
        <f>+Actuals!K363</f>
        <v>0</v>
      </c>
      <c r="O81" s="128">
        <f>+Actuals!L363</f>
        <v>0</v>
      </c>
      <c r="P81" s="127">
        <f>+Actuals!M363</f>
        <v>0</v>
      </c>
      <c r="Q81" s="128">
        <f>+Actuals!N363</f>
        <v>0</v>
      </c>
      <c r="R81" s="127">
        <f>+Actuals!O363</f>
        <v>0</v>
      </c>
      <c r="S81" s="128">
        <f>+Actuals!P363</f>
        <v>0</v>
      </c>
      <c r="T81" s="127">
        <f>+Actuals!Q363</f>
        <v>0</v>
      </c>
      <c r="U81" s="128">
        <f>+Actuals!R363</f>
        <v>0</v>
      </c>
      <c r="V81" s="127">
        <v>0</v>
      </c>
      <c r="W81" s="128"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-880784.47500000044</v>
      </c>
      <c r="F82" s="91">
        <f>F16+F24+F29+F36+F43+F45+F47+F49</f>
        <v>0</v>
      </c>
      <c r="G82" s="92">
        <f>SUM(G72:G81)+G16+G24+G29+G36+G43+G45+G47+G49+G51+G56+G61+G66</f>
        <v>-1553056</v>
      </c>
      <c r="H82" s="91">
        <f>H16+H24+H29+H36+H43+H45+H47+H49</f>
        <v>0</v>
      </c>
      <c r="I82" s="156">
        <f>SUM(I72:I81)+I16+I24+I29+I36+I43+I45+I47+I49+I51+I56+I61+I66</f>
        <v>-570616</v>
      </c>
      <c r="J82" s="91">
        <f>J16+J24+J29+J36+J43+J45+J47+J49</f>
        <v>0</v>
      </c>
      <c r="K82" s="156">
        <f>SUM(K72:K81)+K16+K24+K29+K36+K43+K45+K47+K49+K51+K56+K61+K66</f>
        <v>1734736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-336095.49</v>
      </c>
      <c r="P82" s="91">
        <f>P16+P24+P29+P36+P43+P45+P47+P49</f>
        <v>0</v>
      </c>
      <c r="Q82" s="92">
        <f>SUM(Q72:Q81)+Q16+Q24+Q29+Q36+Q43+Q45+Q47+Q49+Q51+Q56+Q61+Q66</f>
        <v>4</v>
      </c>
      <c r="R82" s="91">
        <f>R16+R24+R29+R36+R43+R45+R47+R49</f>
        <v>0</v>
      </c>
      <c r="S82" s="92">
        <f>SUM(S72:S81)+S16+S24+S29+S36+S43+S45+S47+S49+S51+S56+S61+S66</f>
        <v>-155756.98500000045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D76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84902660</v>
      </c>
      <c r="E11" s="38">
        <f>SUM(G11,I11,K11,M11,O11,Q11,S11,U11,W11,Y11,AA11,AC11,AE11)</f>
        <v>222547773.00000003</v>
      </c>
      <c r="F11" s="60">
        <f>'TIE-OUT'!J11+RECLASS!H11</f>
        <v>0</v>
      </c>
      <c r="G11" s="38">
        <f>'TIE-OUT'!K11+RECLASS!I11</f>
        <v>-1164869</v>
      </c>
      <c r="H11" s="127">
        <f>+Actuals!E164</f>
        <v>82049283</v>
      </c>
      <c r="I11" s="128">
        <f>+Actuals!F164</f>
        <v>223298360.74000001</v>
      </c>
      <c r="J11" s="127">
        <f>+Actuals!G164</f>
        <v>534214</v>
      </c>
      <c r="K11" s="147">
        <f>+Actuals!H164</f>
        <v>-6020146.4900000002</v>
      </c>
      <c r="L11" s="127">
        <f>+Actuals!I164</f>
        <v>2817591</v>
      </c>
      <c r="M11" s="128">
        <f>+Actuals!J164</f>
        <v>7435359.5499999998</v>
      </c>
      <c r="N11" s="127">
        <f>+Actuals!K244</f>
        <v>-429501</v>
      </c>
      <c r="O11" s="128">
        <f>+Actuals!L244</f>
        <v>-825087.79</v>
      </c>
      <c r="P11" s="127">
        <f>+Actuals!M244</f>
        <v>167</v>
      </c>
      <c r="Q11" s="128">
        <f>+Actuals!N244</f>
        <v>-2782.45</v>
      </c>
      <c r="R11" s="127">
        <f>+Actuals!O244</f>
        <v>0</v>
      </c>
      <c r="S11" s="128">
        <f>+Actuals!P244</f>
        <v>0</v>
      </c>
      <c r="T11" s="127">
        <f>+Actuals!Q244</f>
        <v>-69094</v>
      </c>
      <c r="U11" s="128">
        <f>+Actuals!R244</f>
        <v>-173061.56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-1127619.3</v>
      </c>
      <c r="F12" s="60">
        <f>'TIE-OUT'!J12+RECLASS!H12</f>
        <v>0</v>
      </c>
      <c r="G12" s="38">
        <f>'TIE-OUT'!K12+RECLASS!I12</f>
        <v>-1190115.3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58">
        <f>+Actuals!H165+65100-2604</f>
        <v>62496</v>
      </c>
      <c r="L12" s="127">
        <f>+Actuals!I165</f>
        <v>0</v>
      </c>
      <c r="M12" s="128">
        <f>+Actuals!J165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6809439</v>
      </c>
      <c r="E13" s="38">
        <f t="shared" si="0"/>
        <v>17968977</v>
      </c>
      <c r="F13" s="60">
        <f>'TIE-OUT'!J13+RECLASS!H13</f>
        <v>0</v>
      </c>
      <c r="G13" s="38">
        <f>'TIE-OUT'!K13+RECLASS!I13</f>
        <v>0</v>
      </c>
      <c r="H13" s="127">
        <f>+Actuals!E166</f>
        <v>34702924</v>
      </c>
      <c r="I13" s="128">
        <f>+Actuals!F166</f>
        <v>94085465</v>
      </c>
      <c r="J13" s="127">
        <f>+Actuals!G166</f>
        <v>6809439</v>
      </c>
      <c r="K13" s="147">
        <f>+Actuals!H166</f>
        <v>17968977</v>
      </c>
      <c r="L13" s="127">
        <f>+Actuals!I166</f>
        <v>-34702924</v>
      </c>
      <c r="M13" s="128">
        <f>+Actuals!J166</f>
        <v>-94085465</v>
      </c>
      <c r="N13" s="127">
        <f>+Actuals!K246</f>
        <v>41512363</v>
      </c>
      <c r="O13" s="128">
        <f>+Actuals!L246</f>
        <v>112054442</v>
      </c>
      <c r="P13" s="127">
        <f>+Actuals!M246</f>
        <v>0</v>
      </c>
      <c r="Q13" s="128">
        <f>+Actuals!N246</f>
        <v>0</v>
      </c>
      <c r="R13" s="127">
        <f>+Actuals!O246</f>
        <v>-41512363</v>
      </c>
      <c r="S13" s="128">
        <f>+Actuals!P246</f>
        <v>-112054442</v>
      </c>
      <c r="T13" s="127">
        <f>+Actuals!Q246</f>
        <v>0</v>
      </c>
      <c r="U13" s="128">
        <f>+Actuals!R246</f>
        <v>0</v>
      </c>
      <c r="V13" s="127">
        <f>+Actuals!S166</f>
        <v>0</v>
      </c>
      <c r="W13" s="128">
        <f>+Actuals!T166</f>
        <v>0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1141174.75</v>
      </c>
      <c r="F15" s="81">
        <f>'TIE-OUT'!J15+RECLASS!H15</f>
        <v>0</v>
      </c>
      <c r="G15" s="82">
        <f>'TIE-OUT'!K15+RECLASS!I15</f>
        <v>-568031</v>
      </c>
      <c r="H15" s="127">
        <f>+Actuals!E168</f>
        <v>0</v>
      </c>
      <c r="I15" s="128">
        <f>+Actuals!F168</f>
        <v>1604977.6</v>
      </c>
      <c r="J15" s="127">
        <f>+Actuals!G168</f>
        <v>0</v>
      </c>
      <c r="K15" s="147">
        <f>+Actuals!H168</f>
        <v>94889.53</v>
      </c>
      <c r="L15" s="127">
        <f>+Actuals!I168</f>
        <v>0</v>
      </c>
      <c r="M15" s="128">
        <f>+Actuals!J168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8059.15</v>
      </c>
      <c r="R15" s="127">
        <f>+Actuals!O248</f>
        <v>0</v>
      </c>
      <c r="S15" s="128">
        <f>+Actuals!P248</f>
        <v>1875.46</v>
      </c>
      <c r="T15" s="127">
        <f>+Actuals!Q248</f>
        <v>0</v>
      </c>
      <c r="U15" s="128">
        <f>+Actuals!R248</f>
        <v>-595.99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91712099</v>
      </c>
      <c r="E16" s="39">
        <f t="shared" si="1"/>
        <v>240530305.45000002</v>
      </c>
      <c r="F16" s="61">
        <f t="shared" si="1"/>
        <v>0</v>
      </c>
      <c r="G16" s="39">
        <f t="shared" si="1"/>
        <v>-2923015.3</v>
      </c>
      <c r="H16" s="61">
        <f t="shared" si="1"/>
        <v>116752207</v>
      </c>
      <c r="I16" s="39">
        <f t="shared" si="1"/>
        <v>318988803.34000003</v>
      </c>
      <c r="J16" s="61">
        <f t="shared" si="1"/>
        <v>7343653</v>
      </c>
      <c r="K16" s="148">
        <f t="shared" si="1"/>
        <v>12106216.039999999</v>
      </c>
      <c r="L16" s="61">
        <f t="shared" si="1"/>
        <v>-31885333</v>
      </c>
      <c r="M16" s="39">
        <f t="shared" si="1"/>
        <v>-86650105.450000003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-96362177</v>
      </c>
      <c r="E19" s="38">
        <f t="shared" si="3"/>
        <v>-248797273.50999999</v>
      </c>
      <c r="F19" s="64">
        <f>'TIE-OUT'!J19+RECLASS!H19</f>
        <v>0</v>
      </c>
      <c r="G19" s="68">
        <f>'TIE-OUT'!K19+RECLASS!I19</f>
        <v>-56179</v>
      </c>
      <c r="H19" s="127">
        <f>+Actuals!E169</f>
        <v>-96180858</v>
      </c>
      <c r="I19" s="128">
        <f>+Actuals!F169</f>
        <v>-248344120.63</v>
      </c>
      <c r="J19" s="127">
        <f>+Actuals!G169</f>
        <v>-311394</v>
      </c>
      <c r="K19" s="147">
        <f>+Actuals!H169</f>
        <v>-648784.59</v>
      </c>
      <c r="L19" s="127">
        <f>+Actuals!I169</f>
        <v>-17319</v>
      </c>
      <c r="M19" s="128">
        <f>+Actuals!J169</f>
        <v>-150783.18</v>
      </c>
      <c r="N19" s="127">
        <f>+Actuals!K249</f>
        <v>140881</v>
      </c>
      <c r="O19" s="128">
        <f>+Actuals!L249</f>
        <v>372940.79999999999</v>
      </c>
      <c r="P19" s="127">
        <f>+Actuals!M249</f>
        <v>10149</v>
      </c>
      <c r="Q19" s="128">
        <f>+Actuals!N249</f>
        <v>26469.91</v>
      </c>
      <c r="R19" s="127">
        <f>+Actuals!O249</f>
        <v>-5</v>
      </c>
      <c r="S19" s="128">
        <f>+Actuals!P249</f>
        <v>6506.8</v>
      </c>
      <c r="T19" s="127">
        <f>+Actuals!Q249</f>
        <v>-3631</v>
      </c>
      <c r="U19" s="128">
        <f>+Actuals!R249</f>
        <v>-3323.62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0</v>
      </c>
      <c r="AD19" s="127">
        <f>+Actuals!AA169</f>
        <v>0</v>
      </c>
      <c r="AE19" s="128">
        <f>+Actuals!AB169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-165008.88999999998</v>
      </c>
      <c r="F20" s="60">
        <f>'TIE-OUT'!J20+RECLASS!H20</f>
        <v>0</v>
      </c>
      <c r="G20" s="38">
        <f>'TIE-OUT'!K20+RECLASS!I20</f>
        <v>84922.85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</f>
        <v>0</v>
      </c>
      <c r="L20" s="127">
        <f>+Actuals!I170</f>
        <v>0</v>
      </c>
      <c r="M20" s="128">
        <f>+Actuals!J170</f>
        <v>0</v>
      </c>
      <c r="N20" s="127">
        <f>+Actuals!K250</f>
        <v>0</v>
      </c>
      <c r="O20" s="155">
        <f>-249931.3-0.44</f>
        <v>-249931.74</v>
      </c>
      <c r="P20" s="127">
        <f>+Actuals!M250</f>
        <v>0</v>
      </c>
      <c r="Q20" s="128"/>
      <c r="R20" s="127">
        <f>+Actuals!O250</f>
        <v>0</v>
      </c>
      <c r="S20" s="128"/>
      <c r="T20" s="127">
        <f>+Actuals!Q250</f>
        <v>0</v>
      </c>
      <c r="U20" s="128"/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-2656950</v>
      </c>
      <c r="E21" s="38">
        <f t="shared" si="3"/>
        <v>-7303370</v>
      </c>
      <c r="F21" s="60">
        <f>'TIE-OUT'!J21+RECLASS!H21</f>
        <v>0</v>
      </c>
      <c r="G21" s="38">
        <f>'TIE-OUT'!K21+RECLASS!I21</f>
        <v>0</v>
      </c>
      <c r="H21" s="127">
        <f>+Actuals!E171</f>
        <v>-30570259</v>
      </c>
      <c r="I21" s="128">
        <f>+Actuals!F171</f>
        <v>-83479714</v>
      </c>
      <c r="J21" s="127">
        <f>+Actuals!G171</f>
        <v>-2678950</v>
      </c>
      <c r="K21" s="147">
        <f>+Actuals!H171</f>
        <v>-7365084</v>
      </c>
      <c r="L21" s="127">
        <f>+Actuals!I171</f>
        <v>30570259</v>
      </c>
      <c r="M21" s="128">
        <f>+Actuals!J171</f>
        <v>83479714</v>
      </c>
      <c r="N21" s="127">
        <f>+Actuals!K251</f>
        <v>-33227209</v>
      </c>
      <c r="O21" s="128">
        <f>+Actuals!L251</f>
        <v>-90783084</v>
      </c>
      <c r="P21" s="127">
        <f>+Actuals!M251</f>
        <v>0</v>
      </c>
      <c r="Q21" s="128">
        <f>+Actuals!N251</f>
        <v>0</v>
      </c>
      <c r="R21" s="127">
        <f>+Actuals!O251</f>
        <v>33249209</v>
      </c>
      <c r="S21" s="128">
        <f>+Actuals!P251</f>
        <v>90844798</v>
      </c>
      <c r="T21" s="127">
        <f>+Actuals!Q251</f>
        <v>0</v>
      </c>
      <c r="U21" s="128">
        <f>+Actuals!R251</f>
        <v>0</v>
      </c>
      <c r="V21" s="127">
        <f>+Actuals!S171</f>
        <v>0</v>
      </c>
      <c r="W21" s="128">
        <f>+Actuals!T171</f>
        <v>0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195185</v>
      </c>
      <c r="E23" s="38">
        <f t="shared" si="3"/>
        <v>1712496.7859999998</v>
      </c>
      <c r="F23" s="81">
        <f>'TIE-OUT'!J23+RECLASS!H23</f>
        <v>0</v>
      </c>
      <c r="G23" s="82">
        <f>'TIE-OUT'!K23+RECLASS!I23</f>
        <v>0</v>
      </c>
      <c r="H23" s="127">
        <f>+Actuals!E173</f>
        <v>867880</v>
      </c>
      <c r="I23" s="128">
        <f>+Actuals!F173</f>
        <v>2205283.08</v>
      </c>
      <c r="J23" s="127">
        <f>+Actuals!G173</f>
        <v>7286</v>
      </c>
      <c r="K23" s="147">
        <f>+Actuals!H173</f>
        <v>18513.725999999999</v>
      </c>
      <c r="L23" s="127">
        <f>+Actuals!I173</f>
        <v>-615</v>
      </c>
      <c r="M23" s="128">
        <f>+Actuals!J173</f>
        <v>-1562.7149999999999</v>
      </c>
      <c r="N23" s="127">
        <f>+Actuals!K253</f>
        <v>-475</v>
      </c>
      <c r="O23" s="128">
        <f>+Actuals!L253</f>
        <v>-1206.9749999999999</v>
      </c>
      <c r="P23" s="127">
        <f>+Actuals!M253</f>
        <v>-478066</v>
      </c>
      <c r="Q23" s="128">
        <f>+Actuals!N253</f>
        <v>1765.9949999999999</v>
      </c>
      <c r="R23" s="127">
        <f>+Actuals!O253</f>
        <v>2511</v>
      </c>
      <c r="S23" s="128">
        <f>+Actuals!P253</f>
        <v>6380.451</v>
      </c>
      <c r="T23" s="127">
        <f>+Actuals!Q253</f>
        <v>-203336</v>
      </c>
      <c r="U23" s="128">
        <f>+Actuals!R253</f>
        <v>-516676.77600000001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+Actuals!W173</f>
        <v>0</v>
      </c>
      <c r="AA23" s="128">
        <f>+Actuals!X173</f>
        <v>0</v>
      </c>
      <c r="AB23" s="127">
        <f>+Actuals!Y173</f>
        <v>0</v>
      </c>
      <c r="AC23" s="128">
        <f>+Actuals!Z173</f>
        <v>0</v>
      </c>
      <c r="AD23" s="127">
        <f>+Actuals!AA173</f>
        <v>0</v>
      </c>
      <c r="AE23" s="128">
        <f>+Actuals!AB173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-98823942</v>
      </c>
      <c r="E24" s="39">
        <f t="shared" si="4"/>
        <v>-254553155.61399996</v>
      </c>
      <c r="F24" s="61">
        <f t="shared" si="4"/>
        <v>0</v>
      </c>
      <c r="G24" s="39">
        <f t="shared" si="4"/>
        <v>28743.850000000006</v>
      </c>
      <c r="H24" s="61">
        <f t="shared" si="4"/>
        <v>-125883237</v>
      </c>
      <c r="I24" s="39">
        <f t="shared" si="4"/>
        <v>-329618551.55000001</v>
      </c>
      <c r="J24" s="61">
        <f t="shared" si="4"/>
        <v>-2983058</v>
      </c>
      <c r="K24" s="148">
        <f t="shared" si="4"/>
        <v>-7995354.8640000001</v>
      </c>
      <c r="L24" s="61">
        <f t="shared" si="4"/>
        <v>30552325</v>
      </c>
      <c r="M24" s="39">
        <f t="shared" si="4"/>
        <v>83327368.104999989</v>
      </c>
      <c r="N24" s="61">
        <f t="shared" si="4"/>
        <v>-33086803</v>
      </c>
      <c r="O24" s="39">
        <f t="shared" si="4"/>
        <v>-90661281.914999992</v>
      </c>
      <c r="P24" s="61">
        <f t="shared" ref="P24:U24" si="5">SUM(P19:P23)</f>
        <v>-467917</v>
      </c>
      <c r="Q24" s="39">
        <f t="shared" si="5"/>
        <v>28235.904999999999</v>
      </c>
      <c r="R24" s="61">
        <f t="shared" si="5"/>
        <v>33251715</v>
      </c>
      <c r="S24" s="39">
        <f t="shared" si="5"/>
        <v>90857685.251000002</v>
      </c>
      <c r="T24" s="61">
        <f t="shared" si="5"/>
        <v>-206967</v>
      </c>
      <c r="U24" s="39">
        <f t="shared" si="5"/>
        <v>-520000.39600000001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8813174</v>
      </c>
      <c r="E27" s="38">
        <f>SUM(G27,I27,K27,M27,O27,Q27,S27,U27,W27,Y27,AA27,AC27,AE27)</f>
        <v>23535097.510000002</v>
      </c>
      <c r="F27" s="64">
        <f>'TIE-OUT'!J27+RECLASS!H27</f>
        <v>0</v>
      </c>
      <c r="G27" s="68">
        <f>'TIE-OUT'!K27+RECLASS!I27</f>
        <v>0</v>
      </c>
      <c r="H27" s="127">
        <f>+Actuals!E174</f>
        <v>8799776</v>
      </c>
      <c r="I27" s="128">
        <f>+Actuals!F174</f>
        <v>23640633.190000001</v>
      </c>
      <c r="J27" s="127">
        <f>+Actuals!G174</f>
        <v>13398</v>
      </c>
      <c r="K27" s="147">
        <f>+Actuals!H174</f>
        <v>-105535.67999999999</v>
      </c>
      <c r="L27" s="127">
        <f>+Actuals!I174</f>
        <v>0</v>
      </c>
      <c r="M27" s="128">
        <f>+Actuals!J174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-2182030</v>
      </c>
      <c r="E28" s="38">
        <f>SUM(G28,I28,K28,M28,O28,Q28,S28,U28,W28,Y28,AA28,AC28,AE28)</f>
        <v>-5895083.3100000005</v>
      </c>
      <c r="F28" s="81">
        <f>'TIE-OUT'!J28+RECLASS!H28</f>
        <v>0</v>
      </c>
      <c r="G28" s="82">
        <f>'TIE-OUT'!K28+RECLASS!I28</f>
        <v>0</v>
      </c>
      <c r="H28" s="127">
        <f>+Actuals!E175</f>
        <v>-2261859</v>
      </c>
      <c r="I28" s="128">
        <f>+Actuals!F175</f>
        <v>-6071312.3300000001</v>
      </c>
      <c r="J28" s="127">
        <f>+Actuals!G175</f>
        <v>79829</v>
      </c>
      <c r="K28" s="147">
        <f>+Actuals!H175</f>
        <v>176229.02</v>
      </c>
      <c r="L28" s="127">
        <f>+Actuals!I175</f>
        <v>0</v>
      </c>
      <c r="M28" s="128">
        <f>+Actuals!J175</f>
        <v>0</v>
      </c>
      <c r="N28" s="127">
        <f>+Actuals!K255</f>
        <v>0</v>
      </c>
      <c r="O28" s="128">
        <f>+Actuals!L255</f>
        <v>0</v>
      </c>
      <c r="P28" s="127">
        <f>+Actuals!M255</f>
        <v>0</v>
      </c>
      <c r="Q28" s="128">
        <f>+Actuals!N255</f>
        <v>0</v>
      </c>
      <c r="R28" s="127">
        <f>+Actuals!O255</f>
        <v>0</v>
      </c>
      <c r="S28" s="128">
        <f>+Actuals!P255</f>
        <v>0</v>
      </c>
      <c r="T28" s="127">
        <f>+Actuals!Q255</f>
        <v>0</v>
      </c>
      <c r="U28" s="128">
        <f>+Actuals!R255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6631144</v>
      </c>
      <c r="E29" s="39">
        <f t="shared" si="6"/>
        <v>17640014.200000003</v>
      </c>
      <c r="F29" s="61">
        <f t="shared" si="6"/>
        <v>0</v>
      </c>
      <c r="G29" s="39">
        <f t="shared" si="6"/>
        <v>0</v>
      </c>
      <c r="H29" s="61">
        <f t="shared" si="6"/>
        <v>6537917</v>
      </c>
      <c r="I29" s="39">
        <f t="shared" si="6"/>
        <v>17569320.859999999</v>
      </c>
      <c r="J29" s="61">
        <f t="shared" si="6"/>
        <v>93227</v>
      </c>
      <c r="K29" s="148">
        <f t="shared" si="6"/>
        <v>70693.34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226077</v>
      </c>
      <c r="E32" s="38">
        <f t="shared" si="8"/>
        <v>574461.65699999931</v>
      </c>
      <c r="F32" s="64">
        <f>'TIE-OUT'!J32+RECLASS!H32</f>
        <v>0</v>
      </c>
      <c r="G32" s="68">
        <f>'TIE-OUT'!K32+RECLASS!I32</f>
        <v>0</v>
      </c>
      <c r="H32" s="127">
        <f>+Actuals!E176</f>
        <v>-330012</v>
      </c>
      <c r="I32" s="128">
        <f>+Actuals!F176</f>
        <v>-838560.49</v>
      </c>
      <c r="J32" s="127">
        <f>+Actuals!G176</f>
        <v>2208353</v>
      </c>
      <c r="K32" s="147">
        <f>+Actuals!H176</f>
        <v>5611424.9709999999</v>
      </c>
      <c r="L32" s="127">
        <f>+Actuals!I176</f>
        <v>-2070127</v>
      </c>
      <c r="M32" s="128">
        <f>+Actuals!J176</f>
        <v>-5260192.7070000004</v>
      </c>
      <c r="N32" s="127">
        <f>+Actuals!K256</f>
        <v>236449</v>
      </c>
      <c r="O32" s="128">
        <f>+Actuals!L256</f>
        <v>600816.90899999999</v>
      </c>
      <c r="P32" s="127">
        <f>+Actuals!M256</f>
        <v>-22236</v>
      </c>
      <c r="Q32" s="128">
        <f>+Actuals!N256</f>
        <v>-56501.675999999999</v>
      </c>
      <c r="R32" s="127">
        <f>+Actuals!O256</f>
        <v>-508</v>
      </c>
      <c r="S32" s="128">
        <f>+Actuals!P256</f>
        <v>-1290.828</v>
      </c>
      <c r="T32" s="127">
        <f>+Actuals!Q256</f>
        <v>204158</v>
      </c>
      <c r="U32" s="128">
        <f>+Actuals!R256</f>
        <v>518765.478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+Actuals!W176</f>
        <v>0</v>
      </c>
      <c r="AA32" s="128">
        <f>+Actuals!X176</f>
        <v>0</v>
      </c>
      <c r="AB32" s="127">
        <f>+Actuals!Y176</f>
        <v>0</v>
      </c>
      <c r="AC32" s="128">
        <f>+Actuals!Z176</f>
        <v>0</v>
      </c>
      <c r="AD32" s="127">
        <f>+Actuals!AA176</f>
        <v>0</v>
      </c>
      <c r="AE32" s="128">
        <f>+Actuals!AB176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-289662</v>
      </c>
      <c r="E33" s="38">
        <f t="shared" si="8"/>
        <v>-813186.58999999985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-271873</v>
      </c>
      <c r="K33" s="147">
        <f>+Actuals!H177</f>
        <v>-761220.95</v>
      </c>
      <c r="L33" s="127">
        <f>+Actuals!I177</f>
        <v>-16130</v>
      </c>
      <c r="M33" s="128">
        <f>+Actuals!J177</f>
        <v>-46017.95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-1659</v>
      </c>
      <c r="U33" s="128">
        <f>+Actuals!R257</f>
        <v>-5947.69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63281</v>
      </c>
      <c r="E34" s="38">
        <f t="shared" si="8"/>
        <v>169730.25999999998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39019</v>
      </c>
      <c r="K34" s="147">
        <f>+Actuals!H178</f>
        <v>102428.09</v>
      </c>
      <c r="L34" s="127">
        <f>+Actuals!I178</f>
        <v>16976</v>
      </c>
      <c r="M34" s="128">
        <f>+Actuals!J178</f>
        <v>48523.23</v>
      </c>
      <c r="N34" s="127">
        <f>+Actuals!K258</f>
        <v>6556</v>
      </c>
      <c r="O34" s="128">
        <f>+Actuals!L258</f>
        <v>16575.740000000002</v>
      </c>
      <c r="P34" s="127">
        <f>+Actuals!M258</f>
        <v>1</v>
      </c>
      <c r="Q34" s="128">
        <f>+Actuals!N258</f>
        <v>2.9</v>
      </c>
      <c r="R34" s="127">
        <f>+Actuals!O258</f>
        <v>288</v>
      </c>
      <c r="S34" s="128">
        <f>+Actuals!P258</f>
        <v>774.72</v>
      </c>
      <c r="T34" s="127">
        <f>+Actuals!Q258</f>
        <v>441</v>
      </c>
      <c r="U34" s="128">
        <f>+Actuals!R258</f>
        <v>1425.58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643159</v>
      </c>
      <c r="E35" s="38">
        <f t="shared" si="8"/>
        <v>-126950</v>
      </c>
      <c r="F35" s="81">
        <f>'TIE-OUT'!J35+RECLASS!H35</f>
        <v>0</v>
      </c>
      <c r="G35" s="82">
        <f>'TIE-OUT'!K35+RECLASS!I35</f>
        <v>-126950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643159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642855</v>
      </c>
      <c r="E36" s="39">
        <f t="shared" si="9"/>
        <v>-195944.67300000056</v>
      </c>
      <c r="F36" s="61">
        <f t="shared" si="9"/>
        <v>0</v>
      </c>
      <c r="G36" s="39">
        <f t="shared" si="9"/>
        <v>-126950</v>
      </c>
      <c r="H36" s="61">
        <f t="shared" si="9"/>
        <v>-330012</v>
      </c>
      <c r="I36" s="39">
        <f t="shared" si="9"/>
        <v>-838560.49</v>
      </c>
      <c r="J36" s="61">
        <f t="shared" si="9"/>
        <v>1975499</v>
      </c>
      <c r="K36" s="148">
        <f t="shared" si="9"/>
        <v>4952632.1109999996</v>
      </c>
      <c r="L36" s="61">
        <f t="shared" si="9"/>
        <v>-2069281</v>
      </c>
      <c r="M36" s="39">
        <f t="shared" si="9"/>
        <v>-5257687.4270000001</v>
      </c>
      <c r="N36" s="61">
        <f t="shared" si="9"/>
        <v>243005</v>
      </c>
      <c r="O36" s="39">
        <f t="shared" si="9"/>
        <v>617392.64899999998</v>
      </c>
      <c r="P36" s="61">
        <f t="shared" ref="P36:U36" si="10">SUM(P32:P35)</f>
        <v>-22235</v>
      </c>
      <c r="Q36" s="39">
        <f t="shared" si="10"/>
        <v>-56498.775999999998</v>
      </c>
      <c r="R36" s="61">
        <f t="shared" si="10"/>
        <v>642939</v>
      </c>
      <c r="S36" s="39">
        <f t="shared" si="10"/>
        <v>-516.10799999999995</v>
      </c>
      <c r="T36" s="61">
        <f t="shared" si="10"/>
        <v>202940</v>
      </c>
      <c r="U36" s="39">
        <f t="shared" si="10"/>
        <v>514243.36800000002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-599281</v>
      </c>
      <c r="E39" s="38">
        <f t="shared" si="11"/>
        <v>-1732900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643878</v>
      </c>
      <c r="K39" s="147">
        <f>+Actuals!H180</f>
        <v>1636094</v>
      </c>
      <c r="L39" s="127">
        <f>+Actuals!I180</f>
        <v>0</v>
      </c>
      <c r="M39" s="128">
        <f>+Actuals!J180</f>
        <v>0</v>
      </c>
      <c r="N39" s="127">
        <f>+Actuals!K260</f>
        <v>0</v>
      </c>
      <c r="O39" s="128">
        <f>+Actuals!L260</f>
        <v>0</v>
      </c>
      <c r="P39" s="127">
        <f>+Actuals!M260</f>
        <v>0</v>
      </c>
      <c r="Q39" s="128">
        <f>+Actuals!N260</f>
        <v>0</v>
      </c>
      <c r="R39" s="127">
        <f>+Actuals!O260</f>
        <v>-43159</v>
      </c>
      <c r="S39" s="128">
        <f>+Actuals!P260</f>
        <v>96806</v>
      </c>
      <c r="T39" s="127">
        <f>+Actuals!Q260</f>
        <v>-1200000</v>
      </c>
      <c r="U39" s="128">
        <f>+Actuals!R260</f>
        <v>-3465800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-4052</v>
      </c>
      <c r="E40" s="38">
        <f t="shared" si="11"/>
        <v>-0.01</v>
      </c>
      <c r="F40" s="60">
        <f>'TIE-OUT'!J40+RECLASS!H40</f>
        <v>0</v>
      </c>
      <c r="G40" s="38">
        <f>'TIE-OUT'!K40+RECLASS!I40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+Actuals!K261</f>
        <v>-4052</v>
      </c>
      <c r="O40" s="128">
        <f>+Actuals!L261</f>
        <v>-0.01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-4052</v>
      </c>
      <c r="E42" s="39">
        <f t="shared" si="12"/>
        <v>-0.01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-4052</v>
      </c>
      <c r="O42" s="39">
        <f t="shared" si="12"/>
        <v>-0.01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-603333</v>
      </c>
      <c r="E43" s="39">
        <f t="shared" si="14"/>
        <v>-1732900.01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643878</v>
      </c>
      <c r="K43" s="148">
        <f t="shared" si="14"/>
        <v>1636094</v>
      </c>
      <c r="L43" s="61">
        <f t="shared" si="14"/>
        <v>0</v>
      </c>
      <c r="M43" s="39">
        <f t="shared" si="14"/>
        <v>0</v>
      </c>
      <c r="N43" s="61">
        <f t="shared" si="14"/>
        <v>-4052</v>
      </c>
      <c r="O43" s="39">
        <f t="shared" si="14"/>
        <v>-0.01</v>
      </c>
      <c r="P43" s="61">
        <f t="shared" ref="P43:U43" si="15">P42+P39</f>
        <v>0</v>
      </c>
      <c r="Q43" s="39">
        <f t="shared" si="15"/>
        <v>0</v>
      </c>
      <c r="R43" s="61">
        <f t="shared" si="15"/>
        <v>-43159</v>
      </c>
      <c r="S43" s="39">
        <f t="shared" si="15"/>
        <v>96806</v>
      </c>
      <c r="T43" s="61">
        <f t="shared" si="15"/>
        <v>-1200000</v>
      </c>
      <c r="U43" s="39">
        <f t="shared" si="15"/>
        <v>-3465800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441177</v>
      </c>
      <c r="E49" s="38">
        <f>SUM(G49,I49,K49,M49,O49,Q49,S49,U49,W49,Y49,AA49,AC49,AE49)</f>
        <v>1121030.7570000002</v>
      </c>
      <c r="F49" s="60">
        <f>'TIE-OUT'!J49+RECLASS!H49</f>
        <v>0</v>
      </c>
      <c r="G49" s="38">
        <f>'TIE-OUT'!K49+RECLASS!I49</f>
        <v>0</v>
      </c>
      <c r="H49" s="127">
        <f>+Actuals!E185</f>
        <v>2923125</v>
      </c>
      <c r="I49" s="128">
        <f>+Actuals!F185</f>
        <v>7427660.625</v>
      </c>
      <c r="J49" s="127">
        <f>+Actuals!G185</f>
        <v>-7073199</v>
      </c>
      <c r="K49" s="147">
        <f>+Actuals!H185</f>
        <v>-17972998.659000002</v>
      </c>
      <c r="L49" s="127">
        <f>+Actuals!I185</f>
        <v>3402289</v>
      </c>
      <c r="M49" s="128">
        <f>+Actuals!J185</f>
        <v>8645216.3489999995</v>
      </c>
      <c r="N49" s="127">
        <f>+Actuals!K265</f>
        <v>-8235012</v>
      </c>
      <c r="O49" s="128">
        <f>+Actuals!L265</f>
        <v>-20925165.491999999</v>
      </c>
      <c r="P49" s="127">
        <f>+Actuals!M265</f>
        <v>489985</v>
      </c>
      <c r="Q49" s="128">
        <f>+Actuals!N265</f>
        <v>1245051.885</v>
      </c>
      <c r="R49" s="127">
        <f>+Actuals!O265</f>
        <v>7660868</v>
      </c>
      <c r="S49" s="128">
        <f>+Actuals!P265</f>
        <v>19466265.588</v>
      </c>
      <c r="T49" s="127">
        <f>+Actuals!Q265</f>
        <v>1273121</v>
      </c>
      <c r="U49" s="128">
        <f>+Actuals!R265</f>
        <v>3235000.4610000001</v>
      </c>
      <c r="V49" s="127">
        <f>+Actuals!S185</f>
        <v>0</v>
      </c>
      <c r="W49" s="128">
        <f>+Actuals!T185</f>
        <v>0</v>
      </c>
      <c r="X49" s="127">
        <f>+Actuals!U185</f>
        <v>0</v>
      </c>
      <c r="Y49" s="128">
        <f>+Actuals!V185</f>
        <v>0</v>
      </c>
      <c r="Z49" s="127">
        <f>+Actuals!W185</f>
        <v>0</v>
      </c>
      <c r="AA49" s="128">
        <f>+Actuals!X185</f>
        <v>0</v>
      </c>
      <c r="AB49" s="127">
        <f>+Actuals!Y185</f>
        <v>0</v>
      </c>
      <c r="AC49" s="128">
        <f>+Actuals!Z185</f>
        <v>0</v>
      </c>
      <c r="AD49" s="127">
        <f>+Actuals!AA185</f>
        <v>0</v>
      </c>
      <c r="AE49" s="128">
        <f>+Actuals!AB185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-673946</v>
      </c>
      <c r="E51" s="38">
        <f>SUM(G51,I51,K51,M51,O51,Q51,S51,U51,W51,Y51,AA51,AC51,AE51)</f>
        <v>-1712496.7859999998</v>
      </c>
      <c r="F51" s="60">
        <f>'TIE-OUT'!J51+RECLASS!H51</f>
        <v>0</v>
      </c>
      <c r="G51" s="38">
        <f>'TIE-OUT'!K51+RECLASS!I51</f>
        <v>0</v>
      </c>
      <c r="H51" s="127">
        <f>+Actuals!E186</f>
        <v>-867880</v>
      </c>
      <c r="I51" s="128">
        <f>+Actuals!F186</f>
        <v>-2205283.08</v>
      </c>
      <c r="J51" s="127">
        <f>+Actuals!G186</f>
        <v>-7286</v>
      </c>
      <c r="K51" s="147">
        <f>+Actuals!H186</f>
        <v>-18513.725999999999</v>
      </c>
      <c r="L51" s="127">
        <f>+Actuals!I186</f>
        <v>615</v>
      </c>
      <c r="M51" s="128">
        <f>+Actuals!J186</f>
        <v>1562.7149999999999</v>
      </c>
      <c r="N51" s="127">
        <f>+Actuals!K266</f>
        <v>475</v>
      </c>
      <c r="O51" s="128">
        <f>+Actuals!L266</f>
        <v>1206.9749999999999</v>
      </c>
      <c r="P51" s="127">
        <f>+Actuals!M266</f>
        <v>-695</v>
      </c>
      <c r="Q51" s="128">
        <f>+Actuals!N266</f>
        <v>-1765.9949999999999</v>
      </c>
      <c r="R51" s="127">
        <f>+Actuals!O266</f>
        <v>-2511</v>
      </c>
      <c r="S51" s="128">
        <f>+Actuals!P266</f>
        <v>-6380.451</v>
      </c>
      <c r="T51" s="127">
        <f>+Actuals!Q266</f>
        <v>203336</v>
      </c>
      <c r="U51" s="128">
        <f>+Actuals!R266</f>
        <v>516676.77600000001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+Actuals!W186</f>
        <v>0</v>
      </c>
      <c r="AA51" s="128">
        <f>+Actuals!X186</f>
        <v>0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-66816869</v>
      </c>
      <c r="E54" s="38">
        <f>SUM(G54,I54,K54,M54,O54,Q54,S54,U54,W54,Y54,AA54,AC54,AE54)</f>
        <v>-672644.65999999992</v>
      </c>
      <c r="F54" s="64">
        <f>'TIE-OUT'!J54+RECLASS!H54</f>
        <v>0</v>
      </c>
      <c r="G54" s="68">
        <f>'TIE-OUT'!K54+RECLASS!I54</f>
        <v>303925</v>
      </c>
      <c r="H54" s="127">
        <f>+Actuals!E187</f>
        <v>-78987258</v>
      </c>
      <c r="I54" s="128">
        <f>+Actuals!F187</f>
        <v>-2034117.41</v>
      </c>
      <c r="J54" s="127">
        <f>+Actuals!G187</f>
        <v>5250615</v>
      </c>
      <c r="K54" s="147">
        <f>+Actuals!H187</f>
        <v>1110868.02</v>
      </c>
      <c r="L54" s="127">
        <f>+Actuals!I187</f>
        <v>6724352</v>
      </c>
      <c r="M54" s="128">
        <f>+Actuals!J187</f>
        <v>10452.69</v>
      </c>
      <c r="N54" s="127">
        <f>+Actuals!K267</f>
        <v>44437</v>
      </c>
      <c r="O54" s="128">
        <f>+Actuals!L267</f>
        <v>-54441.279999999999</v>
      </c>
      <c r="P54" s="127">
        <f>+Actuals!M267</f>
        <v>354515</v>
      </c>
      <c r="Q54" s="128">
        <f>+Actuals!N267</f>
        <v>-7871.13</v>
      </c>
      <c r="R54" s="127">
        <f>+Actuals!O267</f>
        <v>-5</v>
      </c>
      <c r="S54" s="128">
        <f>+Actuals!P267</f>
        <v>-23356.32</v>
      </c>
      <c r="T54" s="127">
        <f>+Actuals!Q267</f>
        <v>-203525</v>
      </c>
      <c r="U54" s="128">
        <f>+Actuals!R267</f>
        <v>21895.77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+Actuals!W187</f>
        <v>0</v>
      </c>
      <c r="AA54" s="128">
        <f>+Actuals!X187</f>
        <v>0</v>
      </c>
      <c r="AB54" s="127">
        <f>+Actuals!Y187</f>
        <v>0</v>
      </c>
      <c r="AC54" s="128">
        <f>+Actuals!Z187</f>
        <v>0</v>
      </c>
      <c r="AD54" s="127">
        <f>+Actuals!AA187</f>
        <v>0</v>
      </c>
      <c r="AE54" s="128">
        <f>+Actuals!AB187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-1182485.1499999997</v>
      </c>
      <c r="F55" s="81">
        <f>'TIE-OUT'!J55+RECLASS!H55</f>
        <v>0</v>
      </c>
      <c r="G55" s="82">
        <f>'TIE-OUT'!K55+RECLASS!I55</f>
        <v>36751</v>
      </c>
      <c r="H55" s="127">
        <f>+Actuals!E188</f>
        <v>0</v>
      </c>
      <c r="I55" s="128">
        <f>+Actuals!F188</f>
        <v>-1855816.88</v>
      </c>
      <c r="J55" s="127">
        <f>+Actuals!G188</f>
        <v>0</v>
      </c>
      <c r="K55" s="147">
        <f>+Actuals!H188</f>
        <v>450652.87</v>
      </c>
      <c r="L55" s="127">
        <f>+Actuals!I188</f>
        <v>0</v>
      </c>
      <c r="M55" s="128">
        <f>+Actuals!J188</f>
        <v>311911.78000000003</v>
      </c>
      <c r="N55" s="127">
        <f>+Actuals!K268</f>
        <v>0</v>
      </c>
      <c r="O55" s="128">
        <f>+Actuals!L268</f>
        <v>-279651.77</v>
      </c>
      <c r="P55" s="127">
        <f>+Actuals!M268</f>
        <v>0</v>
      </c>
      <c r="Q55" s="128">
        <f>+Actuals!N268</f>
        <v>153667.85</v>
      </c>
      <c r="R55" s="127">
        <f>+Actuals!O268</f>
        <v>0</v>
      </c>
      <c r="S55" s="128">
        <f>+Actuals!P268</f>
        <v>75</v>
      </c>
      <c r="T55" s="127">
        <f>+Actuals!Q268</f>
        <v>0</v>
      </c>
      <c r="U55" s="128">
        <f>+Actuals!R268</f>
        <v>-75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-66816869</v>
      </c>
      <c r="E56" s="39">
        <f t="shared" si="16"/>
        <v>-1855129.8099999996</v>
      </c>
      <c r="F56" s="61">
        <f t="shared" si="16"/>
        <v>0</v>
      </c>
      <c r="G56" s="39">
        <f t="shared" si="16"/>
        <v>340676</v>
      </c>
      <c r="H56" s="61">
        <f t="shared" si="16"/>
        <v>-78987258</v>
      </c>
      <c r="I56" s="39">
        <f t="shared" si="16"/>
        <v>-3889934.29</v>
      </c>
      <c r="J56" s="61">
        <f t="shared" si="16"/>
        <v>5250615</v>
      </c>
      <c r="K56" s="148">
        <f t="shared" si="16"/>
        <v>1561520.8900000001</v>
      </c>
      <c r="L56" s="61">
        <f t="shared" si="16"/>
        <v>6724352</v>
      </c>
      <c r="M56" s="39">
        <f t="shared" si="16"/>
        <v>322364.47000000003</v>
      </c>
      <c r="N56" s="61">
        <f t="shared" si="16"/>
        <v>44437</v>
      </c>
      <c r="O56" s="39">
        <f t="shared" si="16"/>
        <v>-334093.05000000005</v>
      </c>
      <c r="P56" s="61">
        <f t="shared" ref="P56:U56" si="17">SUM(P54:P55)</f>
        <v>354515</v>
      </c>
      <c r="Q56" s="39">
        <f t="shared" si="17"/>
        <v>145796.72</v>
      </c>
      <c r="R56" s="61">
        <f t="shared" si="17"/>
        <v>-5</v>
      </c>
      <c r="S56" s="39">
        <f t="shared" si="17"/>
        <v>-23281.32</v>
      </c>
      <c r="T56" s="61">
        <f t="shared" si="17"/>
        <v>-203525</v>
      </c>
      <c r="U56" s="39">
        <f t="shared" si="17"/>
        <v>21820.77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49498.14</v>
      </c>
      <c r="F59" s="64">
        <f>'TIE-OUT'!J59+RECLASS!H59</f>
        <v>0</v>
      </c>
      <c r="G59" s="68">
        <f>'TIE-OUT'!K59+RECLASS!I59</f>
        <v>0</v>
      </c>
      <c r="H59" s="127">
        <f>+Actuals!E189</f>
        <v>0</v>
      </c>
      <c r="I59" s="128">
        <f>+Actuals!F189</f>
        <v>66712</v>
      </c>
      <c r="J59" s="127">
        <f>+Actuals!G189</f>
        <v>0</v>
      </c>
      <c r="K59" s="147">
        <f>+Actuals!H189</f>
        <v>-20494.8</v>
      </c>
      <c r="L59" s="127">
        <f>+Actuals!I189</f>
        <v>0</v>
      </c>
      <c r="M59" s="128">
        <f>+Actuals!J189</f>
        <v>0</v>
      </c>
      <c r="N59" s="127">
        <f>+Actuals!K269</f>
        <v>0</v>
      </c>
      <c r="O59" s="128">
        <f>+Actuals!L269</f>
        <v>3280.94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49498.14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66712</v>
      </c>
      <c r="J61" s="61">
        <f t="shared" si="18"/>
        <v>0</v>
      </c>
      <c r="K61" s="148">
        <f t="shared" si="18"/>
        <v>-20494.8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3280.94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'TIE-OUT'!J70+RECLASS!H70</f>
        <v>0</v>
      </c>
      <c r="G70" s="68">
        <f>'TIE-OUT'!K70+RECLASS!I70</f>
        <v>6851832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+Actuals!I193</f>
        <v>0</v>
      </c>
      <c r="M70" s="128">
        <f>+Actuals!J193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'TIE-OUT'!J71+RECLASS!H71</f>
        <v>0</v>
      </c>
      <c r="G71" s="82">
        <f>'TIE-OUT'!K71+RECLASS!I71</f>
        <v>-7144978.9500000002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-293146.95000000019</v>
      </c>
      <c r="F72" s="61">
        <f t="shared" si="22"/>
        <v>0</v>
      </c>
      <c r="G72" s="39">
        <f t="shared" si="22"/>
        <v>-293146.95000000019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3346149</v>
      </c>
      <c r="F74" s="60">
        <f>'TIE-OUT'!J74+RECLASS!H74</f>
        <v>0</v>
      </c>
      <c r="G74" s="60">
        <f>'TIE-OUT'!K74+RECLASS!I74</f>
        <v>3346149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+Actuals!I196</f>
        <v>0</v>
      </c>
      <c r="M74" s="128">
        <f>+Actuals!J196</f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8100</v>
      </c>
      <c r="F75" s="60">
        <f>'TIE-OUT'!J75+RECLASS!H75</f>
        <v>0</v>
      </c>
      <c r="G75" s="60">
        <f>'TIE-OUT'!K75+RECLASS!I75</f>
        <v>8100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-11463.199999999999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285.61</v>
      </c>
      <c r="J76" s="127">
        <f>+Actuals!G198</f>
        <v>0</v>
      </c>
      <c r="K76" s="147">
        <f>+Actuals!H198</f>
        <v>-15150.32</v>
      </c>
      <c r="L76" s="127">
        <f>+Actuals!I198</f>
        <v>0</v>
      </c>
      <c r="M76" s="128">
        <f>+Actuals!J198</f>
        <v>3401.51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25724</v>
      </c>
      <c r="F78" s="60">
        <f>'TIE-OUT'!J78+RECLASS!H78</f>
        <v>0</v>
      </c>
      <c r="G78" s="60">
        <f>'TIE-OUT'!K78+RECLASS!I78</f>
        <v>25724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-9.9999999983992893E-2</v>
      </c>
      <c r="F81" s="60">
        <f>'TIE-OUT'!J81+RECLASS!H81</f>
        <v>0</v>
      </c>
      <c r="G81" s="60">
        <f>'TIE-OUT'!K81+RECLASS!I81</f>
        <v>-373815</v>
      </c>
      <c r="H81" s="127">
        <f>+Actuals!E203</f>
        <v>0</v>
      </c>
      <c r="I81" s="128">
        <f>+Actuals!F203</f>
        <v>348091.08</v>
      </c>
      <c r="J81" s="127">
        <f>+Actuals!G203</f>
        <v>0</v>
      </c>
      <c r="K81" s="147">
        <f>+Actuals!H203</f>
        <v>25723.82</v>
      </c>
      <c r="L81" s="127">
        <f>+Actuals!I203</f>
        <v>0</v>
      </c>
      <c r="M81" s="128">
        <f>+Actuals!J203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-1567224.5959999417</v>
      </c>
      <c r="F82" s="91">
        <f>F16+F24+F29+F36+F43+F45+F47+F49</f>
        <v>0</v>
      </c>
      <c r="G82" s="92">
        <f>SUM(G72:G81)+G16+G24+G29+G36+G43+G45+G47+G49+G51+G56+G61+G66</f>
        <v>-3901343.4000000004</v>
      </c>
      <c r="H82" s="91">
        <f>H16+H24+H29+H36+H43+H45+H47+H49</f>
        <v>0</v>
      </c>
      <c r="I82" s="92">
        <f>SUM(I72:I81)+I16+I24+I29+I36+I43+I45+I47+I49+I51+I56+I61+I66</f>
        <v>7848544.1050000181</v>
      </c>
      <c r="J82" s="91">
        <f>J16+J24+J29+J36+J43+J45+J47+J49</f>
        <v>0</v>
      </c>
      <c r="K82" s="156">
        <f>SUM(K72:K81)+K16+K24+K29+K36+K43+K45+K47+K49+K51+K56+K61+K66</f>
        <v>-5669632.1680000024</v>
      </c>
      <c r="L82" s="91">
        <f>L16+L24+L29+L36+L43+L45+L47+L49</f>
        <v>0</v>
      </c>
      <c r="M82" s="92">
        <f>SUM(M72:M81)+M16+M24+M29+M36+M43+M45+M47+M49+M51+M56+M61+M66</f>
        <v>392120.2719999901</v>
      </c>
      <c r="N82" s="91">
        <f>N16+N24+N29+N36+N43+N45+N47+N49</f>
        <v>0</v>
      </c>
      <c r="O82" s="92">
        <f>SUM(O72:O81)+O16+O24+O29+O36+O43+O45+O47+O49+O51+O56+O61+O66</f>
        <v>-69305.692999998369</v>
      </c>
      <c r="P82" s="91">
        <f>P16+P24+P29+P36+P43+P45+P47+P49</f>
        <v>0</v>
      </c>
      <c r="Q82" s="92">
        <f>SUM(Q72:Q81)+Q16+Q24+Q29+Q36+Q43+Q45+Q47+Q49+Q51+Q56+Q61+Q66</f>
        <v>1366096.4389999998</v>
      </c>
      <c r="R82" s="91">
        <f>R16+R24+R29+R36+R43+R45+R47+R49</f>
        <v>0</v>
      </c>
      <c r="S82" s="92">
        <f>SUM(S72:S81)+S16+S24+S29+S36+S43+S45+S47+S49+S51+S56+S61+S66</f>
        <v>-1661987.580000004</v>
      </c>
      <c r="T82" s="91">
        <f>T16+T24+T29+T36+T43+T45+T47+T49</f>
        <v>0</v>
      </c>
      <c r="U82" s="92">
        <f>SUM(U72:U81)+U16+U24+U29+U36+U43+U45+U47+U49+U51+U56+U61+U66</f>
        <v>128283.4290000004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164</v>
      </c>
      <c r="B85" s="3"/>
      <c r="F85" s="31"/>
      <c r="G85" s="31"/>
      <c r="H85" s="31"/>
      <c r="I85" s="31"/>
      <c r="K85"/>
      <c r="L85" s="45"/>
    </row>
    <row r="86" spans="1:31" s="3" customFormat="1" x14ac:dyDescent="0.25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206809</v>
      </c>
      <c r="F86" s="169">
        <f>'TIE-OUT'!J86+RECLASS!H86</f>
        <v>0</v>
      </c>
      <c r="G86" s="169">
        <f>'TIE-OUT'!K86+RECLASS!I86</f>
        <v>206809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'TIE-OUT'!J88+RECLASS!H88</f>
        <v>0</v>
      </c>
      <c r="G88" s="171">
        <f>'TIE-OUT'!K88+RECLASS!I88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5">
      <c r="A89" s="182"/>
      <c r="B89" s="183"/>
      <c r="C89" s="181" t="s">
        <v>169</v>
      </c>
      <c r="D89" s="184">
        <f>SUM(D86:D88)</f>
        <v>0</v>
      </c>
      <c r="E89" s="184">
        <f t="shared" ref="E89:M89" si="26">SUM(E86:E88)</f>
        <v>206809</v>
      </c>
      <c r="F89" s="184">
        <f t="shared" si="26"/>
        <v>0</v>
      </c>
      <c r="G89" s="184">
        <f t="shared" si="26"/>
        <v>206809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5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-1360415.5959999417</v>
      </c>
      <c r="F91" s="184">
        <f t="shared" si="28"/>
        <v>0</v>
      </c>
      <c r="G91" s="184">
        <f t="shared" si="28"/>
        <v>-3694534.4000000004</v>
      </c>
      <c r="H91" s="184">
        <f t="shared" si="28"/>
        <v>0</v>
      </c>
      <c r="I91" s="184">
        <f t="shared" si="28"/>
        <v>7848544.1050000181</v>
      </c>
      <c r="J91" s="184">
        <f t="shared" si="28"/>
        <v>0</v>
      </c>
      <c r="K91" s="184">
        <f t="shared" si="28"/>
        <v>-5669632.1680000024</v>
      </c>
      <c r="L91" s="184">
        <f t="shared" si="28"/>
        <v>0</v>
      </c>
      <c r="M91" s="184">
        <f t="shared" si="28"/>
        <v>392120.2719999901</v>
      </c>
      <c r="N91" s="184">
        <f t="shared" ref="N91:AE91" si="29">+N82+N89</f>
        <v>0</v>
      </c>
      <c r="O91" s="184">
        <f t="shared" si="29"/>
        <v>-69305.692999998369</v>
      </c>
      <c r="P91" s="184">
        <f t="shared" si="29"/>
        <v>0</v>
      </c>
      <c r="Q91" s="184">
        <f t="shared" si="29"/>
        <v>1366096.4389999998</v>
      </c>
      <c r="R91" s="184">
        <f t="shared" si="29"/>
        <v>0</v>
      </c>
      <c r="S91" s="184">
        <f t="shared" si="29"/>
        <v>-1661987.580000004</v>
      </c>
      <c r="T91" s="184">
        <f t="shared" si="29"/>
        <v>0</v>
      </c>
      <c r="U91" s="184">
        <f t="shared" si="29"/>
        <v>128283.4290000004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  <col min="75" max="92" width="0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7934185</v>
      </c>
      <c r="E11" s="38">
        <f>SUM(G11,I11,K11,M11,O11,Q11,S11,U11,W11,Y11,AA11,AC11,AE11)</f>
        <v>20571151.129999999</v>
      </c>
      <c r="F11" s="58">
        <f>'TIE-OUT'!L11+RECLASS!J11</f>
        <v>0</v>
      </c>
      <c r="G11" s="15">
        <f>'TIE-OUT'!M11+RECLASS!K11</f>
        <v>0</v>
      </c>
      <c r="H11" s="127">
        <f>+Actuals!E44</f>
        <v>7946777</v>
      </c>
      <c r="I11" s="128">
        <f>+Actuals!F44</f>
        <v>20602440.5</v>
      </c>
      <c r="J11" s="127">
        <f>+Actuals!G44</f>
        <v>-12592</v>
      </c>
      <c r="K11" s="147">
        <f>+Actuals!H44</f>
        <v>-49489.68</v>
      </c>
      <c r="L11" s="127">
        <f>+Actuals!I44</f>
        <v>0</v>
      </c>
      <c r="M11" s="128">
        <f>+Actuals!J44</f>
        <v>18200.310000000001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0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110653.6</v>
      </c>
      <c r="F12" s="58">
        <f>'TIE-OUT'!L12+RECLASS!J12</f>
        <v>0</v>
      </c>
      <c r="G12" s="15">
        <f>'TIE-OUT'!M12+RECLASS!K12</f>
        <v>110653.6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5">
      <c r="A16" s="9"/>
      <c r="B16" s="7" t="s">
        <v>30</v>
      </c>
      <c r="C16" s="6"/>
      <c r="D16" s="61">
        <f>SUM(D11:D15)</f>
        <v>7934185</v>
      </c>
      <c r="E16" s="39">
        <f>SUM(E11:E15)</f>
        <v>20681804.73</v>
      </c>
      <c r="F16" s="59">
        <f t="shared" ref="F16:AE16" si="1">SUM(F11:F15)</f>
        <v>0</v>
      </c>
      <c r="G16" s="23">
        <f t="shared" si="1"/>
        <v>110653.6</v>
      </c>
      <c r="H16" s="61">
        <f t="shared" si="1"/>
        <v>7946777</v>
      </c>
      <c r="I16" s="39">
        <f t="shared" si="1"/>
        <v>20602440.5</v>
      </c>
      <c r="J16" s="61">
        <f t="shared" si="1"/>
        <v>-12592</v>
      </c>
      <c r="K16" s="148">
        <f t="shared" si="1"/>
        <v>-49489.68</v>
      </c>
      <c r="L16" s="61">
        <f t="shared" si="1"/>
        <v>0</v>
      </c>
      <c r="M16" s="39">
        <f t="shared" si="1"/>
        <v>18200.310000000001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-950452</v>
      </c>
      <c r="E19" s="38">
        <f t="shared" si="3"/>
        <v>-2439930.5100000002</v>
      </c>
      <c r="F19" s="84">
        <f>'TIE-OUT'!L19+RECLASS!J19</f>
        <v>0</v>
      </c>
      <c r="G19" s="85">
        <f>'TIE-OUT'!M19+RECLASS!K19</f>
        <v>0</v>
      </c>
      <c r="H19" s="127">
        <f>+Actuals!E49</f>
        <v>-1012221</v>
      </c>
      <c r="I19" s="128">
        <f>+Actuals!F49</f>
        <v>-2545487.98</v>
      </c>
      <c r="J19" s="127">
        <f>+Actuals!G49+8192</f>
        <v>61769</v>
      </c>
      <c r="K19" s="147">
        <f>+Actuals!H49+21369</f>
        <v>101709.38</v>
      </c>
      <c r="L19" s="127">
        <f>+Actuals!I49</f>
        <v>0</v>
      </c>
      <c r="M19" s="128">
        <f>+Actuals!J49</f>
        <v>3879.65</v>
      </c>
      <c r="N19" s="127">
        <f>+Actuals!K49</f>
        <v>0</v>
      </c>
      <c r="O19" s="128">
        <f>+Actuals!L49</f>
        <v>-31.56</v>
      </c>
      <c r="P19" s="127">
        <f>+Actuals!M49</f>
        <v>0</v>
      </c>
      <c r="Q19" s="128">
        <f>+Actuals!N49</f>
        <v>0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-22270</v>
      </c>
      <c r="E23" s="38">
        <f t="shared" si="3"/>
        <v>-55827.47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</f>
        <v>12046</v>
      </c>
      <c r="K23" s="147">
        <f>+Actuals!H53</f>
        <v>32067.86</v>
      </c>
      <c r="L23" s="127">
        <f>+Actuals!I53</f>
        <v>245</v>
      </c>
      <c r="M23" s="128">
        <f>+Actuals!J53</f>
        <v>580.83000000000004</v>
      </c>
      <c r="N23" s="127">
        <f>+Actuals!K53</f>
        <v>0</v>
      </c>
      <c r="O23" s="128">
        <f>+Actuals!L53</f>
        <v>0</v>
      </c>
      <c r="P23" s="127">
        <f>+Actuals!M53</f>
        <v>-34561</v>
      </c>
      <c r="Q23" s="128">
        <f>+Actuals!N53</f>
        <v>-88476.160000000003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5">
      <c r="A24" s="9"/>
      <c r="B24" s="7" t="s">
        <v>33</v>
      </c>
      <c r="C24" s="6"/>
      <c r="D24" s="61">
        <f>SUM(D19:D23)</f>
        <v>-972722</v>
      </c>
      <c r="E24" s="39">
        <f>SUM(E19:E23)</f>
        <v>-2495757.9800000004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-1012221</v>
      </c>
      <c r="I24" s="39">
        <f t="shared" si="4"/>
        <v>-2545487.98</v>
      </c>
      <c r="J24" s="61">
        <f t="shared" si="4"/>
        <v>73815</v>
      </c>
      <c r="K24" s="148">
        <f t="shared" si="4"/>
        <v>133777.24</v>
      </c>
      <c r="L24" s="61">
        <f t="shared" si="4"/>
        <v>245</v>
      </c>
      <c r="M24" s="39">
        <f t="shared" si="4"/>
        <v>4460.4800000000005</v>
      </c>
      <c r="N24" s="61">
        <f t="shared" si="4"/>
        <v>0</v>
      </c>
      <c r="O24" s="39">
        <f t="shared" si="4"/>
        <v>-31.56</v>
      </c>
      <c r="P24" s="61">
        <f t="shared" ref="P24:U24" si="5">SUM(P19:P23)</f>
        <v>-34561</v>
      </c>
      <c r="Q24" s="39">
        <f t="shared" si="5"/>
        <v>-88476.160000000003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1568953</v>
      </c>
      <c r="E27" s="38">
        <f>SUM(G27,I27,K27,M27,O27,Q27,S27,U27,W27,Y27,AA27,AC27,AE27)</f>
        <v>4204110.8000000007</v>
      </c>
      <c r="F27" s="84">
        <f>'TIE-OUT'!L27+RECLASS!J27</f>
        <v>0</v>
      </c>
      <c r="G27" s="85">
        <f>'TIE-OUT'!M27+RECLASS!K27</f>
        <v>0</v>
      </c>
      <c r="H27" s="127">
        <f>+Actuals!E54+32403</f>
        <v>2085179</v>
      </c>
      <c r="I27" s="128">
        <f>+Actuals!F54+86667</f>
        <v>5577438.2400000002</v>
      </c>
      <c r="J27" s="127">
        <f>+Actuals!G54-31330</f>
        <v>-549346</v>
      </c>
      <c r="K27" s="147">
        <f>+Actuals!H54-83870</f>
        <v>-1460560.87</v>
      </c>
      <c r="L27" s="127">
        <f>+Actuals!I54</f>
        <v>30057</v>
      </c>
      <c r="M27" s="128">
        <f>+Actuals!J54</f>
        <v>79659.59</v>
      </c>
      <c r="N27" s="127">
        <f>+Actuals!K54</f>
        <v>-11866</v>
      </c>
      <c r="O27" s="128">
        <f>+Actuals!L54</f>
        <v>-31607.32</v>
      </c>
      <c r="P27" s="127">
        <f>+Actuals!M54</f>
        <v>145</v>
      </c>
      <c r="Q27" s="128">
        <f>+Actuals!N54</f>
        <v>345.92</v>
      </c>
      <c r="R27" s="127">
        <f>+Actuals!O54</f>
        <v>12301</v>
      </c>
      <c r="S27" s="128">
        <f>+Actuals!P54</f>
        <v>32718.880000000001</v>
      </c>
      <c r="T27" s="127">
        <f>+Actuals!Q54</f>
        <v>2483</v>
      </c>
      <c r="U27" s="128">
        <f>+Actuals!R54</f>
        <v>6116.36</v>
      </c>
      <c r="V27" s="127">
        <f>+Actuals!S54</f>
        <v>0</v>
      </c>
      <c r="W27" s="128">
        <f>+Actuals!T54</f>
        <v>0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-8502753</v>
      </c>
      <c r="E28" s="38">
        <f>SUM(G28,I28,K28,M28,O28,Q28,S28,U28,W28,Y28,AA28,AC28,AE28)</f>
        <v>-22729234.569999997</v>
      </c>
      <c r="F28" s="97">
        <f>'TIE-OUT'!L28+RECLASS!J28</f>
        <v>0</v>
      </c>
      <c r="G28" s="98">
        <f>'TIE-OUT'!M28+RECLASS!K28</f>
        <v>0</v>
      </c>
      <c r="H28" s="127">
        <f>+Actuals!E55-32403</f>
        <v>-9016900</v>
      </c>
      <c r="I28" s="128">
        <f>+Actuals!F55-86667</f>
        <v>-24318284.199999999</v>
      </c>
      <c r="J28" s="127">
        <f>+Actuals!G55+23138</f>
        <v>522711</v>
      </c>
      <c r="K28" s="147">
        <f>+Actuals!H55+62501</f>
        <v>1580336.76</v>
      </c>
      <c r="L28" s="127">
        <f>+Actuals!I55</f>
        <v>-20774</v>
      </c>
      <c r="M28" s="128">
        <f>+Actuals!J55</f>
        <v>-80229.25</v>
      </c>
      <c r="N28" s="127">
        <f>+Actuals!K55</f>
        <v>-290</v>
      </c>
      <c r="O28" s="128">
        <f>+Actuals!L55</f>
        <v>-24938.7</v>
      </c>
      <c r="P28" s="127">
        <f>+Actuals!M55</f>
        <v>-145</v>
      </c>
      <c r="Q28" s="128">
        <f>+Actuals!N55</f>
        <v>73556.240000000005</v>
      </c>
      <c r="R28" s="127">
        <f>+Actuals!O55</f>
        <v>12500</v>
      </c>
      <c r="S28" s="128">
        <f>+Actuals!P55</f>
        <v>38943.64</v>
      </c>
      <c r="T28" s="127">
        <f>+Actuals!Q55</f>
        <v>145</v>
      </c>
      <c r="U28" s="128">
        <f>+Actuals!R55</f>
        <v>1380.94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5">
      <c r="A29" s="9"/>
      <c r="B29" s="7" t="s">
        <v>37</v>
      </c>
      <c r="C29" s="18"/>
      <c r="D29" s="61">
        <f>SUM(D27:D28)</f>
        <v>-6933800</v>
      </c>
      <c r="E29" s="39">
        <f>SUM(E27:E28)</f>
        <v>-18525123.769999996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-6931721</v>
      </c>
      <c r="I29" s="39">
        <f t="shared" si="6"/>
        <v>-18740845.960000001</v>
      </c>
      <c r="J29" s="61">
        <f t="shared" si="6"/>
        <v>-26635</v>
      </c>
      <c r="K29" s="148">
        <f t="shared" si="6"/>
        <v>119775.8899999999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13742</v>
      </c>
      <c r="E32" s="38">
        <f t="shared" si="8"/>
        <v>34918.422000000006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-20819</v>
      </c>
      <c r="K32" s="147">
        <f>+Actuals!H56</f>
        <v>-52901.078999999998</v>
      </c>
      <c r="L32" s="127">
        <f>+Actuals!I56</f>
        <v>0</v>
      </c>
      <c r="M32" s="128">
        <f>+Actuals!J56</f>
        <v>0</v>
      </c>
      <c r="N32" s="127">
        <f>+Actuals!K56</f>
        <v>0</v>
      </c>
      <c r="O32" s="128">
        <f>+Actuals!L56</f>
        <v>0</v>
      </c>
      <c r="P32" s="127">
        <f>+Actuals!M56</f>
        <v>34561</v>
      </c>
      <c r="Q32" s="128">
        <f>+Actuals!N56</f>
        <v>87819.501000000004</v>
      </c>
      <c r="R32" s="127">
        <f>+Actuals!O56</f>
        <v>0</v>
      </c>
      <c r="S32" s="128">
        <f>+Actuals!P56</f>
        <v>0</v>
      </c>
      <c r="T32" s="127">
        <f>+Actuals!Q56</f>
        <v>0</v>
      </c>
      <c r="U32" s="128">
        <f>+Actuals!R56</f>
        <v>0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5">
      <c r="A36" s="9"/>
      <c r="B36" s="7" t="s">
        <v>43</v>
      </c>
      <c r="C36" s="6"/>
      <c r="D36" s="61">
        <f>SUM(D32:D35)</f>
        <v>13742</v>
      </c>
      <c r="E36" s="39">
        <f>SUM(E32:E35)</f>
        <v>34918.422000000006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-20819</v>
      </c>
      <c r="K36" s="148">
        <f t="shared" si="9"/>
        <v>-52901.078999999998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34561</v>
      </c>
      <c r="Q36" s="39">
        <f t="shared" si="10"/>
        <v>87819.501000000004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613129</v>
      </c>
      <c r="E39" s="38">
        <f t="shared" si="11"/>
        <v>1186588.56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781792</v>
      </c>
      <c r="K39" s="147">
        <f>+Actuals!H60</f>
        <v>1513002.06</v>
      </c>
      <c r="L39" s="127">
        <f>+Actuals!I60</f>
        <v>-168663</v>
      </c>
      <c r="M39" s="128">
        <f>+Actuals!J60</f>
        <v>-326413.5</v>
      </c>
      <c r="N39" s="127">
        <f>+Actuals!K60</f>
        <v>0</v>
      </c>
      <c r="O39" s="128">
        <f>+Actuals!L60</f>
        <v>0</v>
      </c>
      <c r="P39" s="127">
        <f>+Actuals!M60</f>
        <v>12645</v>
      </c>
      <c r="Q39" s="128">
        <f>+Actuals!N60</f>
        <v>24471.87</v>
      </c>
      <c r="R39" s="127">
        <f>+Actuals!O60</f>
        <v>0</v>
      </c>
      <c r="S39" s="128">
        <f>+Actuals!P60</f>
        <v>0</v>
      </c>
      <c r="T39" s="127">
        <f>+Actuals!Q60</f>
        <v>-12645</v>
      </c>
      <c r="U39" s="128">
        <f>+Actuals!R60</f>
        <v>-24471.87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-679064</v>
      </c>
      <c r="E40" s="38">
        <f t="shared" si="11"/>
        <v>-1314192.56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-824091</v>
      </c>
      <c r="K40" s="147">
        <f>+Actuals!H61</f>
        <v>-1594863.31</v>
      </c>
      <c r="L40" s="127">
        <f>+Actuals!I61</f>
        <v>147655</v>
      </c>
      <c r="M40" s="128">
        <f>+Actuals!J61</f>
        <v>285756.71999999997</v>
      </c>
      <c r="N40" s="127">
        <f>+Actuals!K61</f>
        <v>0</v>
      </c>
      <c r="O40" s="128">
        <f>+Actuals!L61</f>
        <v>0</v>
      </c>
      <c r="P40" s="127">
        <f>+Actuals!M61</f>
        <v>-754</v>
      </c>
      <c r="Q40" s="128">
        <f>+Actuals!N61</f>
        <v>-1459.22</v>
      </c>
      <c r="R40" s="127">
        <f>+Actuals!O61</f>
        <v>6901</v>
      </c>
      <c r="S40" s="128">
        <f>+Actuals!P61</f>
        <v>13355.51</v>
      </c>
      <c r="T40" s="127">
        <f>+Actuals!Q61</f>
        <v>-8775</v>
      </c>
      <c r="U40" s="128">
        <f>+Actuals!R61</f>
        <v>-16982.259999999998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5">
      <c r="A42" s="9"/>
      <c r="B42" s="7"/>
      <c r="C42" s="53" t="s">
        <v>48</v>
      </c>
      <c r="D42" s="61">
        <f>SUM(D40:D41)</f>
        <v>-679064</v>
      </c>
      <c r="E42" s="39">
        <f>SUM(E40:E41)</f>
        <v>-1314192.56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148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-65935</v>
      </c>
      <c r="E43" s="39">
        <f>E42+E39</f>
        <v>-127604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-42299</v>
      </c>
      <c r="K43" s="148">
        <f t="shared" si="14"/>
        <v>-81861.25</v>
      </c>
      <c r="L43" s="61">
        <f t="shared" si="14"/>
        <v>-21008</v>
      </c>
      <c r="M43" s="39">
        <f t="shared" si="14"/>
        <v>-40656.780000000028</v>
      </c>
      <c r="N43" s="61">
        <f t="shared" si="14"/>
        <v>0</v>
      </c>
      <c r="O43" s="39">
        <f t="shared" si="14"/>
        <v>0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6901</v>
      </c>
      <c r="S43" s="39">
        <f t="shared" si="15"/>
        <v>13355.51</v>
      </c>
      <c r="T43" s="61">
        <f t="shared" si="15"/>
        <v>-21420</v>
      </c>
      <c r="U43" s="39">
        <f t="shared" si="15"/>
        <v>-41454.129999999997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168</v>
      </c>
      <c r="K45" s="147">
        <f>+Actuals!H63</f>
        <v>-2443.19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0.1</v>
      </c>
      <c r="R45" s="127">
        <f>+Actuals!O63</f>
        <v>0</v>
      </c>
      <c r="S45" s="128">
        <f>+Actuals!P63</f>
        <v>0.2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24362</v>
      </c>
      <c r="E49" s="38">
        <f>SUM(G49,I49,K49,M49,O49,Q49,S49,U49,W49,Y49,AA49,AC49,AE49)</f>
        <v>61903.837000000007</v>
      </c>
      <c r="F49" s="58">
        <f>'TIE-OUT'!L49+RECLASS!J49</f>
        <v>0</v>
      </c>
      <c r="G49" s="15">
        <f>'TIE-OUT'!M49+RECLASS!K49</f>
        <v>0</v>
      </c>
      <c r="H49" s="127">
        <f>+Actuals!E65</f>
        <v>-2835</v>
      </c>
      <c r="I49" s="128">
        <f>+Actuals!F65</f>
        <v>-7203.7349999999997</v>
      </c>
      <c r="J49" s="127">
        <f>+Actuals!G65</f>
        <v>28362</v>
      </c>
      <c r="K49" s="147">
        <f>+Actuals!H65</f>
        <v>72067.837</v>
      </c>
      <c r="L49" s="127">
        <f>+Actuals!I65</f>
        <v>11480</v>
      </c>
      <c r="M49" s="128">
        <f>+Actuals!J65</f>
        <v>29170.68</v>
      </c>
      <c r="N49" s="127">
        <f>+Actuals!K65</f>
        <v>12156</v>
      </c>
      <c r="O49" s="128">
        <f>+Actuals!L65</f>
        <v>30888.396000000001</v>
      </c>
      <c r="P49" s="127">
        <f>+Actuals!M65</f>
        <v>-11891</v>
      </c>
      <c r="Q49" s="128">
        <f>+Actuals!N65</f>
        <v>-30215.030999999999</v>
      </c>
      <c r="R49" s="127">
        <f>+Actuals!O65</f>
        <v>-31702</v>
      </c>
      <c r="S49" s="128">
        <f>+Actuals!P65</f>
        <v>-80554.782000000007</v>
      </c>
      <c r="T49" s="127">
        <f>+Actuals!Q65</f>
        <v>18792</v>
      </c>
      <c r="U49" s="128">
        <f>+Actuals!R65</f>
        <v>47750.472000000002</v>
      </c>
      <c r="V49" s="127">
        <f>+Actuals!S65</f>
        <v>0</v>
      </c>
      <c r="W49" s="128">
        <f>+Actuals!T65</f>
        <v>0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-12046</v>
      </c>
      <c r="E51" s="38">
        <f>SUM(G51,I51,K51,M51,O51,Q51,S51,U51,W51,Y51,AA51,AC51,AE51)</f>
        <v>-49258.86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</f>
        <v>-12046</v>
      </c>
      <c r="K51" s="147">
        <f>+Actuals!H66-17191</f>
        <v>-49258.86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5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-197508</v>
      </c>
      <c r="E54" s="38">
        <f>SUM(G54,I54,K54,M54,O54,Q54,S54,U54,W54,Y54,AA54,AC54,AE54)</f>
        <v>-925.23999999999978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5000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-197508</v>
      </c>
      <c r="U54" s="128">
        <f>+Actuals!R67</f>
        <v>-5925.24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37935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v>12645</v>
      </c>
      <c r="Q55" s="128">
        <v>0</v>
      </c>
      <c r="R55" s="127">
        <v>12645</v>
      </c>
      <c r="S55" s="128">
        <v>0</v>
      </c>
      <c r="T55" s="127">
        <v>12645</v>
      </c>
      <c r="U55" s="128"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5">
      <c r="A56" s="9"/>
      <c r="B56" s="7" t="s">
        <v>57</v>
      </c>
      <c r="C56" s="6"/>
      <c r="D56" s="61">
        <f>SUM(D54:D55)</f>
        <v>-159573</v>
      </c>
      <c r="E56" s="39">
        <f>SUM(E54:E55)</f>
        <v>-925.23999999999978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12645</v>
      </c>
      <c r="Q56" s="39">
        <f t="shared" si="17"/>
        <v>0</v>
      </c>
      <c r="R56" s="61">
        <f t="shared" si="17"/>
        <v>12645</v>
      </c>
      <c r="S56" s="39">
        <f t="shared" si="17"/>
        <v>0</v>
      </c>
      <c r="T56" s="61">
        <f t="shared" si="17"/>
        <v>-184863</v>
      </c>
      <c r="U56" s="39">
        <f t="shared" si="17"/>
        <v>-5925.24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3174494</v>
      </c>
      <c r="E59" s="38">
        <f>SUM(G59,I59,K59,M59,O59,Q59,S59,U59,W59,Y59,AA59,AC59,AE59)</f>
        <v>67388.78</v>
      </c>
      <c r="F59" s="84">
        <f>'TIE-OUT'!L59+RECLASS!J59</f>
        <v>0</v>
      </c>
      <c r="G59" s="85">
        <f>'TIE-OUT'!M59+RECLASS!K59</f>
        <v>0</v>
      </c>
      <c r="H59" s="127">
        <f>+Actuals!E69</f>
        <v>3573613</v>
      </c>
      <c r="I59" s="128">
        <f>+Actuals!F69</f>
        <v>92399.35</v>
      </c>
      <c r="J59" s="127">
        <f>+Actuals!G69</f>
        <v>-399119</v>
      </c>
      <c r="K59" s="147">
        <f>+Actuals!H69</f>
        <v>-25010.57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+Actuals!E70+32427</f>
        <v>32427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5">
      <c r="A61" s="9"/>
      <c r="B61" s="62" t="s">
        <v>61</v>
      </c>
      <c r="C61" s="6"/>
      <c r="D61" s="61">
        <f>SUM(D59:D60)</f>
        <v>3206921</v>
      </c>
      <c r="E61" s="39">
        <f>SUM(E59:E60)</f>
        <v>237388.78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3606040</v>
      </c>
      <c r="I61" s="39">
        <f t="shared" si="18"/>
        <v>262399.34999999998</v>
      </c>
      <c r="J61" s="61">
        <f t="shared" si="18"/>
        <v>-399119</v>
      </c>
      <c r="K61" s="148">
        <f t="shared" si="18"/>
        <v>-25010.57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-18492818</v>
      </c>
      <c r="E64" s="38">
        <f>SUM(G64,I64,K64,M64,O64,Q64,S64,U64,W64,Y64,AA64,AC64,AE64)</f>
        <v>-2364200.5</v>
      </c>
      <c r="F64" s="84">
        <f>'TIE-OUT'!L64+RECLASS!J64</f>
        <v>0</v>
      </c>
      <c r="G64" s="85">
        <f>'TIE-OUT'!M64+RECLASS!K64</f>
        <v>0</v>
      </c>
      <c r="H64" s="127">
        <f>+Actuals!E71</f>
        <v>-11254765</v>
      </c>
      <c r="I64" s="128">
        <f>+Actuals!F71</f>
        <v>-1248322.2</v>
      </c>
      <c r="J64" s="127">
        <f>+Actuals!G71</f>
        <v>-7217379</v>
      </c>
      <c r="K64" s="147">
        <f>+Actuals!H71</f>
        <v>-1112691.98</v>
      </c>
      <c r="L64" s="127">
        <f>+Actuals!I71</f>
        <v>-20674</v>
      </c>
      <c r="M64" s="128">
        <f>+Actuals!J71</f>
        <v>-2062.66</v>
      </c>
      <c r="N64" s="127">
        <f>+Actuals!K71</f>
        <v>0</v>
      </c>
      <c r="O64" s="128">
        <f>+Actuals!L71</f>
        <v>0.01</v>
      </c>
      <c r="P64" s="127">
        <f>+Actuals!M71</f>
        <v>-12645</v>
      </c>
      <c r="Q64" s="128">
        <f>+Actuals!N71</f>
        <v>-0.01</v>
      </c>
      <c r="R64" s="127">
        <f>+Actuals!O71</f>
        <v>0</v>
      </c>
      <c r="S64" s="128">
        <f>+Actuals!P71</f>
        <v>0</v>
      </c>
      <c r="T64" s="127">
        <f>+Actuals!Q71</f>
        <v>12645</v>
      </c>
      <c r="U64" s="128">
        <f>+Actuals!R71</f>
        <v>-1123.6600000000001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18633111</v>
      </c>
      <c r="E65" s="38">
        <f>SUM(G65,I65,K65,M65,O65,Q65,S65,U65,W65,Y65,AA65,AC65,AE65)</f>
        <v>2363076.84</v>
      </c>
      <c r="F65" s="97">
        <f>'TIE-OUT'!L65+RECLASS!J65</f>
        <v>0</v>
      </c>
      <c r="G65" s="98">
        <f>'TIE-OUT'!M65+RECLASS!K65</f>
        <v>0</v>
      </c>
      <c r="H65" s="127">
        <f>+Actuals!E72+753422</f>
        <v>11236412</v>
      </c>
      <c r="I65" s="128">
        <f>+Actuals!F72+640000</f>
        <v>1247905.3999999999</v>
      </c>
      <c r="J65" s="127">
        <f>+Actuals!G72</f>
        <v>7376025</v>
      </c>
      <c r="K65" s="147">
        <f>+Actuals!H72</f>
        <v>1113108.77</v>
      </c>
      <c r="L65" s="127">
        <f>+Actuals!I72</f>
        <v>20674</v>
      </c>
      <c r="M65" s="128">
        <f>+Actuals!J72</f>
        <v>2062.66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0.01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5">
      <c r="A66" s="9"/>
      <c r="B66" s="7" t="s">
        <v>64</v>
      </c>
      <c r="C66" s="6"/>
      <c r="D66" s="61">
        <f>SUM(D64:D65)</f>
        <v>140293</v>
      </c>
      <c r="E66" s="39">
        <f>SUM(E64:E65)</f>
        <v>-1123.660000000149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148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0.01</v>
      </c>
      <c r="P66" s="61">
        <f t="shared" ref="P66:U66" si="21">SUM(P64:P65)</f>
        <v>-12645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12645</v>
      </c>
      <c r="U66" s="39">
        <f t="shared" si="21"/>
        <v>-1123.6600000000001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-186220.63099999595</v>
      </c>
      <c r="F82" s="91">
        <f>F16+F24+F29+F36+F43+F45+F47+F49</f>
        <v>0</v>
      </c>
      <c r="G82" s="92">
        <f>SUM(G72:G81)+G16+G24+G29+G36+G43+G45+G47+G49+G51+G56+G61+G66</f>
        <v>110653.6</v>
      </c>
      <c r="H82" s="91">
        <f>H16+H24+H29+H36+H43+H45+H47+H49</f>
        <v>0</v>
      </c>
      <c r="I82" s="92">
        <f>SUM(I72:I81)+I16+I24+I29+I36+I43+I45+I47+I49+I51+I56+I61+I66</f>
        <v>-424114.6250000014</v>
      </c>
      <c r="J82" s="91">
        <f>J16+J24+J29+J36+J43+J45+J47+J49</f>
        <v>0</v>
      </c>
      <c r="K82" s="110">
        <f>SUM(K72:K81)+K16+K24+K29+K36+K43+K45+K47+K49+K51+K56+K61+K66</f>
        <v>65073.127999999931</v>
      </c>
      <c r="L82" s="91">
        <f>L16+L24+L29+L36+L43+L45+L47+L49</f>
        <v>0</v>
      </c>
      <c r="M82" s="92">
        <f>SUM(M72:M81)+M16+M24+M29+M36+M43+M45+M47+M49+M51+M56+M61+M66</f>
        <v>10605.02999999997</v>
      </c>
      <c r="N82" s="91">
        <f>N16+N24+N29+N36+N43+N45+N47+N49</f>
        <v>0</v>
      </c>
      <c r="O82" s="92">
        <f>SUM(O72:O81)+O16+O24+O29+O36+O43+O45+O47+O49+O51+O56+O61+O66</f>
        <v>-25689.174000000003</v>
      </c>
      <c r="P82" s="91">
        <f>P16+P24+P29+P36+P43+P45+P47+P49</f>
        <v>0</v>
      </c>
      <c r="Q82" s="92">
        <f>SUM(Q72:Q81)+Q16+Q24+Q29+Q36+Q43+Q45+Q47+Q49+Q51+Q56+Q61+Q66</f>
        <v>66043.22</v>
      </c>
      <c r="R82" s="91">
        <f>R16+R24+R29+R36+R43+R45+R47+R49</f>
        <v>0</v>
      </c>
      <c r="S82" s="92">
        <f>SUM(S72:S81)+S16+S24+S29+S36+S43+S45+S47+S49+S51+S56+S61+S66</f>
        <v>4463.4479999999894</v>
      </c>
      <c r="T82" s="91">
        <f>T16+T24+T29+T36+T43+T45+T47+T49</f>
        <v>0</v>
      </c>
      <c r="U82" s="92">
        <f>SUM(U72:U81)+U16+U24+U29+U36+U43+U45+U47+U49+U51+U56+U61+U66</f>
        <v>6744.7420000000002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I84" s="45"/>
      <c r="K84" s="149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F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92836845</v>
      </c>
      <c r="E11" s="38">
        <f>SUM(G11,I11,K11,M11,O11,Q11,S11,U11,W11,Y11,AA11,AC11,AE11)</f>
        <v>243118924.13000003</v>
      </c>
      <c r="F11" s="60">
        <f>('TIE-OUT'!L11+'TIE-OUT'!J11)+(RECLASS!J11+RECLASS!H11)</f>
        <v>0</v>
      </c>
      <c r="G11" s="38">
        <f>('TIE-OUT'!M11+'TIE-OUT'!K11)+(RECLASS!K11+RECLASS!I11)</f>
        <v>-1164869</v>
      </c>
      <c r="H11" s="60">
        <f>'EAST-EGM-GL'!H11+'EAST-LRC-GL'!H11</f>
        <v>89996060</v>
      </c>
      <c r="I11" s="38">
        <f>'EAST-EGM-GL'!I11+'EAST-LRC-GL'!I11</f>
        <v>243900801.24000001</v>
      </c>
      <c r="J11" s="60">
        <f>'EAST-EGM-GL'!J11+'EAST-LRC-GL'!J11</f>
        <v>521622</v>
      </c>
      <c r="K11" s="38">
        <f>'EAST-EGM-GL'!K11+'EAST-LRC-GL'!K11</f>
        <v>-6069636.1699999999</v>
      </c>
      <c r="L11" s="60">
        <f>'EAST-EGM-GL'!L11+'EAST-LRC-GL'!L11</f>
        <v>2817591</v>
      </c>
      <c r="M11" s="38">
        <f>'EAST-EGM-GL'!M11+'EAST-LRC-GL'!M11</f>
        <v>7453559.8599999994</v>
      </c>
      <c r="N11" s="60">
        <f>'EAST-EGM-GL'!N11+'EAST-LRC-GL'!N11</f>
        <v>-429501</v>
      </c>
      <c r="O11" s="38">
        <f>'EAST-EGM-GL'!O11+'EAST-LRC-GL'!O11</f>
        <v>-825087.79</v>
      </c>
      <c r="P11" s="60">
        <f>'EAST-EGM-GL'!P11+'EAST-LRC-GL'!P11</f>
        <v>167</v>
      </c>
      <c r="Q11" s="38">
        <f>'EAST-EGM-GL'!Q11+'EAST-LRC-GL'!Q11</f>
        <v>-2782.45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-69094</v>
      </c>
      <c r="U11" s="38">
        <f>'EAST-EGM-GL'!U11+'EAST-LRC-GL'!U11</f>
        <v>-173061.56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-1016965.7</v>
      </c>
      <c r="F12" s="60">
        <f>('TIE-OUT'!L12+'TIE-OUT'!J12)+(RECLASS!J12+RECLASS!H12)</f>
        <v>0</v>
      </c>
      <c r="G12" s="38">
        <f>('TIE-OUT'!M12+'TIE-OUT'!K12)+(RECLASS!K12+RECLASS!I12)</f>
        <v>-1079461.7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62496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6809439</v>
      </c>
      <c r="E13" s="38">
        <f t="shared" si="0"/>
        <v>17968977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34702924</v>
      </c>
      <c r="I13" s="38">
        <f>'EAST-EGM-GL'!I13+'EAST-LRC-GL'!I13</f>
        <v>94085465</v>
      </c>
      <c r="J13" s="60">
        <f>'EAST-EGM-GL'!J13+'EAST-LRC-GL'!J13</f>
        <v>6809439</v>
      </c>
      <c r="K13" s="38">
        <f>'EAST-EGM-GL'!K13+'EAST-LRC-GL'!K13</f>
        <v>17968977</v>
      </c>
      <c r="L13" s="60">
        <f>'EAST-EGM-GL'!L13+'EAST-LRC-GL'!L13</f>
        <v>-34702924</v>
      </c>
      <c r="M13" s="38">
        <f>'EAST-EGM-GL'!M13+'EAST-LRC-GL'!M13</f>
        <v>-94085465</v>
      </c>
      <c r="N13" s="60">
        <f>'EAST-EGM-GL'!N13+'EAST-LRC-GL'!N13</f>
        <v>41512363</v>
      </c>
      <c r="O13" s="38">
        <f>'EAST-EGM-GL'!O13+'EAST-LRC-GL'!O13</f>
        <v>112054442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-41512363</v>
      </c>
      <c r="S13" s="38">
        <f>'EAST-EGM-GL'!S13+'EAST-LRC-GL'!S13</f>
        <v>-112054442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1141174.75</v>
      </c>
      <c r="F15" s="81">
        <f>('TIE-OUT'!L15+'TIE-OUT'!J15)+(RECLASS!J15+RECLASS!H15)</f>
        <v>0</v>
      </c>
      <c r="G15" s="82">
        <f>('TIE-OUT'!M15+'TIE-OUT'!K15)+(RECLASS!K15+RECLASS!I15)</f>
        <v>-568031</v>
      </c>
      <c r="H15" s="60">
        <f>'EAST-EGM-GL'!H15+'EAST-LRC-GL'!H15</f>
        <v>0</v>
      </c>
      <c r="I15" s="38">
        <f>'EAST-EGM-GL'!I15+'EAST-LRC-GL'!I15</f>
        <v>1604977.6</v>
      </c>
      <c r="J15" s="60">
        <f>'EAST-EGM-GL'!J15+'EAST-LRC-GL'!J15</f>
        <v>0</v>
      </c>
      <c r="K15" s="38">
        <f>'EAST-EGM-GL'!K15+'EAST-LRC-GL'!K15</f>
        <v>94889.53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8059.15</v>
      </c>
      <c r="R15" s="60">
        <f>'EAST-EGM-GL'!R15+'EAST-LRC-GL'!R15</f>
        <v>0</v>
      </c>
      <c r="S15" s="38">
        <f>'EAST-EGM-GL'!S15+'EAST-LRC-GL'!S15</f>
        <v>1875.46</v>
      </c>
      <c r="T15" s="60">
        <f>'EAST-EGM-GL'!T15+'EAST-LRC-GL'!T15</f>
        <v>0</v>
      </c>
      <c r="U15" s="38">
        <f>'EAST-EGM-GL'!U15+'EAST-LRC-GL'!U15</f>
        <v>-595.99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5">
      <c r="A16" s="9"/>
      <c r="B16" s="7" t="s">
        <v>30</v>
      </c>
      <c r="C16" s="6"/>
      <c r="D16" s="61">
        <f>SUM(D11:D15)</f>
        <v>99646284</v>
      </c>
      <c r="E16" s="39">
        <f>SUM(E11:E15)</f>
        <v>261212110.18000004</v>
      </c>
      <c r="F16" s="61">
        <f t="shared" ref="F16:AD16" si="1">SUM(F11:F15)</f>
        <v>0</v>
      </c>
      <c r="G16" s="39">
        <f t="shared" si="1"/>
        <v>-2812361.7</v>
      </c>
      <c r="H16" s="61">
        <f t="shared" si="1"/>
        <v>124698984</v>
      </c>
      <c r="I16" s="39">
        <f t="shared" si="1"/>
        <v>339591243.84000003</v>
      </c>
      <c r="J16" s="61">
        <f t="shared" si="1"/>
        <v>7331061</v>
      </c>
      <c r="K16" s="39">
        <f t="shared" si="1"/>
        <v>12056726.359999999</v>
      </c>
      <c r="L16" s="61">
        <f t="shared" si="1"/>
        <v>-31885333</v>
      </c>
      <c r="M16" s="39">
        <f t="shared" si="1"/>
        <v>-86631905.140000001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-97312629</v>
      </c>
      <c r="E19" s="38">
        <f t="shared" si="3"/>
        <v>-251237204.01999998</v>
      </c>
      <c r="F19" s="64">
        <f>('TIE-OUT'!L19+'TIE-OUT'!J19)+(RECLASS!J19+RECLASS!H19)</f>
        <v>0</v>
      </c>
      <c r="G19" s="68">
        <f>('TIE-OUT'!M19+'TIE-OUT'!K19)+(RECLASS!K19+RECLASS!I19)</f>
        <v>-56179</v>
      </c>
      <c r="H19" s="60">
        <f>'EAST-EGM-GL'!H19+'EAST-LRC-GL'!H19</f>
        <v>-97193079</v>
      </c>
      <c r="I19" s="38">
        <f>'EAST-EGM-GL'!I19+'EAST-LRC-GL'!I19</f>
        <v>-250889608.60999998</v>
      </c>
      <c r="J19" s="60">
        <f>'EAST-EGM-GL'!J19+'EAST-LRC-GL'!J19</f>
        <v>-249625</v>
      </c>
      <c r="K19" s="38">
        <f>'EAST-EGM-GL'!K19+'EAST-LRC-GL'!K19</f>
        <v>-547075.21</v>
      </c>
      <c r="L19" s="60">
        <f>'EAST-EGM-GL'!L19+'EAST-LRC-GL'!L19</f>
        <v>-17319</v>
      </c>
      <c r="M19" s="38">
        <f>'EAST-EGM-GL'!M19+'EAST-LRC-GL'!M19</f>
        <v>-146903.53</v>
      </c>
      <c r="N19" s="60">
        <f>'EAST-EGM-GL'!N19+'EAST-LRC-GL'!N19</f>
        <v>140881</v>
      </c>
      <c r="O19" s="38">
        <f>'EAST-EGM-GL'!O19+'EAST-LRC-GL'!O19</f>
        <v>372909.24</v>
      </c>
      <c r="P19" s="60">
        <f>'EAST-EGM-GL'!P19+'EAST-LRC-GL'!P19</f>
        <v>10149</v>
      </c>
      <c r="Q19" s="38">
        <f>'EAST-EGM-GL'!Q19+'EAST-LRC-GL'!Q19</f>
        <v>26469.91</v>
      </c>
      <c r="R19" s="60">
        <f>'EAST-EGM-GL'!R19+'EAST-LRC-GL'!R19</f>
        <v>-5</v>
      </c>
      <c r="S19" s="38">
        <f>'EAST-EGM-GL'!S19+'EAST-LRC-GL'!S19</f>
        <v>6506.8</v>
      </c>
      <c r="T19" s="60">
        <f>'EAST-EGM-GL'!T19+'EAST-LRC-GL'!T19</f>
        <v>-3631</v>
      </c>
      <c r="U19" s="38">
        <f>'EAST-EGM-GL'!U19+'EAST-LRC-GL'!U19</f>
        <v>-3323.62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-165008.88999999998</v>
      </c>
      <c r="F20" s="60">
        <f>('TIE-OUT'!L20+'TIE-OUT'!J20)+(RECLASS!J20+RECLASS!H20)</f>
        <v>0</v>
      </c>
      <c r="G20" s="38">
        <f>('TIE-OUT'!M20+'TIE-OUT'!K20)+(RECLASS!K20+RECLASS!I20)</f>
        <v>84922.85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-249931.74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-2656950</v>
      </c>
      <c r="E21" s="38">
        <f t="shared" si="3"/>
        <v>-7303370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-30570259</v>
      </c>
      <c r="I21" s="38">
        <f>'EAST-EGM-GL'!I21+'EAST-LRC-GL'!I21</f>
        <v>-83479714</v>
      </c>
      <c r="J21" s="60">
        <f>'EAST-EGM-GL'!J21+'EAST-LRC-GL'!J21</f>
        <v>-2678950</v>
      </c>
      <c r="K21" s="38">
        <f>'EAST-EGM-GL'!K21+'EAST-LRC-GL'!K21</f>
        <v>-7365084</v>
      </c>
      <c r="L21" s="60">
        <f>'EAST-EGM-GL'!L21+'EAST-LRC-GL'!L21</f>
        <v>30570259</v>
      </c>
      <c r="M21" s="38">
        <f>'EAST-EGM-GL'!M21+'EAST-LRC-GL'!M21</f>
        <v>83479714</v>
      </c>
      <c r="N21" s="60">
        <f>'EAST-EGM-GL'!N21+'EAST-LRC-GL'!N21</f>
        <v>-33227209</v>
      </c>
      <c r="O21" s="38">
        <f>'EAST-EGM-GL'!O21+'EAST-LRC-GL'!O21</f>
        <v>-90783084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33249209</v>
      </c>
      <c r="S21" s="38">
        <f>'EAST-EGM-GL'!S21+'EAST-LRC-GL'!S21</f>
        <v>90844798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172915</v>
      </c>
      <c r="E23" s="38">
        <f t="shared" si="3"/>
        <v>1656669.3160000001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867880</v>
      </c>
      <c r="I23" s="38">
        <f>'EAST-EGM-GL'!I23+'EAST-LRC-GL'!I23</f>
        <v>2205283.08</v>
      </c>
      <c r="J23" s="60">
        <f>'EAST-EGM-GL'!J23+'EAST-LRC-GL'!J23</f>
        <v>19332</v>
      </c>
      <c r="K23" s="38">
        <f>'EAST-EGM-GL'!K23+'EAST-LRC-GL'!K23</f>
        <v>50581.585999999996</v>
      </c>
      <c r="L23" s="60">
        <f>'EAST-EGM-GL'!L23+'EAST-LRC-GL'!L23</f>
        <v>-370</v>
      </c>
      <c r="M23" s="38">
        <f>'EAST-EGM-GL'!M23+'EAST-LRC-GL'!M23</f>
        <v>-981.88499999999988</v>
      </c>
      <c r="N23" s="60">
        <f>'EAST-EGM-GL'!N23+'EAST-LRC-GL'!N23</f>
        <v>-475</v>
      </c>
      <c r="O23" s="38">
        <f>'EAST-EGM-GL'!O23+'EAST-LRC-GL'!O23</f>
        <v>-1206.9749999999999</v>
      </c>
      <c r="P23" s="60">
        <f>'EAST-EGM-GL'!P23+'EAST-LRC-GL'!P23</f>
        <v>-512627</v>
      </c>
      <c r="Q23" s="38">
        <f>'EAST-EGM-GL'!Q23+'EAST-LRC-GL'!Q23</f>
        <v>-86710.165000000008</v>
      </c>
      <c r="R23" s="60">
        <f>'EAST-EGM-GL'!R23+'EAST-LRC-GL'!R23</f>
        <v>2511</v>
      </c>
      <c r="S23" s="38">
        <f>'EAST-EGM-GL'!S23+'EAST-LRC-GL'!S23</f>
        <v>6380.451</v>
      </c>
      <c r="T23" s="60">
        <f>'EAST-EGM-GL'!T23+'EAST-LRC-GL'!T23</f>
        <v>-203336</v>
      </c>
      <c r="U23" s="38">
        <f>'EAST-EGM-GL'!U23+'EAST-LRC-GL'!U23</f>
        <v>-516676.77600000001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5">
      <c r="A24" s="9"/>
      <c r="B24" s="7" t="s">
        <v>33</v>
      </c>
      <c r="C24" s="6"/>
      <c r="D24" s="61">
        <f>SUM(D19:D23)</f>
        <v>-99796664</v>
      </c>
      <c r="E24" s="39">
        <f>SUM(E19:E23)</f>
        <v>-257048913.59399995</v>
      </c>
      <c r="F24" s="61">
        <f t="shared" ref="F24:AD24" si="4">SUM(F19:F23)</f>
        <v>0</v>
      </c>
      <c r="G24" s="39">
        <f t="shared" si="4"/>
        <v>28743.850000000006</v>
      </c>
      <c r="H24" s="61">
        <f t="shared" si="4"/>
        <v>-126895458</v>
      </c>
      <c r="I24" s="39">
        <f t="shared" si="4"/>
        <v>-332164039.53000003</v>
      </c>
      <c r="J24" s="61">
        <f t="shared" si="4"/>
        <v>-2909243</v>
      </c>
      <c r="K24" s="39">
        <f t="shared" si="4"/>
        <v>-7861577.6239999998</v>
      </c>
      <c r="L24" s="61">
        <f t="shared" si="4"/>
        <v>30552570</v>
      </c>
      <c r="M24" s="39">
        <f t="shared" si="4"/>
        <v>83331828.584999993</v>
      </c>
      <c r="N24" s="61">
        <f t="shared" si="4"/>
        <v>-33086803</v>
      </c>
      <c r="O24" s="39">
        <f t="shared" si="4"/>
        <v>-90661313.474999994</v>
      </c>
      <c r="P24" s="61">
        <f t="shared" ref="P24:U24" si="5">SUM(P19:P23)</f>
        <v>-502478</v>
      </c>
      <c r="Q24" s="39">
        <f t="shared" si="5"/>
        <v>-60240.255000000005</v>
      </c>
      <c r="R24" s="61">
        <f t="shared" si="5"/>
        <v>33251715</v>
      </c>
      <c r="S24" s="39">
        <f t="shared" si="5"/>
        <v>90857685.251000002</v>
      </c>
      <c r="T24" s="61">
        <f t="shared" si="5"/>
        <v>-206967</v>
      </c>
      <c r="U24" s="39">
        <f t="shared" si="5"/>
        <v>-520000.39600000001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10382127</v>
      </c>
      <c r="E27" s="38">
        <f>SUM(G27,I27,K27,M27,O27,Q27,S27,U27,W27,Y27,AA27,AC27,AE27)</f>
        <v>27739208.309999999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10884955</v>
      </c>
      <c r="I27" s="38">
        <f>'EAST-EGM-GL'!I27+'EAST-LRC-GL'!I27</f>
        <v>29218071.43</v>
      </c>
      <c r="J27" s="60">
        <f>'EAST-EGM-GL'!J27+'EAST-LRC-GL'!J27</f>
        <v>-535948</v>
      </c>
      <c r="K27" s="38">
        <f>'EAST-EGM-GL'!K27+'EAST-LRC-GL'!K27</f>
        <v>-1566096.55</v>
      </c>
      <c r="L27" s="60">
        <f>'EAST-EGM-GL'!L27+'EAST-LRC-GL'!L27</f>
        <v>30057</v>
      </c>
      <c r="M27" s="38">
        <f>'EAST-EGM-GL'!M27+'EAST-LRC-GL'!M27</f>
        <v>79659.59</v>
      </c>
      <c r="N27" s="60">
        <f>'EAST-EGM-GL'!N27+'EAST-LRC-GL'!N27</f>
        <v>-11866</v>
      </c>
      <c r="O27" s="38">
        <f>'EAST-EGM-GL'!O27+'EAST-LRC-GL'!O27</f>
        <v>-31607.32</v>
      </c>
      <c r="P27" s="60">
        <f>'EAST-EGM-GL'!P27+'EAST-LRC-GL'!P27</f>
        <v>145</v>
      </c>
      <c r="Q27" s="38">
        <f>'EAST-EGM-GL'!Q27+'EAST-LRC-GL'!Q27</f>
        <v>345.92</v>
      </c>
      <c r="R27" s="60">
        <f>'EAST-EGM-GL'!R27+'EAST-LRC-GL'!R27</f>
        <v>12301</v>
      </c>
      <c r="S27" s="38">
        <f>'EAST-EGM-GL'!S27+'EAST-LRC-GL'!S27</f>
        <v>32718.880000000001</v>
      </c>
      <c r="T27" s="60">
        <f>'EAST-EGM-GL'!T27+'EAST-LRC-GL'!T27</f>
        <v>2483</v>
      </c>
      <c r="U27" s="38">
        <f>'EAST-EGM-GL'!U27+'EAST-LRC-GL'!U27</f>
        <v>6116.36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-10684783</v>
      </c>
      <c r="E28" s="38">
        <f>SUM(G28,I28,K28,M28,O28,Q28,S28,U28,W28,Y28,AA28,AC28,AE28)</f>
        <v>-28624317.879999999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-11278759</v>
      </c>
      <c r="I28" s="38">
        <f>'EAST-EGM-GL'!I28+'EAST-LRC-GL'!I28</f>
        <v>-30389596.530000001</v>
      </c>
      <c r="J28" s="60">
        <f>'EAST-EGM-GL'!J28+'EAST-LRC-GL'!J28</f>
        <v>602540</v>
      </c>
      <c r="K28" s="38">
        <f>'EAST-EGM-GL'!K28+'EAST-LRC-GL'!K28</f>
        <v>1756565.78</v>
      </c>
      <c r="L28" s="60">
        <f>'EAST-EGM-GL'!L28+'EAST-LRC-GL'!L28</f>
        <v>-20774</v>
      </c>
      <c r="M28" s="38">
        <f>'EAST-EGM-GL'!M28+'EAST-LRC-GL'!M28</f>
        <v>-80229.25</v>
      </c>
      <c r="N28" s="60">
        <f>'EAST-EGM-GL'!N28+'EAST-LRC-GL'!N28</f>
        <v>-290</v>
      </c>
      <c r="O28" s="38">
        <f>'EAST-EGM-GL'!O28+'EAST-LRC-GL'!O28</f>
        <v>-24938.7</v>
      </c>
      <c r="P28" s="60">
        <f>'EAST-EGM-GL'!P28+'EAST-LRC-GL'!P28</f>
        <v>-145</v>
      </c>
      <c r="Q28" s="38">
        <f>'EAST-EGM-GL'!Q28+'EAST-LRC-GL'!Q28</f>
        <v>73556.240000000005</v>
      </c>
      <c r="R28" s="60">
        <f>'EAST-EGM-GL'!R28+'EAST-LRC-GL'!R28</f>
        <v>12500</v>
      </c>
      <c r="S28" s="38">
        <f>'EAST-EGM-GL'!S28+'EAST-LRC-GL'!S28</f>
        <v>38943.64</v>
      </c>
      <c r="T28" s="60">
        <f>'EAST-EGM-GL'!T28+'EAST-LRC-GL'!T28</f>
        <v>145</v>
      </c>
      <c r="U28" s="38">
        <f>'EAST-EGM-GL'!U28+'EAST-LRC-GL'!U28</f>
        <v>1380.94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5">
      <c r="A29" s="9"/>
      <c r="B29" s="7" t="s">
        <v>37</v>
      </c>
      <c r="C29" s="18"/>
      <c r="D29" s="61">
        <f>SUM(D27:D28)</f>
        <v>-302656</v>
      </c>
      <c r="E29" s="39">
        <f>SUM(E27:E28)</f>
        <v>-885109.5700000003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-393804</v>
      </c>
      <c r="I29" s="39">
        <f t="shared" si="6"/>
        <v>-1171525.1000000015</v>
      </c>
      <c r="J29" s="61">
        <f t="shared" si="6"/>
        <v>66592</v>
      </c>
      <c r="K29" s="39">
        <f t="shared" si="6"/>
        <v>190469.22999999998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239819</v>
      </c>
      <c r="E32" s="38">
        <f t="shared" si="8"/>
        <v>609380.07899999933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-330012</v>
      </c>
      <c r="I32" s="38">
        <f>'EAST-EGM-GL'!I32+'EAST-LRC-GL'!I32</f>
        <v>-838560.49</v>
      </c>
      <c r="J32" s="60">
        <f>'EAST-EGM-GL'!J32+'EAST-LRC-GL'!J32</f>
        <v>2187534</v>
      </c>
      <c r="K32" s="38">
        <f>'EAST-EGM-GL'!K32+'EAST-LRC-GL'!K32</f>
        <v>5558523.892</v>
      </c>
      <c r="L32" s="60">
        <f>'EAST-EGM-GL'!L32+'EAST-LRC-GL'!L32</f>
        <v>-2070127</v>
      </c>
      <c r="M32" s="38">
        <f>'EAST-EGM-GL'!M32+'EAST-LRC-GL'!M32</f>
        <v>-5260192.7070000004</v>
      </c>
      <c r="N32" s="60">
        <f>'EAST-EGM-GL'!N32+'EAST-LRC-GL'!N32</f>
        <v>236449</v>
      </c>
      <c r="O32" s="38">
        <f>'EAST-EGM-GL'!O32+'EAST-LRC-GL'!O32</f>
        <v>600816.90899999999</v>
      </c>
      <c r="P32" s="60">
        <f>'EAST-EGM-GL'!P32+'EAST-LRC-GL'!P32</f>
        <v>12325</v>
      </c>
      <c r="Q32" s="38">
        <f>'EAST-EGM-GL'!Q32+'EAST-LRC-GL'!Q32</f>
        <v>31317.825000000004</v>
      </c>
      <c r="R32" s="60">
        <f>'EAST-EGM-GL'!R32+'EAST-LRC-GL'!R32</f>
        <v>-508</v>
      </c>
      <c r="S32" s="38">
        <f>'EAST-EGM-GL'!S32+'EAST-LRC-GL'!S32</f>
        <v>-1290.828</v>
      </c>
      <c r="T32" s="60">
        <f>'EAST-EGM-GL'!T32+'EAST-LRC-GL'!T32</f>
        <v>204158</v>
      </c>
      <c r="U32" s="38">
        <f>'EAST-EGM-GL'!U32+'EAST-LRC-GL'!U32</f>
        <v>518765.478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-289662</v>
      </c>
      <c r="E33" s="38">
        <f t="shared" si="8"/>
        <v>-813186.58999999985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-271873</v>
      </c>
      <c r="K33" s="38">
        <f>'EAST-EGM-GL'!K33+'EAST-LRC-GL'!K33</f>
        <v>-761220.95</v>
      </c>
      <c r="L33" s="60">
        <f>'EAST-EGM-GL'!L33+'EAST-LRC-GL'!L33</f>
        <v>-16130</v>
      </c>
      <c r="M33" s="38">
        <f>'EAST-EGM-GL'!M33+'EAST-LRC-GL'!M33</f>
        <v>-46017.95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-1659</v>
      </c>
      <c r="U33" s="38">
        <f>'EAST-EGM-GL'!U33+'EAST-LRC-GL'!U33</f>
        <v>-5947.69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63281</v>
      </c>
      <c r="E34" s="38">
        <f t="shared" si="8"/>
        <v>169730.25999999998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39019</v>
      </c>
      <c r="K34" s="38">
        <f>'EAST-EGM-GL'!K34+'EAST-LRC-GL'!K34</f>
        <v>102428.09</v>
      </c>
      <c r="L34" s="60">
        <f>'EAST-EGM-GL'!L34+'EAST-LRC-GL'!L34</f>
        <v>16976</v>
      </c>
      <c r="M34" s="38">
        <f>'EAST-EGM-GL'!M34+'EAST-LRC-GL'!M34</f>
        <v>48523.23</v>
      </c>
      <c r="N34" s="60">
        <f>'EAST-EGM-GL'!N34+'EAST-LRC-GL'!N34</f>
        <v>6556</v>
      </c>
      <c r="O34" s="38">
        <f>'EAST-EGM-GL'!O34+'EAST-LRC-GL'!O34</f>
        <v>16575.740000000002</v>
      </c>
      <c r="P34" s="60">
        <f>'EAST-EGM-GL'!P34+'EAST-LRC-GL'!P34</f>
        <v>1</v>
      </c>
      <c r="Q34" s="38">
        <f>'EAST-EGM-GL'!Q34+'EAST-LRC-GL'!Q34</f>
        <v>2.9</v>
      </c>
      <c r="R34" s="60">
        <f>'EAST-EGM-GL'!R34+'EAST-LRC-GL'!R34</f>
        <v>288</v>
      </c>
      <c r="S34" s="38">
        <f>'EAST-EGM-GL'!S34+'EAST-LRC-GL'!S34</f>
        <v>774.72</v>
      </c>
      <c r="T34" s="60">
        <f>'EAST-EGM-GL'!T34+'EAST-LRC-GL'!T34</f>
        <v>441</v>
      </c>
      <c r="U34" s="38">
        <f>'EAST-EGM-GL'!U34+'EAST-LRC-GL'!U34</f>
        <v>1425.58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643159</v>
      </c>
      <c r="E35" s="38">
        <f t="shared" si="8"/>
        <v>-126950</v>
      </c>
      <c r="F35" s="81">
        <f>('TIE-OUT'!L35+'TIE-OUT'!J35)+(RECLASS!J35+RECLASS!H35)</f>
        <v>0</v>
      </c>
      <c r="G35" s="82">
        <f>('TIE-OUT'!M35+'TIE-OUT'!K35)+(RECLASS!K35+RECLASS!I35)</f>
        <v>-126950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643159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5">
      <c r="A36" s="9"/>
      <c r="B36" s="7" t="s">
        <v>43</v>
      </c>
      <c r="C36" s="6"/>
      <c r="D36" s="61">
        <f>SUM(D32:D35)</f>
        <v>656597</v>
      </c>
      <c r="E36" s="39">
        <f>SUM(E32:E35)</f>
        <v>-161026.25100000054</v>
      </c>
      <c r="F36" s="61">
        <f t="shared" ref="F36:AD36" si="9">SUM(F32:F35)</f>
        <v>0</v>
      </c>
      <c r="G36" s="39">
        <f t="shared" si="9"/>
        <v>-126950</v>
      </c>
      <c r="H36" s="61">
        <f t="shared" si="9"/>
        <v>-330012</v>
      </c>
      <c r="I36" s="39">
        <f t="shared" si="9"/>
        <v>-838560.49</v>
      </c>
      <c r="J36" s="61">
        <f t="shared" si="9"/>
        <v>1954680</v>
      </c>
      <c r="K36" s="39">
        <f t="shared" si="9"/>
        <v>4899731.0319999997</v>
      </c>
      <c r="L36" s="61">
        <f t="shared" si="9"/>
        <v>-2069281</v>
      </c>
      <c r="M36" s="39">
        <f t="shared" si="9"/>
        <v>-5257687.4270000001</v>
      </c>
      <c r="N36" s="61">
        <f t="shared" si="9"/>
        <v>243005</v>
      </c>
      <c r="O36" s="39">
        <f t="shared" si="9"/>
        <v>617392.64899999998</v>
      </c>
      <c r="P36" s="61">
        <f t="shared" ref="P36:U36" si="10">SUM(P32:P35)</f>
        <v>12326</v>
      </c>
      <c r="Q36" s="39">
        <f t="shared" si="10"/>
        <v>31320.725000000006</v>
      </c>
      <c r="R36" s="61">
        <f t="shared" si="10"/>
        <v>642939</v>
      </c>
      <c r="S36" s="39">
        <f t="shared" si="10"/>
        <v>-516.10799999999995</v>
      </c>
      <c r="T36" s="61">
        <f t="shared" si="10"/>
        <v>202940</v>
      </c>
      <c r="U36" s="39">
        <f t="shared" si="10"/>
        <v>514243.36800000002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13848</v>
      </c>
      <c r="E39" s="38">
        <f t="shared" si="11"/>
        <v>-546311.43999999994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1425670</v>
      </c>
      <c r="K39" s="38">
        <f>'EAST-EGM-GL'!K39+'EAST-LRC-GL'!K39</f>
        <v>3149096.06</v>
      </c>
      <c r="L39" s="60">
        <f>'EAST-EGM-GL'!L39+'EAST-LRC-GL'!L39</f>
        <v>-168663</v>
      </c>
      <c r="M39" s="38">
        <f>'EAST-EGM-GL'!M39+'EAST-LRC-GL'!M39</f>
        <v>-326413.5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12645</v>
      </c>
      <c r="Q39" s="38">
        <f>'EAST-EGM-GL'!Q39+'EAST-LRC-GL'!Q39</f>
        <v>24471.87</v>
      </c>
      <c r="R39" s="60">
        <f>'EAST-EGM-GL'!R39+'EAST-LRC-GL'!R39</f>
        <v>-43159</v>
      </c>
      <c r="S39" s="38">
        <f>'EAST-EGM-GL'!S39+'EAST-LRC-GL'!S39</f>
        <v>96806</v>
      </c>
      <c r="T39" s="60">
        <f>'EAST-EGM-GL'!T39+'EAST-LRC-GL'!T39</f>
        <v>-1212645</v>
      </c>
      <c r="U39" s="38">
        <f>'EAST-EGM-GL'!U39+'EAST-LRC-GL'!U39</f>
        <v>-3490271.87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-683116</v>
      </c>
      <c r="E40" s="38">
        <f t="shared" si="11"/>
        <v>-1314192.57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-824091</v>
      </c>
      <c r="K40" s="38">
        <f>'EAST-EGM-GL'!K40+'EAST-LRC-GL'!K40</f>
        <v>-1594863.31</v>
      </c>
      <c r="L40" s="60">
        <f>'EAST-EGM-GL'!L40+'EAST-LRC-GL'!L40</f>
        <v>147655</v>
      </c>
      <c r="M40" s="38">
        <f>'EAST-EGM-GL'!M40+'EAST-LRC-GL'!M40</f>
        <v>285756.71999999997</v>
      </c>
      <c r="N40" s="60">
        <f>'EAST-EGM-GL'!N40+'EAST-LRC-GL'!N40</f>
        <v>-4052</v>
      </c>
      <c r="O40" s="38">
        <f>'EAST-EGM-GL'!O40+'EAST-LRC-GL'!O40</f>
        <v>-0.01</v>
      </c>
      <c r="P40" s="60">
        <f>'EAST-EGM-GL'!P40+'EAST-LRC-GL'!P40</f>
        <v>-754</v>
      </c>
      <c r="Q40" s="38">
        <f>'EAST-EGM-GL'!Q40+'EAST-LRC-GL'!Q40</f>
        <v>-1459.22</v>
      </c>
      <c r="R40" s="60">
        <f>'EAST-EGM-GL'!R40+'EAST-LRC-GL'!R40</f>
        <v>6901</v>
      </c>
      <c r="S40" s="38">
        <f>'EAST-EGM-GL'!S40+'EAST-LRC-GL'!S40</f>
        <v>13355.51</v>
      </c>
      <c r="T40" s="60">
        <f>'EAST-EGM-GL'!T40+'EAST-LRC-GL'!T40</f>
        <v>-8775</v>
      </c>
      <c r="U40" s="38">
        <f>'EAST-EGM-GL'!U40+'EAST-LRC-GL'!U40</f>
        <v>-16982.259999999998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5">
      <c r="A42" s="9"/>
      <c r="B42" s="7"/>
      <c r="C42" s="53" t="s">
        <v>48</v>
      </c>
      <c r="D42" s="61">
        <f>SUM(D40:D41)</f>
        <v>-683116</v>
      </c>
      <c r="E42" s="39">
        <f>SUM(E40:E41)</f>
        <v>-1314192.57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39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-4052</v>
      </c>
      <c r="O42" s="39">
        <f t="shared" si="12"/>
        <v>-0.01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-669268</v>
      </c>
      <c r="E43" s="39">
        <f>E42+E39</f>
        <v>-1860504.01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601579</v>
      </c>
      <c r="K43" s="39">
        <f t="shared" si="14"/>
        <v>1554232.75</v>
      </c>
      <c r="L43" s="61">
        <f t="shared" si="14"/>
        <v>-21008</v>
      </c>
      <c r="M43" s="39">
        <f t="shared" si="14"/>
        <v>-40656.780000000028</v>
      </c>
      <c r="N43" s="61">
        <f t="shared" si="14"/>
        <v>-4052</v>
      </c>
      <c r="O43" s="39">
        <f t="shared" si="14"/>
        <v>-0.01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-36258</v>
      </c>
      <c r="S43" s="39">
        <f t="shared" si="15"/>
        <v>110161.51</v>
      </c>
      <c r="T43" s="61">
        <f t="shared" si="15"/>
        <v>-1221420</v>
      </c>
      <c r="U43" s="39">
        <f t="shared" si="15"/>
        <v>-3507254.13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168</v>
      </c>
      <c r="K45" s="38">
        <f>'EAST-EGM-GL'!K45+'EAST-LRC-GL'!K45</f>
        <v>-2443.19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0.1</v>
      </c>
      <c r="R45" s="60">
        <f>'EAST-EGM-GL'!R45+'EAST-LRC-GL'!R45</f>
        <v>0</v>
      </c>
      <c r="S45" s="38">
        <f>'EAST-EGM-GL'!S45+'EAST-LRC-GL'!S45</f>
        <v>0.2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465539</v>
      </c>
      <c r="E49" s="38">
        <f>SUM(G49,I49,K49,M49,O49,Q49,S49,U49,W49,Y49,AA49,AC49,AE49)</f>
        <v>1182934.5939999986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2920290</v>
      </c>
      <c r="I49" s="38">
        <f>'EAST-EGM-GL'!I49+'EAST-LRC-GL'!I49</f>
        <v>7420456.8899999997</v>
      </c>
      <c r="J49" s="60">
        <f>'EAST-EGM-GL'!J49+'EAST-LRC-GL'!J49</f>
        <v>-7044837</v>
      </c>
      <c r="K49" s="38">
        <f>'EAST-EGM-GL'!K49+'EAST-LRC-GL'!K49</f>
        <v>-17900930.822000001</v>
      </c>
      <c r="L49" s="60">
        <f>'EAST-EGM-GL'!L49+'EAST-LRC-GL'!L49</f>
        <v>3413769</v>
      </c>
      <c r="M49" s="38">
        <f>'EAST-EGM-GL'!M49+'EAST-LRC-GL'!M49</f>
        <v>8674387.0289999992</v>
      </c>
      <c r="N49" s="60">
        <f>'EAST-EGM-GL'!N49+'EAST-LRC-GL'!N49</f>
        <v>-8222856</v>
      </c>
      <c r="O49" s="38">
        <f>'EAST-EGM-GL'!O49+'EAST-LRC-GL'!O49</f>
        <v>-20894277.095999997</v>
      </c>
      <c r="P49" s="60">
        <f>'EAST-EGM-GL'!P49+'EAST-LRC-GL'!P49</f>
        <v>478094</v>
      </c>
      <c r="Q49" s="38">
        <f>'EAST-EGM-GL'!Q49+'EAST-LRC-GL'!Q49</f>
        <v>1214836.8540000001</v>
      </c>
      <c r="R49" s="60">
        <f>'EAST-EGM-GL'!R49+'EAST-LRC-GL'!R49</f>
        <v>7629166</v>
      </c>
      <c r="S49" s="38">
        <f>'EAST-EGM-GL'!S49+'EAST-LRC-GL'!S49</f>
        <v>19385710.805999998</v>
      </c>
      <c r="T49" s="60">
        <f>'EAST-EGM-GL'!T49+'EAST-LRC-GL'!T49</f>
        <v>1291913</v>
      </c>
      <c r="U49" s="38">
        <f>'EAST-EGM-GL'!U49+'EAST-LRC-GL'!U49</f>
        <v>3282750.9330000002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-685992</v>
      </c>
      <c r="E51" s="38">
        <f>SUM(G51,I51,K51,M51,O51,Q51,S51,U51,W51,Y51,AA51,AC51,AE51)</f>
        <v>-1761755.6460000002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-867880</v>
      </c>
      <c r="I51" s="38">
        <f>'EAST-EGM-GL'!I51+'EAST-LRC-GL'!I51</f>
        <v>-2205283.08</v>
      </c>
      <c r="J51" s="60">
        <f>'EAST-EGM-GL'!J51+'EAST-LRC-GL'!J51</f>
        <v>-19332</v>
      </c>
      <c r="K51" s="38">
        <f>'EAST-EGM-GL'!K51+'EAST-LRC-GL'!K51</f>
        <v>-67772.585999999996</v>
      </c>
      <c r="L51" s="60">
        <f>'EAST-EGM-GL'!L51+'EAST-LRC-GL'!L51</f>
        <v>615</v>
      </c>
      <c r="M51" s="38">
        <f>'EAST-EGM-GL'!M51+'EAST-LRC-GL'!M51</f>
        <v>1562.7149999999999</v>
      </c>
      <c r="N51" s="60">
        <f>'EAST-EGM-GL'!N51+'EAST-LRC-GL'!N51</f>
        <v>475</v>
      </c>
      <c r="O51" s="38">
        <f>'EAST-EGM-GL'!O51+'EAST-LRC-GL'!O51</f>
        <v>1206.9749999999999</v>
      </c>
      <c r="P51" s="60">
        <f>'EAST-EGM-GL'!P51+'EAST-LRC-GL'!P51</f>
        <v>-695</v>
      </c>
      <c r="Q51" s="38">
        <f>'EAST-EGM-GL'!Q51+'EAST-LRC-GL'!Q51</f>
        <v>-1765.9949999999999</v>
      </c>
      <c r="R51" s="60">
        <f>'EAST-EGM-GL'!R51+'EAST-LRC-GL'!R51</f>
        <v>-2511</v>
      </c>
      <c r="S51" s="38">
        <f>'EAST-EGM-GL'!S51+'EAST-LRC-GL'!S51</f>
        <v>-6380.451</v>
      </c>
      <c r="T51" s="60">
        <f>'EAST-EGM-GL'!T51+'EAST-LRC-GL'!T51</f>
        <v>203336</v>
      </c>
      <c r="U51" s="38">
        <f>'EAST-EGM-GL'!U51+'EAST-LRC-GL'!U51</f>
        <v>516676.77600000001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-67014377</v>
      </c>
      <c r="E54" s="38">
        <f>SUM(G54,I54,K54,M54,O54,Q54,S54,U54,W54,Y54,AA54,AC54,AE54)</f>
        <v>-673569.89999999991</v>
      </c>
      <c r="F54" s="64">
        <f>('TIE-OUT'!L54+'TIE-OUT'!J54)+(RECLASS!J54+RECLASS!H54)</f>
        <v>0</v>
      </c>
      <c r="G54" s="68">
        <f>('TIE-OUT'!M54+'TIE-OUT'!K54)+(RECLASS!K54+RECLASS!I54)</f>
        <v>303925</v>
      </c>
      <c r="H54" s="60">
        <f>'EAST-EGM-GL'!H54+'EAST-LRC-GL'!H54</f>
        <v>-78987258</v>
      </c>
      <c r="I54" s="38">
        <f>'EAST-EGM-GL'!I54+'EAST-LRC-GL'!I54</f>
        <v>-2029117.41</v>
      </c>
      <c r="J54" s="60">
        <f>'EAST-EGM-GL'!J54+'EAST-LRC-GL'!J54</f>
        <v>5250615</v>
      </c>
      <c r="K54" s="38">
        <f>'EAST-EGM-GL'!K54+'EAST-LRC-GL'!K54</f>
        <v>1110868.02</v>
      </c>
      <c r="L54" s="60">
        <f>'EAST-EGM-GL'!L54+'EAST-LRC-GL'!L54</f>
        <v>6724352</v>
      </c>
      <c r="M54" s="38">
        <f>'EAST-EGM-GL'!M54+'EAST-LRC-GL'!M54</f>
        <v>10452.69</v>
      </c>
      <c r="N54" s="60">
        <f>'EAST-EGM-GL'!N54+'EAST-LRC-GL'!N54</f>
        <v>44437</v>
      </c>
      <c r="O54" s="38">
        <f>'EAST-EGM-GL'!O54+'EAST-LRC-GL'!O54</f>
        <v>-54441.279999999999</v>
      </c>
      <c r="P54" s="60">
        <f>'EAST-EGM-GL'!P54+'EAST-LRC-GL'!P54</f>
        <v>354515</v>
      </c>
      <c r="Q54" s="38">
        <f>'EAST-EGM-GL'!Q54+'EAST-LRC-GL'!Q54</f>
        <v>-7871.13</v>
      </c>
      <c r="R54" s="60">
        <f>'EAST-EGM-GL'!R54+'EAST-LRC-GL'!R54</f>
        <v>-5</v>
      </c>
      <c r="S54" s="38">
        <f>'EAST-EGM-GL'!S54+'EAST-LRC-GL'!S54</f>
        <v>-23356.32</v>
      </c>
      <c r="T54" s="60">
        <f>'EAST-EGM-GL'!T54+'EAST-LRC-GL'!T54</f>
        <v>-401033</v>
      </c>
      <c r="U54" s="38">
        <f>'EAST-EGM-GL'!U54+'EAST-LRC-GL'!U54</f>
        <v>15970.53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37935</v>
      </c>
      <c r="E55" s="38">
        <f>SUM(G55,I55,K55,M55,O55,Q55,S55,U55,W55,Y55,AA55,AC55,AE55)</f>
        <v>-1182485.1499999997</v>
      </c>
      <c r="F55" s="81">
        <f>('TIE-OUT'!L55+'TIE-OUT'!J55)+(RECLASS!J55+RECLASS!H55)</f>
        <v>0</v>
      </c>
      <c r="G55" s="82">
        <f>('TIE-OUT'!M55+'TIE-OUT'!K55)+(RECLASS!K55+RECLASS!I55)</f>
        <v>36751</v>
      </c>
      <c r="H55" s="60">
        <f>'EAST-EGM-GL'!H55+'EAST-LRC-GL'!H55</f>
        <v>0</v>
      </c>
      <c r="I55" s="38">
        <f>'EAST-EGM-GL'!I55+'EAST-LRC-GL'!I55</f>
        <v>-1855816.88</v>
      </c>
      <c r="J55" s="60">
        <f>'EAST-EGM-GL'!J55+'EAST-LRC-GL'!J55</f>
        <v>0</v>
      </c>
      <c r="K55" s="38">
        <f>'EAST-EGM-GL'!K55+'EAST-LRC-GL'!K55</f>
        <v>450652.87</v>
      </c>
      <c r="L55" s="60">
        <f>'EAST-EGM-GL'!L55+'EAST-LRC-GL'!L55</f>
        <v>0</v>
      </c>
      <c r="M55" s="38">
        <f>'EAST-EGM-GL'!M55+'EAST-LRC-GL'!M55</f>
        <v>311911.78000000003</v>
      </c>
      <c r="N55" s="60">
        <f>'EAST-EGM-GL'!N55+'EAST-LRC-GL'!N55</f>
        <v>0</v>
      </c>
      <c r="O55" s="38">
        <f>'EAST-EGM-GL'!O55+'EAST-LRC-GL'!O55</f>
        <v>-279651.77</v>
      </c>
      <c r="P55" s="60">
        <f>'EAST-EGM-GL'!P55+'EAST-LRC-GL'!P55</f>
        <v>12645</v>
      </c>
      <c r="Q55" s="38">
        <f>'EAST-EGM-GL'!Q55+'EAST-LRC-GL'!Q55</f>
        <v>153667.85</v>
      </c>
      <c r="R55" s="60">
        <f>'EAST-EGM-GL'!R55+'EAST-LRC-GL'!R55</f>
        <v>12645</v>
      </c>
      <c r="S55" s="38">
        <f>'EAST-EGM-GL'!S55+'EAST-LRC-GL'!S55</f>
        <v>75</v>
      </c>
      <c r="T55" s="60">
        <f>'EAST-EGM-GL'!T55+'EAST-LRC-GL'!T55</f>
        <v>12645</v>
      </c>
      <c r="U55" s="38">
        <f>'EAST-EGM-GL'!U55+'EAST-LRC-GL'!U55</f>
        <v>-75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5">
      <c r="A56" s="9"/>
      <c r="B56" s="7" t="s">
        <v>57</v>
      </c>
      <c r="C56" s="6"/>
      <c r="D56" s="61">
        <f>SUM(D54:D55)</f>
        <v>-66976442</v>
      </c>
      <c r="E56" s="39">
        <f>SUM(E54:E55)</f>
        <v>-1856055.0499999996</v>
      </c>
      <c r="F56" s="61">
        <f t="shared" ref="F56:AD56" si="16">SUM(F54:F55)</f>
        <v>0</v>
      </c>
      <c r="G56" s="39">
        <f t="shared" si="16"/>
        <v>340676</v>
      </c>
      <c r="H56" s="61">
        <f t="shared" si="16"/>
        <v>-78987258</v>
      </c>
      <c r="I56" s="39">
        <f t="shared" si="16"/>
        <v>-3884934.29</v>
      </c>
      <c r="J56" s="61">
        <f t="shared" si="16"/>
        <v>5250615</v>
      </c>
      <c r="K56" s="39">
        <f t="shared" si="16"/>
        <v>1561520.8900000001</v>
      </c>
      <c r="L56" s="61">
        <f t="shared" si="16"/>
        <v>6724352</v>
      </c>
      <c r="M56" s="39">
        <f t="shared" si="16"/>
        <v>322364.47000000003</v>
      </c>
      <c r="N56" s="61">
        <f t="shared" si="16"/>
        <v>44437</v>
      </c>
      <c r="O56" s="39">
        <f t="shared" si="16"/>
        <v>-334093.05000000005</v>
      </c>
      <c r="P56" s="61">
        <f t="shared" ref="P56:U56" si="17">SUM(P54:P55)</f>
        <v>367160</v>
      </c>
      <c r="Q56" s="39">
        <f t="shared" si="17"/>
        <v>145796.72</v>
      </c>
      <c r="R56" s="61">
        <f t="shared" si="17"/>
        <v>12640</v>
      </c>
      <c r="S56" s="39">
        <f t="shared" si="17"/>
        <v>-23281.32</v>
      </c>
      <c r="T56" s="61">
        <f t="shared" si="17"/>
        <v>-388388</v>
      </c>
      <c r="U56" s="39">
        <f t="shared" si="17"/>
        <v>15895.53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3174494</v>
      </c>
      <c r="E59" s="38">
        <f>SUM(G59,I59,K59,M59,O59,Q59,S59,U59,W59,Y59,AA59,AC59,AE59)</f>
        <v>116886.92000000001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3573613</v>
      </c>
      <c r="I59" s="38">
        <f>'EAST-EGM-GL'!I59+'EAST-LRC-GL'!I59</f>
        <v>159111.35</v>
      </c>
      <c r="J59" s="60">
        <f>'EAST-EGM-GL'!J59+'EAST-LRC-GL'!J59</f>
        <v>-399119</v>
      </c>
      <c r="K59" s="38">
        <f>'EAST-EGM-GL'!K59+'EAST-LRC-GL'!K59</f>
        <v>-45505.369999999995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3280.94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32427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5">
      <c r="A61" s="9"/>
      <c r="B61" s="62" t="s">
        <v>61</v>
      </c>
      <c r="C61" s="6"/>
      <c r="D61" s="61">
        <f>SUM(D59:D60)</f>
        <v>3206921</v>
      </c>
      <c r="E61" s="39">
        <f>SUM(E59:E60)</f>
        <v>286886.92000000004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3606040</v>
      </c>
      <c r="I61" s="39">
        <f t="shared" si="18"/>
        <v>329111.34999999998</v>
      </c>
      <c r="J61" s="61">
        <f t="shared" si="18"/>
        <v>-399119</v>
      </c>
      <c r="K61" s="39">
        <f t="shared" si="18"/>
        <v>-45505.369999999995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3280.94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-18472144</v>
      </c>
      <c r="E64" s="38">
        <f>SUM(G64,I64,K64,M64,O64,Q64,S64,U64,W64,Y64,AA64,AC64,AE64)</f>
        <v>-2361014.1799999997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-11254765</v>
      </c>
      <c r="I64" s="38">
        <f>'EAST-EGM-GL'!I64+'EAST-LRC-GL'!I64</f>
        <v>-1248322.2</v>
      </c>
      <c r="J64" s="60">
        <f>'EAST-EGM-GL'!J64+'EAST-LRC-GL'!J64</f>
        <v>-7217379</v>
      </c>
      <c r="K64" s="38">
        <f>'EAST-EGM-GL'!K64+'EAST-LRC-GL'!K64</f>
        <v>-1112691.98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18612437</v>
      </c>
      <c r="E65" s="38">
        <f>SUM(G65,I65,K65,M65,O65,Q65,S65,U65,W65,Y65,AA65,AC65,AE65)</f>
        <v>2361014.17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11236412</v>
      </c>
      <c r="I65" s="38">
        <f>'EAST-EGM-GL'!I65+'EAST-LRC-GL'!I65</f>
        <v>1247905.3999999999</v>
      </c>
      <c r="J65" s="60">
        <f>'EAST-EGM-GL'!J65+'EAST-LRC-GL'!J65</f>
        <v>7376025</v>
      </c>
      <c r="K65" s="38">
        <f>'EAST-EGM-GL'!K65+'EAST-LRC-GL'!K65</f>
        <v>1113108.77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140293</v>
      </c>
      <c r="E66" s="39">
        <f>SUM(E64:E65)</f>
        <v>-9.9999997764825821E-3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39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('TIE-OUT'!L70+'TIE-OUT'!J70)+(RECLASS!J70+RECLASS!H70)</f>
        <v>0</v>
      </c>
      <c r="G70" s="68">
        <f>('TIE-OUT'!M70+'TIE-OUT'!K70)+(RECLASS!K70+RECLASS!I70)</f>
        <v>6851832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('TIE-OUT'!L71+'TIE-OUT'!J71)+(RECLASS!J71+RECLASS!H71)</f>
        <v>0</v>
      </c>
      <c r="G71" s="82">
        <f>('TIE-OUT'!M71+'TIE-OUT'!K71)+(RECLASS!K71+RECLASS!I71)</f>
        <v>-7144978.9500000002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-293146.95000000019</v>
      </c>
      <c r="F72" s="61">
        <f t="shared" ref="F72:AD72" si="22">SUM(F70:F71)</f>
        <v>0</v>
      </c>
      <c r="G72" s="39">
        <f t="shared" si="22"/>
        <v>-293146.95000000019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3346149</v>
      </c>
      <c r="F74" s="60">
        <f>('TIE-OUT'!L74+'TIE-OUT'!J74)+(RECLASS!J74+RECLASS!H74)</f>
        <v>0</v>
      </c>
      <c r="G74" s="60">
        <f>('TIE-OUT'!M74+'TIE-OUT'!K74)+(RECLASS!K74+RECLASS!I74)</f>
        <v>3346149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8100</v>
      </c>
      <c r="F75" s="60">
        <f>('TIE-OUT'!L75+'TIE-OUT'!J75)+(RECLASS!J75+RECLASS!H75)</f>
        <v>0</v>
      </c>
      <c r="G75" s="60">
        <f>('TIE-OUT'!M75+'TIE-OUT'!K75)+(RECLASS!K75+RECLASS!I75)</f>
        <v>8100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-11463.199999999999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285.61</v>
      </c>
      <c r="J76" s="60">
        <f>'EAST-EGM-GL'!J76+'EAST-LRC-GL'!J76</f>
        <v>0</v>
      </c>
      <c r="K76" s="38">
        <f>'EAST-EGM-GL'!K76+'EAST-LRC-GL'!K76</f>
        <v>-15150.32</v>
      </c>
      <c r="L76" s="60">
        <f>'EAST-EGM-GL'!L76+'EAST-LRC-GL'!L76</f>
        <v>0</v>
      </c>
      <c r="M76" s="38">
        <f>'EAST-EGM-GL'!M76+'EAST-LRC-GL'!M76</f>
        <v>3401.51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25724</v>
      </c>
      <c r="F78" s="60">
        <f>('TIE-OUT'!L78+'TIE-OUT'!J78)+(RECLASS!J78+RECLASS!H78)</f>
        <v>0</v>
      </c>
      <c r="G78" s="60">
        <f>('TIE-OUT'!M78+'TIE-OUT'!K78)+(RECLASS!K78+RECLASS!I78)</f>
        <v>25724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-9.9999999983992893E-2</v>
      </c>
      <c r="F81" s="60">
        <f>('TIE-OUT'!L81+'TIE-OUT'!J81)+(RECLASS!J81+RECLASS!H81)</f>
        <v>0</v>
      </c>
      <c r="G81" s="60">
        <f>('TIE-OUT'!M81+'TIE-OUT'!K81)+(RECLASS!K81+RECLASS!I81)</f>
        <v>-373815</v>
      </c>
      <c r="H81" s="60">
        <f>'EAST-EGM-GL'!H81+'EAST-LRC-GL'!H81</f>
        <v>0</v>
      </c>
      <c r="I81" s="38">
        <f>'EAST-EGM-GL'!I81+'EAST-LRC-GL'!I81</f>
        <v>348091.08</v>
      </c>
      <c r="J81" s="60">
        <f>'EAST-EGM-GL'!J81+'EAST-LRC-GL'!J81</f>
        <v>0</v>
      </c>
      <c r="K81" s="38">
        <f>'EAST-EGM-GL'!K81+'EAST-LRC-GL'!K81</f>
        <v>25723.82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-1752321.5769999167</v>
      </c>
      <c r="F82" s="91">
        <f>F16+F24+F29+F36+F43+F45+F47+F49</f>
        <v>0</v>
      </c>
      <c r="G82" s="92">
        <f>SUM(G72:G81)+G16+G24+G29+G36+G43+G45+G47+G49+G51+G56+G61+G66</f>
        <v>-3790689.8000000003</v>
      </c>
      <c r="H82" s="91">
        <f>H16+H24+H29+H36+H43+H45+H47+H49</f>
        <v>0</v>
      </c>
      <c r="I82" s="92">
        <f>SUM(I72:I81)+I16+I24+I29+I36+I43+I45+I47+I49+I51+I56+I61+I66</f>
        <v>7424429.4799999967</v>
      </c>
      <c r="J82" s="91">
        <f>J16+J24+J29+J36+J43+J45+J47+J49</f>
        <v>0</v>
      </c>
      <c r="K82" s="92">
        <f>SUM(K72:K81)+K16+K24+K29+K36+K43+K45+K47+K49+K51+K56+K61+K66</f>
        <v>-5604559.040000001</v>
      </c>
      <c r="L82" s="91">
        <f>L16+L24+L29+L36+L43+L45+L47+L49</f>
        <v>0</v>
      </c>
      <c r="M82" s="92">
        <f>SUM(M72:M81)+M16+M24+M29+M36+M43+M45+M47+M49+M51+M56+M61+M66</f>
        <v>402725.30199999688</v>
      </c>
      <c r="N82" s="91">
        <f>N16+N24+N29+N36+N43+N45+N47+N49</f>
        <v>0</v>
      </c>
      <c r="O82" s="92">
        <f>SUM(O72:O81)+O16+O24+O29+O36+O43+O45+O47+O49+O51+O56+O61+O66</f>
        <v>-94994.876999998727</v>
      </c>
      <c r="P82" s="91">
        <f>P16+P24+P29+P36+P43+P45+P47+P49</f>
        <v>0</v>
      </c>
      <c r="Q82" s="92">
        <f>SUM(Q72:Q81)+Q16+Q24+Q29+Q36+Q43+Q45+Q47+Q49+Q51+Q56+Q61+Q66</f>
        <v>1432139.659</v>
      </c>
      <c r="R82" s="91">
        <f>R16+R24+R29+R36+R43+R45+R47+R49</f>
        <v>0</v>
      </c>
      <c r="S82" s="92">
        <f>SUM(S72:S81)+S16+S24+S29+S36+S43+S45+S47+S49+S51+S56+S61+S66</f>
        <v>-1657524.1320000051</v>
      </c>
      <c r="T82" s="91">
        <f>T16+T24+T29+T36+T43+T45+T47+T49</f>
        <v>0</v>
      </c>
      <c r="U82" s="92">
        <f>SUM(U72:U81)+U16+U24+U29+U36+U43+U45+U47+U49+U51+U56+U61+U66</f>
        <v>136151.83100000038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E84" s="14">
        <f>+'EAST-LRC-GL'!E82+'EAST-EGM-GL'!E82</f>
        <v>-1753445.2269999376</v>
      </c>
      <c r="G84" s="14">
        <f>+'EAST-LRC-GL'!G82+'EAST-EGM-GL'!G82</f>
        <v>-3790689.8000000003</v>
      </c>
      <c r="I84" s="14">
        <f>+'EAST-LRC-GL'!I82+'EAST-EGM-GL'!I82</f>
        <v>7424429.4800000172</v>
      </c>
      <c r="K84" s="14">
        <f>+'EAST-LRC-GL'!K82+'EAST-EGM-GL'!K82</f>
        <v>-5604559.0400000028</v>
      </c>
    </row>
    <row r="85" spans="1:67" x14ac:dyDescent="0.25">
      <c r="A85" s="4" t="s">
        <v>173</v>
      </c>
      <c r="B85" s="3"/>
      <c r="F85" s="31"/>
      <c r="G85" s="31"/>
      <c r="H85" s="31"/>
      <c r="I85" s="31"/>
      <c r="L85" s="45"/>
    </row>
    <row r="86" spans="1:67" s="3" customFormat="1" x14ac:dyDescent="0.25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206809</v>
      </c>
      <c r="F86" s="169">
        <f>'EAST-EGM-GL'!F86+'EAST-LRC-GL'!F86</f>
        <v>0</v>
      </c>
      <c r="G86" s="169">
        <f>'EAST-EGM-GL'!G86+'EAST-LRC-GL'!G86</f>
        <v>206809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'EAST-EGM-GL'!F88+'EAST-LRC-GL'!F88</f>
        <v>0</v>
      </c>
      <c r="G88" s="171">
        <f>'EAST-EGM-GL'!G88+'EAST-LRC-GL'!G88</f>
        <v>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5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206809</v>
      </c>
      <c r="F89" s="179">
        <f t="shared" si="26"/>
        <v>0</v>
      </c>
      <c r="G89" s="179">
        <f t="shared" si="26"/>
        <v>206809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143" customFormat="1" ht="20.25" customHeight="1" x14ac:dyDescent="0.25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-1545512.5769999167</v>
      </c>
      <c r="F91" s="184">
        <f t="shared" si="28"/>
        <v>0</v>
      </c>
      <c r="G91" s="184">
        <f t="shared" si="28"/>
        <v>-3583880.8000000003</v>
      </c>
      <c r="H91" s="184">
        <f t="shared" si="28"/>
        <v>0</v>
      </c>
      <c r="I91" s="184">
        <f t="shared" si="28"/>
        <v>7424429.4799999967</v>
      </c>
      <c r="J91" s="184">
        <f t="shared" si="28"/>
        <v>0</v>
      </c>
      <c r="K91" s="184">
        <f t="shared" si="28"/>
        <v>-5604559.040000001</v>
      </c>
      <c r="L91" s="184">
        <f t="shared" si="28"/>
        <v>0</v>
      </c>
      <c r="M91" s="184">
        <f t="shared" si="28"/>
        <v>402725.30199999688</v>
      </c>
      <c r="N91" s="184">
        <f t="shared" ref="N91:AE91" si="29">+N82+N89</f>
        <v>0</v>
      </c>
      <c r="O91" s="184">
        <f t="shared" si="29"/>
        <v>-94994.876999998727</v>
      </c>
      <c r="P91" s="184">
        <f t="shared" si="29"/>
        <v>0</v>
      </c>
      <c r="Q91" s="184">
        <f t="shared" si="29"/>
        <v>1432139.659</v>
      </c>
      <c r="R91" s="184">
        <f t="shared" si="29"/>
        <v>0</v>
      </c>
      <c r="S91" s="184">
        <f t="shared" si="29"/>
        <v>-1657524.1320000051</v>
      </c>
      <c r="T91" s="184">
        <f t="shared" si="29"/>
        <v>0</v>
      </c>
      <c r="U91" s="184">
        <f t="shared" si="29"/>
        <v>136151.83100000038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L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9671515</v>
      </c>
      <c r="E11" s="38">
        <f>SUM(G11,I11,K11,M11,O11,Q11,S11,U11,W11,Y11,AA11,AC11,AE11)</f>
        <v>27166434.360000003</v>
      </c>
      <c r="F11" s="60">
        <f>'TIE-OUT'!T11+RECLASS!R11</f>
        <v>0</v>
      </c>
      <c r="G11" s="38">
        <f>'TIE-OUT'!U11+RECLASS!S11</f>
        <v>0</v>
      </c>
      <c r="H11" s="127">
        <f>+Actuals!E244</f>
        <v>10204172</v>
      </c>
      <c r="I11" s="128">
        <f>+Actuals!F244</f>
        <v>27521507.890000001</v>
      </c>
      <c r="J11" s="127">
        <f>+Actuals!G244</f>
        <v>-47502</v>
      </c>
      <c r="K11" s="147">
        <f>+Actuals!H244</f>
        <v>65804.36</v>
      </c>
      <c r="L11" s="127">
        <f>+Actuals!I244</f>
        <v>-485155</v>
      </c>
      <c r="M11" s="128">
        <f>+Actuals!J244</f>
        <v>-426259.74</v>
      </c>
      <c r="N11" s="127">
        <f>+Actuals!K444</f>
        <v>0</v>
      </c>
      <c r="O11" s="128">
        <f>+Actuals!L444</f>
        <v>0</v>
      </c>
      <c r="P11" s="127">
        <f>+Actuals!M444</f>
        <v>0</v>
      </c>
      <c r="Q11" s="128">
        <f>+Actuals!N444</f>
        <v>-7200</v>
      </c>
      <c r="R11" s="127">
        <f>+Actuals!O444</f>
        <v>8</v>
      </c>
      <c r="S11" s="128">
        <f>+Actuals!P444</f>
        <v>8477.32</v>
      </c>
      <c r="T11" s="127">
        <f>+Actuals!Q444</f>
        <v>-8</v>
      </c>
      <c r="U11" s="128">
        <f>+Actuals!R444</f>
        <v>4104.53</v>
      </c>
      <c r="V11" s="127">
        <f>+Actuals!S244</f>
        <v>0</v>
      </c>
      <c r="W11" s="128">
        <f>+Actuals!T244</f>
        <v>0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-842088.81</v>
      </c>
      <c r="F12" s="60">
        <f>'TIE-OUT'!T12+RECLASS!R12</f>
        <v>0</v>
      </c>
      <c r="G12" s="38">
        <f>'TIE-OUT'!U12+RECLASS!S12</f>
        <v>-842088.81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+Actuals!I245</f>
        <v>0</v>
      </c>
      <c r="M12" s="128">
        <f>+Actuals!J245</f>
        <v>0</v>
      </c>
      <c r="N12" s="127">
        <f>+Actuals!K445</f>
        <v>0</v>
      </c>
      <c r="O12" s="128">
        <f>+Actuals!L445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15000</v>
      </c>
      <c r="E13" s="38">
        <f t="shared" si="0"/>
        <v>44650</v>
      </c>
      <c r="F13" s="60">
        <f>'TIE-OUT'!T13+RECLASS!R13</f>
        <v>0</v>
      </c>
      <c r="G13" s="38">
        <f>'TIE-OUT'!U13+RECLASS!S13</f>
        <v>0</v>
      </c>
      <c r="H13" s="127">
        <f>+Actuals!E246</f>
        <v>9707997</v>
      </c>
      <c r="I13" s="128">
        <f>+Actuals!F246</f>
        <v>25915785</v>
      </c>
      <c r="J13" s="127">
        <f>+Actuals!G246</f>
        <v>15000</v>
      </c>
      <c r="K13" s="147">
        <f>+Actuals!H246</f>
        <v>44650</v>
      </c>
      <c r="L13" s="127">
        <f>+Actuals!I246</f>
        <v>-9707997</v>
      </c>
      <c r="M13" s="128">
        <f>+Actuals!J246</f>
        <v>-25915785</v>
      </c>
      <c r="N13" s="127">
        <f>+Actuals!K446</f>
        <v>9722997</v>
      </c>
      <c r="O13" s="128">
        <f>+Actuals!L446</f>
        <v>25960435</v>
      </c>
      <c r="P13" s="127">
        <f>+Actuals!M446</f>
        <v>0</v>
      </c>
      <c r="Q13" s="128">
        <f>+Actuals!N446</f>
        <v>0</v>
      </c>
      <c r="R13" s="127">
        <f>+Actuals!O446</f>
        <v>-9722997</v>
      </c>
      <c r="S13" s="128">
        <f>+Actuals!P446</f>
        <v>-25960435</v>
      </c>
      <c r="T13" s="127">
        <f>+Actuals!Q446</f>
        <v>0</v>
      </c>
      <c r="U13" s="128">
        <f>+Actuals!R446</f>
        <v>0</v>
      </c>
      <c r="V13" s="127">
        <f>+Actuals!S246</f>
        <v>0</v>
      </c>
      <c r="W13" s="128">
        <f>+Actuals!T246</f>
        <v>0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+Actuals!K447</f>
        <v>0</v>
      </c>
      <c r="O14" s="128">
        <f>+Actuals!L447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+Actuals!K448</f>
        <v>0</v>
      </c>
      <c r="O15" s="128">
        <f>+Actuals!L448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9686515</v>
      </c>
      <c r="E16" s="39">
        <f t="shared" si="1"/>
        <v>26368995.550000004</v>
      </c>
      <c r="F16" s="61">
        <f t="shared" si="1"/>
        <v>0</v>
      </c>
      <c r="G16" s="39">
        <f t="shared" si="1"/>
        <v>-842088.81</v>
      </c>
      <c r="H16" s="61">
        <f t="shared" si="1"/>
        <v>19912169</v>
      </c>
      <c r="I16" s="39">
        <f t="shared" si="1"/>
        <v>53437292.890000001</v>
      </c>
      <c r="J16" s="61">
        <f t="shared" si="1"/>
        <v>-32502</v>
      </c>
      <c r="K16" s="148">
        <f t="shared" si="1"/>
        <v>110454.36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-323160</v>
      </c>
      <c r="E19" s="38">
        <f t="shared" si="3"/>
        <v>-827566.54</v>
      </c>
      <c r="F19" s="64">
        <f>'TIE-OUT'!T19+RECLASS!R19</f>
        <v>0</v>
      </c>
      <c r="G19" s="68">
        <f>'TIE-OUT'!U19+RECLASS!S19</f>
        <v>0</v>
      </c>
      <c r="H19" s="127">
        <f>+Actuals!E249</f>
        <v>-319293</v>
      </c>
      <c r="I19" s="128">
        <f>+Actuals!F249</f>
        <v>-817821.3</v>
      </c>
      <c r="J19" s="127">
        <f>+Actuals!G249</f>
        <v>-3545</v>
      </c>
      <c r="K19" s="147">
        <f>+Actuals!H249</f>
        <v>-8957.9500000000007</v>
      </c>
      <c r="L19" s="127">
        <f>+Actuals!I249</f>
        <v>-504</v>
      </c>
      <c r="M19" s="128">
        <f>+Actuals!J249</f>
        <v>-1232.28</v>
      </c>
      <c r="N19" s="127">
        <f>+Actuals!K449</f>
        <v>182</v>
      </c>
      <c r="O19" s="128">
        <f>+Actuals!L449</f>
        <v>444.99</v>
      </c>
      <c r="P19" s="127">
        <f>+Actuals!M449</f>
        <v>0</v>
      </c>
      <c r="Q19" s="128">
        <f>+Actuals!N449</f>
        <v>0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+Actuals!S249</f>
        <v>0</v>
      </c>
      <c r="W19" s="128">
        <f>+Actuals!T249</f>
        <v>0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121326.17</v>
      </c>
      <c r="F20" s="60">
        <f>'TIE-OUT'!T20+RECLASS!R20</f>
        <v>0</v>
      </c>
      <c r="G20" s="38">
        <f>'TIE-OUT'!U20+RECLASS!S20</f>
        <v>121326.17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+Actuals!I250</f>
        <v>0</v>
      </c>
      <c r="M20" s="128">
        <f>+Actuals!J250</f>
        <v>0</v>
      </c>
      <c r="N20" s="127">
        <f>+Actuals!K450</f>
        <v>0</v>
      </c>
      <c r="O20" s="155">
        <v>0</v>
      </c>
      <c r="P20" s="127">
        <f>+Actuals!M450</f>
        <v>0</v>
      </c>
      <c r="Q20" s="128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-11017</v>
      </c>
      <c r="E21" s="38">
        <f t="shared" si="3"/>
        <v>-27173</v>
      </c>
      <c r="F21" s="60">
        <f>'TIE-OUT'!T21+RECLASS!R21</f>
        <v>0</v>
      </c>
      <c r="G21" s="38">
        <f>'TIE-OUT'!U21+RECLASS!S21</f>
        <v>0</v>
      </c>
      <c r="H21" s="127">
        <f>+Actuals!E251</f>
        <v>-9704287</v>
      </c>
      <c r="I21" s="128">
        <f>+Actuals!F251</f>
        <v>-25898983</v>
      </c>
      <c r="J21" s="127">
        <f>+Actuals!G251</f>
        <v>-8371</v>
      </c>
      <c r="K21" s="147">
        <f>+Actuals!H251</f>
        <v>-20676</v>
      </c>
      <c r="L21" s="127">
        <f>+Actuals!I251</f>
        <v>9704287</v>
      </c>
      <c r="M21" s="128">
        <f>+Actuals!J251</f>
        <v>25898983</v>
      </c>
      <c r="N21" s="127">
        <f>+Actuals!K451</f>
        <v>-9712986</v>
      </c>
      <c r="O21" s="128">
        <f>+Actuals!L451</f>
        <v>-25920470</v>
      </c>
      <c r="P21" s="127">
        <f>+Actuals!M451</f>
        <v>0</v>
      </c>
      <c r="Q21" s="128">
        <f>+Actuals!N451</f>
        <v>0</v>
      </c>
      <c r="R21" s="127">
        <f>+Actuals!O451</f>
        <v>9712658</v>
      </c>
      <c r="S21" s="128">
        <f>+Actuals!P451</f>
        <v>25919659</v>
      </c>
      <c r="T21" s="127">
        <f>+Actuals!Q451</f>
        <v>-2318</v>
      </c>
      <c r="U21" s="128">
        <f>+Actuals!R451</f>
        <v>-5686</v>
      </c>
      <c r="V21" s="127">
        <f>+Actuals!S251</f>
        <v>0</v>
      </c>
      <c r="W21" s="128">
        <f>+Actuals!T251</f>
        <v>0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+Actuals!K452</f>
        <v>0</v>
      </c>
      <c r="O22" s="128">
        <f>+Actuals!L452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8102</v>
      </c>
      <c r="E23" s="38">
        <f t="shared" si="3"/>
        <v>19809.390000000003</v>
      </c>
      <c r="F23" s="81">
        <f>'TIE-OUT'!T23+RECLASS!R23</f>
        <v>0</v>
      </c>
      <c r="G23" s="82">
        <f>'TIE-OUT'!U23+RECLASS!S23</f>
        <v>0</v>
      </c>
      <c r="H23" s="127">
        <f>+Actuals!E253</f>
        <v>7953</v>
      </c>
      <c r="I23" s="128">
        <f>+Actuals!F253</f>
        <v>19445.084999999999</v>
      </c>
      <c r="J23" s="127">
        <f>+Actuals!G253</f>
        <v>182</v>
      </c>
      <c r="K23" s="147">
        <f>+Actuals!H253</f>
        <v>444.99</v>
      </c>
      <c r="L23" s="127">
        <f>+Actuals!I253</f>
        <v>-203</v>
      </c>
      <c r="M23" s="128">
        <f>+Actuals!J253</f>
        <v>-496.33499999999998</v>
      </c>
      <c r="N23" s="127">
        <f>+Actuals!K453</f>
        <v>170</v>
      </c>
      <c r="O23" s="128">
        <f>+Actuals!L453</f>
        <v>415.65</v>
      </c>
      <c r="P23" s="127">
        <f>+Actuals!M453</f>
        <v>0</v>
      </c>
      <c r="Q23" s="128">
        <f>+Actuals!N453</f>
        <v>0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-326075</v>
      </c>
      <c r="E24" s="39">
        <f t="shared" si="4"/>
        <v>-713603.98</v>
      </c>
      <c r="F24" s="61">
        <f t="shared" si="4"/>
        <v>0</v>
      </c>
      <c r="G24" s="39">
        <f t="shared" si="4"/>
        <v>121326.17</v>
      </c>
      <c r="H24" s="61">
        <f t="shared" si="4"/>
        <v>-10015627</v>
      </c>
      <c r="I24" s="39">
        <f t="shared" si="4"/>
        <v>-26697359.215</v>
      </c>
      <c r="J24" s="61">
        <f t="shared" si="4"/>
        <v>-11734</v>
      </c>
      <c r="K24" s="148">
        <f t="shared" si="4"/>
        <v>-29188.959999999999</v>
      </c>
      <c r="L24" s="61">
        <f t="shared" si="4"/>
        <v>9703580</v>
      </c>
      <c r="M24" s="39">
        <f t="shared" si="4"/>
        <v>25897254.384999998</v>
      </c>
      <c r="N24" s="61">
        <f t="shared" si="4"/>
        <v>-9712634</v>
      </c>
      <c r="O24" s="39">
        <f t="shared" si="4"/>
        <v>-25919609.360000003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9712658</v>
      </c>
      <c r="S24" s="39">
        <f t="shared" si="5"/>
        <v>25919659</v>
      </c>
      <c r="T24" s="61">
        <f t="shared" si="5"/>
        <v>-2318</v>
      </c>
      <c r="U24" s="39">
        <f t="shared" si="5"/>
        <v>-5686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2688332</v>
      </c>
      <c r="E27" s="38">
        <f>SUM(G27,I27,K27,M27,O27,Q27,S27,U27,W27,Y27,AA27,AC27,AE27)</f>
        <v>7238650.6300000008</v>
      </c>
      <c r="F27" s="64">
        <f>'TIE-OUT'!T27+RECLASS!R27</f>
        <v>0</v>
      </c>
      <c r="G27" s="68">
        <f>'TIE-OUT'!U27+RECLASS!S27</f>
        <v>0</v>
      </c>
      <c r="H27" s="127">
        <f>+Actuals!E254</f>
        <v>2571385</v>
      </c>
      <c r="I27" s="128">
        <f>+Actuals!F254</f>
        <v>6918793.0700000003</v>
      </c>
      <c r="J27" s="127">
        <f>+Actuals!G254</f>
        <v>146502</v>
      </c>
      <c r="K27" s="147">
        <f>+Actuals!H254</f>
        <v>395103.98</v>
      </c>
      <c r="L27" s="127">
        <f>+Actuals!I254</f>
        <v>-29155</v>
      </c>
      <c r="M27" s="128">
        <f>+Actuals!J254</f>
        <v>-76667.03</v>
      </c>
      <c r="N27" s="127">
        <f>+Actuals!K454</f>
        <v>-400</v>
      </c>
      <c r="O27" s="128">
        <f>+Actuals!L454</f>
        <v>1420.61</v>
      </c>
      <c r="P27" s="127">
        <f>+Actuals!M454</f>
        <v>0</v>
      </c>
      <c r="Q27" s="128">
        <f>+Actuals!N454</f>
        <v>0</v>
      </c>
      <c r="R27" s="127">
        <f>+Actuals!O454</f>
        <v>0</v>
      </c>
      <c r="S27" s="128">
        <f>+Actuals!P454</f>
        <v>0</v>
      </c>
      <c r="T27" s="127">
        <f>+Actuals!Q454</f>
        <v>0</v>
      </c>
      <c r="U27" s="128">
        <f>+Actuals!R454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-12066538</v>
      </c>
      <c r="E28" s="38">
        <f>SUM(G28,I28,K28,M28,O28,Q28,S28,U28,W28,Y28,AA28,AC28,AE28)</f>
        <v>-32311004.900000002</v>
      </c>
      <c r="F28" s="81">
        <f>'TIE-OUT'!T28+RECLASS!R28</f>
        <v>0</v>
      </c>
      <c r="G28" s="82">
        <f>'TIE-OUT'!U28+RECLASS!S28</f>
        <v>0</v>
      </c>
      <c r="H28" s="127">
        <f>+Actuals!E255</f>
        <v>-7293646</v>
      </c>
      <c r="I28" s="128">
        <f>+Actuals!F255</f>
        <v>-19434613.02</v>
      </c>
      <c r="J28" s="127">
        <f>+Actuals!G255</f>
        <v>-5288121</v>
      </c>
      <c r="K28" s="147">
        <f>+Actuals!H255</f>
        <v>-14264367.9</v>
      </c>
      <c r="L28" s="127">
        <f>+Actuals!I255</f>
        <v>510539</v>
      </c>
      <c r="M28" s="128">
        <f>+Actuals!J255</f>
        <v>1382366.69</v>
      </c>
      <c r="N28" s="127">
        <f>+Actuals!K455</f>
        <v>4690</v>
      </c>
      <c r="O28" s="128">
        <f>+Actuals!L455</f>
        <v>-927262.39</v>
      </c>
      <c r="P28" s="127">
        <f>+Actuals!M455</f>
        <v>0</v>
      </c>
      <c r="Q28" s="128">
        <f>+Actuals!N455</f>
        <v>940000</v>
      </c>
      <c r="R28" s="127">
        <f>+Actuals!O455</f>
        <v>-8</v>
      </c>
      <c r="S28" s="128">
        <f>+Actuals!P455</f>
        <v>-22.28</v>
      </c>
      <c r="T28" s="127">
        <f>+Actuals!Q455</f>
        <v>8</v>
      </c>
      <c r="U28" s="128">
        <f>+Actuals!R455</f>
        <v>-7106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-9378206</v>
      </c>
      <c r="E29" s="39">
        <f t="shared" si="6"/>
        <v>-25072354.270000003</v>
      </c>
      <c r="F29" s="61">
        <f t="shared" si="6"/>
        <v>0</v>
      </c>
      <c r="G29" s="39">
        <f t="shared" si="6"/>
        <v>0</v>
      </c>
      <c r="H29" s="61">
        <f t="shared" si="6"/>
        <v>-4722261</v>
      </c>
      <c r="I29" s="39">
        <f t="shared" si="6"/>
        <v>-12515819.949999999</v>
      </c>
      <c r="J29" s="61">
        <f t="shared" si="6"/>
        <v>-5141619</v>
      </c>
      <c r="K29" s="148">
        <f t="shared" si="6"/>
        <v>-13869263.92</v>
      </c>
      <c r="L29" s="61">
        <f t="shared" si="6"/>
        <v>481384</v>
      </c>
      <c r="M29" s="39">
        <f t="shared" si="6"/>
        <v>1305699.6599999999</v>
      </c>
      <c r="N29" s="61">
        <f t="shared" si="6"/>
        <v>4290</v>
      </c>
      <c r="O29" s="39">
        <f t="shared" si="6"/>
        <v>-925841.78</v>
      </c>
      <c r="P29" s="61">
        <f t="shared" ref="P29:U29" si="7">SUM(P27:P28)</f>
        <v>0</v>
      </c>
      <c r="Q29" s="39">
        <f t="shared" si="7"/>
        <v>940000</v>
      </c>
      <c r="R29" s="61">
        <f t="shared" si="7"/>
        <v>-8</v>
      </c>
      <c r="S29" s="39">
        <f t="shared" si="7"/>
        <v>-22.28</v>
      </c>
      <c r="T29" s="61">
        <f t="shared" si="7"/>
        <v>8</v>
      </c>
      <c r="U29" s="39">
        <f t="shared" si="7"/>
        <v>-7106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19263</v>
      </c>
      <c r="E32" s="38">
        <f t="shared" si="8"/>
        <v>47098.035000000891</v>
      </c>
      <c r="F32" s="64">
        <f>'TIE-OUT'!T32+RECLASS!R32</f>
        <v>0</v>
      </c>
      <c r="G32" s="68">
        <f>'TIE-OUT'!U32+RECLASS!S32</f>
        <v>0</v>
      </c>
      <c r="H32" s="127">
        <f>+Actuals!E256</f>
        <v>-5171195</v>
      </c>
      <c r="I32" s="128">
        <f>+Actuals!F256</f>
        <v>-12643571.779999999</v>
      </c>
      <c r="J32" s="127">
        <f>+Actuals!G256</f>
        <v>5190623</v>
      </c>
      <c r="K32" s="147">
        <f>+Actuals!H256</f>
        <v>12691073.24</v>
      </c>
      <c r="L32" s="127">
        <f>+Actuals!I256</f>
        <v>4477</v>
      </c>
      <c r="M32" s="128">
        <f>+Actuals!J256</f>
        <v>10946.264999999999</v>
      </c>
      <c r="N32" s="127">
        <f>+Actuals!K456</f>
        <v>-4641</v>
      </c>
      <c r="O32" s="128">
        <f>+Actuals!L456</f>
        <v>-11347.245000000001</v>
      </c>
      <c r="P32" s="127">
        <f>+Actuals!M456</f>
        <v>0</v>
      </c>
      <c r="Q32" s="128">
        <f>+Actuals!N456</f>
        <v>0</v>
      </c>
      <c r="R32" s="127">
        <f>+Actuals!O456</f>
        <v>-2</v>
      </c>
      <c r="S32" s="128">
        <f>+Actuals!P456</f>
        <v>-4.8899999999999997</v>
      </c>
      <c r="T32" s="127">
        <f>+Actuals!Q456</f>
        <v>1</v>
      </c>
      <c r="U32" s="128">
        <f>+Actuals!R456</f>
        <v>2.4449999999999998</v>
      </c>
      <c r="V32" s="127">
        <f>+Actuals!S256</f>
        <v>0</v>
      </c>
      <c r="W32" s="128">
        <f>+Actuals!T256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+Actuals!K457</f>
        <v>0</v>
      </c>
      <c r="O33" s="128">
        <f>+Actuals!L457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+Actuals!K458</f>
        <v>0</v>
      </c>
      <c r="O34" s="128">
        <f>+Actuals!L458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+Actuals!K459</f>
        <v>0</v>
      </c>
      <c r="O35" s="128">
        <f>+Actuals!L459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19263</v>
      </c>
      <c r="E36" s="39">
        <f t="shared" si="9"/>
        <v>47098.035000000891</v>
      </c>
      <c r="F36" s="61">
        <f t="shared" si="9"/>
        <v>0</v>
      </c>
      <c r="G36" s="39">
        <f t="shared" si="9"/>
        <v>0</v>
      </c>
      <c r="H36" s="61">
        <f t="shared" si="9"/>
        <v>-5171195</v>
      </c>
      <c r="I36" s="39">
        <f t="shared" si="9"/>
        <v>-12643571.779999999</v>
      </c>
      <c r="J36" s="61">
        <f t="shared" si="9"/>
        <v>5190623</v>
      </c>
      <c r="K36" s="148">
        <f t="shared" si="9"/>
        <v>12691073.24</v>
      </c>
      <c r="L36" s="61">
        <f t="shared" si="9"/>
        <v>4477</v>
      </c>
      <c r="M36" s="39">
        <f t="shared" si="9"/>
        <v>10946.264999999999</v>
      </c>
      <c r="N36" s="61">
        <f t="shared" si="9"/>
        <v>-4641</v>
      </c>
      <c r="O36" s="39">
        <f t="shared" si="9"/>
        <v>-11347.245000000001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-2</v>
      </c>
      <c r="S36" s="39">
        <f t="shared" si="10"/>
        <v>-4.8899999999999997</v>
      </c>
      <c r="T36" s="61">
        <f t="shared" si="10"/>
        <v>1</v>
      </c>
      <c r="U36" s="39">
        <f t="shared" si="10"/>
        <v>2.4449999999999998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'TIE-OUT'!T39+RECLASS!R39</f>
        <v>0</v>
      </c>
      <c r="G39" s="68">
        <f>'TIE-OUT'!U39+RECLASS!S39</f>
        <v>0</v>
      </c>
      <c r="H39" s="127">
        <f>+Actuals!E260</f>
        <v>0</v>
      </c>
      <c r="I39" s="128">
        <f>+Actuals!F260</f>
        <v>0</v>
      </c>
      <c r="J39" s="127">
        <f>+Actuals!G260</f>
        <v>0</v>
      </c>
      <c r="K39" s="147">
        <f>+Actuals!H260</f>
        <v>0</v>
      </c>
      <c r="L39" s="127">
        <f>+Actuals!I260</f>
        <v>0</v>
      </c>
      <c r="M39" s="128">
        <f>+Actuals!J260</f>
        <v>0</v>
      </c>
      <c r="N39" s="127">
        <f>+Actuals!K460</f>
        <v>0</v>
      </c>
      <c r="O39" s="128">
        <f>+Actuals!L460</f>
        <v>0</v>
      </c>
      <c r="P39" s="127">
        <f>+Actuals!M460</f>
        <v>0</v>
      </c>
      <c r="Q39" s="128">
        <f>+Actuals!N460</f>
        <v>0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+Actuals!K461</f>
        <v>0</v>
      </c>
      <c r="O40" s="128">
        <f>+Actuals!L461</f>
        <v>0</v>
      </c>
      <c r="P40" s="127">
        <f>+Actuals!M461</f>
        <v>0</v>
      </c>
      <c r="Q40" s="128">
        <f>+Actuals!N461</f>
        <v>0</v>
      </c>
      <c r="R40" s="127">
        <f>+Actuals!O461</f>
        <v>0</v>
      </c>
      <c r="S40" s="128">
        <f>+Actuals!P461</f>
        <v>0</v>
      </c>
      <c r="T40" s="127">
        <f>+Actuals!Q461</f>
        <v>0</v>
      </c>
      <c r="U40" s="128">
        <f>+Actuals!R461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+Actuals!K462</f>
        <v>0</v>
      </c>
      <c r="O41" s="128">
        <f>+Actuals!L462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+Actuals!K463</f>
        <v>0</v>
      </c>
      <c r="O45" s="128">
        <f>+Actuals!L463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+Actuals!K464</f>
        <v>0</v>
      </c>
      <c r="O47" s="128">
        <f>+Actuals!L464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-1497</v>
      </c>
      <c r="E49" s="38">
        <f>SUM(G49,I49,K49,M49,O49,Q49,S49,U49,W49,Y49,AA49,AC49,AE49)</f>
        <v>-3660.165</v>
      </c>
      <c r="F49" s="60">
        <f>'TIE-OUT'!T49+RECLASS!R49</f>
        <v>0</v>
      </c>
      <c r="G49" s="38">
        <f>'TIE-OUT'!U49+RECLASS!S49</f>
        <v>0</v>
      </c>
      <c r="H49" s="127">
        <f>+Actuals!E265</f>
        <v>-3086</v>
      </c>
      <c r="I49" s="128">
        <f>+Actuals!F265</f>
        <v>-7545.27</v>
      </c>
      <c r="J49" s="127">
        <f>+Actuals!G265</f>
        <v>-4768</v>
      </c>
      <c r="K49" s="147">
        <f>+Actuals!H265</f>
        <v>-11657.76</v>
      </c>
      <c r="L49" s="127">
        <f>+Actuals!I265</f>
        <v>3711</v>
      </c>
      <c r="M49" s="128">
        <f>+Actuals!J265</f>
        <v>9073.3950000000004</v>
      </c>
      <c r="N49" s="127">
        <f>+Actuals!K465</f>
        <v>-10012</v>
      </c>
      <c r="O49" s="128">
        <f>+Actuals!L465</f>
        <v>-24479.34</v>
      </c>
      <c r="P49" s="127">
        <f>+Actuals!M465</f>
        <v>0</v>
      </c>
      <c r="Q49" s="128">
        <f>+Actuals!N465</f>
        <v>0</v>
      </c>
      <c r="R49" s="127">
        <f>+Actuals!O465</f>
        <v>10341</v>
      </c>
      <c r="S49" s="128">
        <f>+Actuals!P465</f>
        <v>25283.744999999999</v>
      </c>
      <c r="T49" s="127">
        <f>+Actuals!Q465</f>
        <v>2317</v>
      </c>
      <c r="U49" s="128">
        <f>+Actuals!R465</f>
        <v>5665.0649999999996</v>
      </c>
      <c r="V49" s="127">
        <f>+Actuals!S265</f>
        <v>0</v>
      </c>
      <c r="W49" s="128">
        <f>+Actuals!T265</f>
        <v>0</v>
      </c>
      <c r="X49" s="127">
        <f>+Actuals!U265</f>
        <v>0</v>
      </c>
      <c r="Y49" s="128">
        <f>+Actuals!V265</f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f>+Actuals!Z265</f>
        <v>0</v>
      </c>
      <c r="AD49" s="127">
        <f>+Actuals!AA265</f>
        <v>0</v>
      </c>
      <c r="AE49" s="128">
        <f>+Actuals!AB265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'TIE-OUT'!T51+RECLASS!R51</f>
        <v>0</v>
      </c>
      <c r="G51" s="38">
        <f>'TIE-OUT'!U51+RECLASS!S51</f>
        <v>0</v>
      </c>
      <c r="H51" s="127">
        <f>+Actuals!E266</f>
        <v>-7953</v>
      </c>
      <c r="I51" s="128">
        <f>+Actuals!F266</f>
        <v>-19445.084999999999</v>
      </c>
      <c r="J51" s="127">
        <f>+Actuals!G266</f>
        <v>-182</v>
      </c>
      <c r="K51" s="147">
        <f>+Actuals!H266</f>
        <v>-444.99</v>
      </c>
      <c r="L51" s="127">
        <f>+Actuals!I266</f>
        <v>203</v>
      </c>
      <c r="M51" s="128">
        <f>+Actuals!J266</f>
        <v>496.33499999999998</v>
      </c>
      <c r="N51" s="127">
        <f>+Actuals!K466</f>
        <v>-170</v>
      </c>
      <c r="O51" s="128">
        <f>+Actuals!L466</f>
        <v>-415.65</v>
      </c>
      <c r="P51" s="127">
        <f>+Actuals!M466</f>
        <v>0</v>
      </c>
      <c r="Q51" s="128">
        <f>+Actuals!N466</f>
        <v>0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-10393487</v>
      </c>
      <c r="E54" s="38">
        <f>SUM(G54,I54,K54,M54,O54,Q54,S54,U54,W54,Y54,AA54,AC54,AE54)</f>
        <v>-356743.61000000004</v>
      </c>
      <c r="F54" s="64">
        <f>'TIE-OUT'!T54+RECLASS!R54</f>
        <v>0</v>
      </c>
      <c r="G54" s="68">
        <f>'TIE-OUT'!U54+RECLASS!S54</f>
        <v>0</v>
      </c>
      <c r="H54" s="127">
        <f>+Actuals!E267</f>
        <v>-5955974</v>
      </c>
      <c r="I54" s="128">
        <f>+Actuals!F267</f>
        <v>-304596.65000000002</v>
      </c>
      <c r="J54" s="127">
        <f>+Actuals!G267</f>
        <v>-5289727</v>
      </c>
      <c r="K54" s="147">
        <f>+Actuals!H267</f>
        <v>-57733.68</v>
      </c>
      <c r="L54" s="127">
        <f>+Actuals!I267</f>
        <v>800979</v>
      </c>
      <c r="M54" s="128">
        <f>+Actuals!J267</f>
        <v>4971.93</v>
      </c>
      <c r="N54" s="127">
        <f>+Actuals!K467</f>
        <v>-18769</v>
      </c>
      <c r="O54" s="128">
        <f>+Actuals!L467</f>
        <v>-842.89</v>
      </c>
      <c r="P54" s="127">
        <f>+Actuals!M467</f>
        <v>61792</v>
      </c>
      <c r="Q54" s="128">
        <f>+Actuals!N467</f>
        <v>74093.039999999994</v>
      </c>
      <c r="R54" s="127">
        <f>+Actuals!O467</f>
        <v>-11792</v>
      </c>
      <c r="S54" s="128">
        <f>+Actuals!P467</f>
        <v>-72812.820000000007</v>
      </c>
      <c r="T54" s="127">
        <f>+Actuals!Q467</f>
        <v>20004</v>
      </c>
      <c r="U54" s="128">
        <f>+Actuals!R467</f>
        <v>177.46</v>
      </c>
      <c r="V54" s="127">
        <f>+Actuals!S267</f>
        <v>0</v>
      </c>
      <c r="W54" s="128">
        <f>+Actuals!T267</f>
        <v>0</v>
      </c>
      <c r="X54" s="127">
        <f>+Actuals!U267</f>
        <v>0</v>
      </c>
      <c r="Y54" s="128">
        <f>+Actuals!V267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-71504.119999999981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-88406.24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-151800.24</v>
      </c>
      <c r="N55" s="127">
        <f>+Actuals!K468</f>
        <v>0</v>
      </c>
      <c r="O55" s="128">
        <f>+Actuals!L468</f>
        <v>95156.84</v>
      </c>
      <c r="P55" s="127">
        <f>+Actuals!M468</f>
        <v>0</v>
      </c>
      <c r="Q55" s="128">
        <f>+Actuals!N468</f>
        <v>72777.52</v>
      </c>
      <c r="R55" s="127">
        <f>+Actuals!O468</f>
        <v>0</v>
      </c>
      <c r="S55" s="128">
        <f>+Actuals!P468</f>
        <v>768</v>
      </c>
      <c r="T55" s="127">
        <f>+Actuals!Q468</f>
        <v>0</v>
      </c>
      <c r="U55" s="128">
        <f>+Actuals!R468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-10393487</v>
      </c>
      <c r="E56" s="39">
        <f t="shared" si="16"/>
        <v>-428247.73000000004</v>
      </c>
      <c r="F56" s="61">
        <f t="shared" si="16"/>
        <v>0</v>
      </c>
      <c r="G56" s="39">
        <f t="shared" si="16"/>
        <v>0</v>
      </c>
      <c r="H56" s="61">
        <f t="shared" si="16"/>
        <v>-5955974</v>
      </c>
      <c r="I56" s="39">
        <f t="shared" si="16"/>
        <v>-393002.89</v>
      </c>
      <c r="J56" s="61">
        <f t="shared" si="16"/>
        <v>-5289727</v>
      </c>
      <c r="K56" s="148">
        <f t="shared" si="16"/>
        <v>-57733.68</v>
      </c>
      <c r="L56" s="61">
        <f t="shared" si="16"/>
        <v>800979</v>
      </c>
      <c r="M56" s="39">
        <f t="shared" si="16"/>
        <v>-146828.31</v>
      </c>
      <c r="N56" s="61">
        <f t="shared" si="16"/>
        <v>-18769</v>
      </c>
      <c r="O56" s="39">
        <f t="shared" si="16"/>
        <v>94313.95</v>
      </c>
      <c r="P56" s="61">
        <f t="shared" ref="P56:U56" si="17">SUM(P54:P55)</f>
        <v>61792</v>
      </c>
      <c r="Q56" s="39">
        <f t="shared" si="17"/>
        <v>146870.56</v>
      </c>
      <c r="R56" s="61">
        <f t="shared" si="17"/>
        <v>-11792</v>
      </c>
      <c r="S56" s="39">
        <f t="shared" si="17"/>
        <v>-72044.820000000007</v>
      </c>
      <c r="T56" s="61">
        <f t="shared" si="17"/>
        <v>20004</v>
      </c>
      <c r="U56" s="39">
        <f t="shared" si="17"/>
        <v>177.46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0</v>
      </c>
      <c r="N59" s="127">
        <f>+Actuals!K469</f>
        <v>0</v>
      </c>
      <c r="O59" s="128">
        <f>+Actuals!L469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+Actuals!K470</f>
        <v>0</v>
      </c>
      <c r="O60" s="128">
        <f>+Actuals!L470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-60657.24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-60000</v>
      </c>
      <c r="J64" s="127">
        <f>+Actuals!G271</f>
        <v>0</v>
      </c>
      <c r="K64" s="147">
        <f>+Actuals!H271</f>
        <v>-657.24</v>
      </c>
      <c r="L64" s="127">
        <f>+Actuals!I271</f>
        <v>0</v>
      </c>
      <c r="M64" s="128">
        <f>+Actuals!J271</f>
        <v>0</v>
      </c>
      <c r="N64" s="127">
        <f>+Actuals!K471</f>
        <v>0</v>
      </c>
      <c r="O64" s="128">
        <f>+Actuals!L471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+Actuals!I272</f>
        <v>0</v>
      </c>
      <c r="M65" s="128">
        <f>+Actuals!J272</f>
        <v>0</v>
      </c>
      <c r="N65" s="127">
        <f>+Actuals!K472</f>
        <v>0</v>
      </c>
      <c r="O65" s="128">
        <f>+Actuals!L472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-60657.24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0</v>
      </c>
      <c r="K66" s="148">
        <f t="shared" si="20"/>
        <v>-657.24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'TIE-OUT'!T70+RECLASS!R70</f>
        <v>0</v>
      </c>
      <c r="G70" s="68">
        <f>'TIE-OUT'!U70+RECLASS!S70</f>
        <v>-876739.35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55">
        <f>+Actuals!H273+35917</f>
        <v>35917</v>
      </c>
      <c r="L70" s="127">
        <f>+Actuals!I273</f>
        <v>0</v>
      </c>
      <c r="M70" s="128">
        <f>+Actuals!J273</f>
        <v>0</v>
      </c>
      <c r="N70" s="127">
        <f>+Actuals!K473</f>
        <v>0</v>
      </c>
      <c r="O70" s="128">
        <f>+Actuals!L473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'TIE-OUT'!T71+RECLASS!R71</f>
        <v>0</v>
      </c>
      <c r="G71" s="82">
        <f>'TIE-OUT'!U71+RECLASS!S71</f>
        <v>1489400.93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+Actuals!K474</f>
        <v>0</v>
      </c>
      <c r="O71" s="128">
        <f>+Actuals!L474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648578.57999999996</v>
      </c>
      <c r="F72" s="61">
        <f t="shared" si="22"/>
        <v>0</v>
      </c>
      <c r="G72" s="39">
        <f t="shared" si="22"/>
        <v>612661.57999999996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35917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+Actuals!K475</f>
        <v>0</v>
      </c>
      <c r="O73" s="128">
        <f>+Actuals!L475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'TIE-OUT'!T74+RECLASS!R74</f>
        <v>0</v>
      </c>
      <c r="G74" s="60">
        <f>'TIE-OUT'!U74+RECLASS!S74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0</v>
      </c>
      <c r="L74" s="127">
        <f>+Actuals!I276</f>
        <v>0</v>
      </c>
      <c r="M74" s="128">
        <f>+Actuals!J276</f>
        <v>0</v>
      </c>
      <c r="N74" s="127">
        <f>+Actuals!K476</f>
        <v>0</v>
      </c>
      <c r="O74" s="128">
        <f>+Actuals!L476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+Actuals!K477</f>
        <v>0</v>
      </c>
      <c r="O75" s="128">
        <f>+Actuals!L477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-1967.5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-1967.5</v>
      </c>
      <c r="L76" s="127">
        <f>+Actuals!I278</f>
        <v>0</v>
      </c>
      <c r="M76" s="128">
        <f>+Actuals!J278</f>
        <v>0</v>
      </c>
      <c r="N76" s="127">
        <f>+Actuals!K478</f>
        <v>0</v>
      </c>
      <c r="O76" s="128">
        <f>+Actuals!L478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+Actuals!K479</f>
        <v>0</v>
      </c>
      <c r="O77" s="128">
        <f>+Actuals!L479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+Actuals!K480</f>
        <v>0</v>
      </c>
      <c r="O78" s="128">
        <f>+Actuals!L480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+Actuals!K481</f>
        <v>0</v>
      </c>
      <c r="O79" s="128">
        <f>+Actuals!L481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+Actuals!K482</f>
        <v>0</v>
      </c>
      <c r="O80" s="128">
        <f>+Actuals!L482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16797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+Actuals!F283+34920-18123</f>
        <v>16797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+Actuals!K483</f>
        <v>0</v>
      </c>
      <c r="O81" s="128">
        <f>+Actuals!L483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781168.8899999999</v>
      </c>
      <c r="F82" s="91">
        <f>F16+F24+F29+F36+F43+F45+F47+F49</f>
        <v>0</v>
      </c>
      <c r="G82" s="92">
        <f>SUM(G72:G81)+G16+G24+G29+G36+G43+G45+G47+G49+G51+G56+G61+G66</f>
        <v>-108101.0600000001</v>
      </c>
      <c r="H82" s="91">
        <f>H16+H24+H29+H36+H43+H45+H47+H49</f>
        <v>0</v>
      </c>
      <c r="I82" s="92">
        <f>SUM(I72:I81)+I16+I24+I29+I36+I43+I45+I47+I49+I51+I56+I61+I66</f>
        <v>1117345.700000002</v>
      </c>
      <c r="J82" s="91">
        <f>J16+J24+J29+J36+J43+J45+J47+J49</f>
        <v>0</v>
      </c>
      <c r="K82" s="161">
        <f>SUM(K72:K81)+K16+K24+K29+K36+K43+K45+K47+K49+K51+K56+K61+K66</f>
        <v>-1133469.4499999993</v>
      </c>
      <c r="L82" s="91">
        <f>L16+L24+L29+L36+L43+L45+L47+L49</f>
        <v>0</v>
      </c>
      <c r="M82" s="92">
        <f>SUM(M72:M81)+M16+M24+M29+M36+M43+M45+M47+M49+M51+M56+M61+M66</f>
        <v>734596.98999999953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I84" s="45"/>
    </row>
    <row r="85" spans="1:67" x14ac:dyDescent="0.25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5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5"/>
      <c r="B91" s="176"/>
      <c r="C91" s="181" t="s">
        <v>172</v>
      </c>
      <c r="D91" s="179">
        <f>+D82+D89</f>
        <v>0</v>
      </c>
      <c r="E91" s="179">
        <f t="shared" ref="E91:M91" si="28">+E82+E89</f>
        <v>781168.8899999999</v>
      </c>
      <c r="F91" s="179">
        <f t="shared" si="28"/>
        <v>0</v>
      </c>
      <c r="G91" s="179">
        <f t="shared" si="28"/>
        <v>-108101.0600000001</v>
      </c>
      <c r="H91" s="179">
        <f t="shared" si="28"/>
        <v>0</v>
      </c>
      <c r="I91" s="179">
        <f t="shared" si="28"/>
        <v>1117345.700000002</v>
      </c>
      <c r="J91" s="179">
        <f t="shared" si="28"/>
        <v>0</v>
      </c>
      <c r="K91" s="179">
        <f t="shared" si="28"/>
        <v>-1133469.4499999993</v>
      </c>
      <c r="L91" s="179">
        <f t="shared" si="28"/>
        <v>0</v>
      </c>
      <c r="M91" s="179">
        <f t="shared" si="28"/>
        <v>734596.98999999953</v>
      </c>
      <c r="N91" s="179">
        <f t="shared" ref="N91:AE91" si="29">+N82+N89</f>
        <v>0</v>
      </c>
      <c r="O91" s="179">
        <f t="shared" si="29"/>
        <v>-826944.42500000319</v>
      </c>
      <c r="P91" s="179">
        <f t="shared" si="29"/>
        <v>0</v>
      </c>
      <c r="Q91" s="179">
        <f t="shared" si="29"/>
        <v>1079670.56</v>
      </c>
      <c r="R91" s="179">
        <f t="shared" si="29"/>
        <v>0</v>
      </c>
      <c r="S91" s="179">
        <f t="shared" si="29"/>
        <v>-79086.924999999712</v>
      </c>
      <c r="T91" s="179">
        <f t="shared" si="29"/>
        <v>0</v>
      </c>
      <c r="U91" s="179">
        <f t="shared" si="29"/>
        <v>-2842.5000000000018</v>
      </c>
      <c r="V91" s="179">
        <f t="shared" si="29"/>
        <v>0</v>
      </c>
      <c r="W91" s="179">
        <f t="shared" si="29"/>
        <v>0</v>
      </c>
      <c r="X91" s="179">
        <f t="shared" si="29"/>
        <v>0</v>
      </c>
      <c r="Y91" s="179">
        <f t="shared" si="29"/>
        <v>0</v>
      </c>
      <c r="Z91" s="179">
        <f t="shared" si="29"/>
        <v>0</v>
      </c>
      <c r="AA91" s="179">
        <f t="shared" si="29"/>
        <v>0</v>
      </c>
      <c r="AB91" s="179">
        <f t="shared" si="29"/>
        <v>0</v>
      </c>
      <c r="AC91" s="179">
        <f t="shared" si="29"/>
        <v>0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H32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115439</v>
      </c>
      <c r="E11" s="38">
        <f>SUM(G11,I11,K11,M11,O11,Q11,S11,U11,W11,Y11,AA11,AC11,AE11)</f>
        <v>295639.28000000003</v>
      </c>
      <c r="F11" s="60">
        <f>'TIE-OUT'!R11+RECLASS!P11</f>
        <v>0</v>
      </c>
      <c r="G11" s="38">
        <f>'TIE-OUT'!S11+RECLASS!Q11</f>
        <v>0</v>
      </c>
      <c r="H11" s="127">
        <f>+Actuals!E4</f>
        <v>115815</v>
      </c>
      <c r="I11" s="128">
        <f>+Actuals!F4</f>
        <v>296602.21000000002</v>
      </c>
      <c r="J11" s="127">
        <f>+Actuals!G4</f>
        <v>-376</v>
      </c>
      <c r="K11" s="147">
        <f>+Actuals!H4</f>
        <v>-962.93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'TIE-OUT'!R12+RECLASS!P12</f>
        <v>0</v>
      </c>
      <c r="G12" s="38">
        <f>'TIE-OUT'!S12+RECLASS!Q12</f>
        <v>-2901.6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115439</v>
      </c>
      <c r="E16" s="39">
        <f>SUM(E11:E15)</f>
        <v>292737.68000000005</v>
      </c>
      <c r="F16" s="61">
        <f t="shared" ref="F16:AE16" si="1">SUM(F11:F15)</f>
        <v>0</v>
      </c>
      <c r="G16" s="39">
        <f t="shared" si="1"/>
        <v>-2901.6</v>
      </c>
      <c r="H16" s="61">
        <f t="shared" si="1"/>
        <v>115815</v>
      </c>
      <c r="I16" s="39">
        <f t="shared" si="1"/>
        <v>296602.21000000002</v>
      </c>
      <c r="J16" s="61">
        <f t="shared" si="1"/>
        <v>-376</v>
      </c>
      <c r="K16" s="148">
        <f t="shared" si="1"/>
        <v>-962.93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'TIE-OUT'!R19+RECLASS!P19</f>
        <v>0</v>
      </c>
      <c r="G19" s="68">
        <f>'TIE-OUT'!S19+RECLASS!Q19</f>
        <v>0</v>
      </c>
      <c r="H19" s="127">
        <f>+Actuals!E9</f>
        <v>0</v>
      </c>
      <c r="I19" s="128">
        <f>+Actuals!F9</f>
        <v>0</v>
      </c>
      <c r="J19" s="127">
        <f>+Actuals!G9</f>
        <v>0</v>
      </c>
      <c r="K19" s="147">
        <f>+Actuals!H9</f>
        <v>0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2364084.0499999998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0</v>
      </c>
      <c r="K27" s="147">
        <f>+Actuals!H14</f>
        <v>0</v>
      </c>
      <c r="L27" s="127">
        <f>+Actuals!I14</f>
        <v>0</v>
      </c>
      <c r="M27" s="128">
        <f>+Actuals!J14</f>
        <v>2364084.0499999998</v>
      </c>
      <c r="N27" s="127">
        <f>+Actuals!K14</f>
        <v>0</v>
      </c>
      <c r="O27" s="128">
        <f>+Actuals!L14</f>
        <v>0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-115439</v>
      </c>
      <c r="E28" s="38">
        <f>SUM(G28,I28,K28,M28,O28,Q28,S28,U28,W28,Y28,AA28,AC28,AE28)</f>
        <v>-2657299.11</v>
      </c>
      <c r="F28" s="81">
        <f>'TIE-OUT'!R28+RECLASS!P28</f>
        <v>0</v>
      </c>
      <c r="G28" s="82">
        <f>'TIE-OUT'!S28+RECLASS!Q28</f>
        <v>0</v>
      </c>
      <c r="H28" s="127">
        <f>+Actuals!E15</f>
        <v>-115815</v>
      </c>
      <c r="I28" s="128">
        <f>+Actuals!F15</f>
        <v>-294170.09999999998</v>
      </c>
      <c r="J28" s="127">
        <f>+Actuals!G15</f>
        <v>376</v>
      </c>
      <c r="K28" s="147">
        <f>+Actuals!H15</f>
        <v>955.04</v>
      </c>
      <c r="L28" s="127">
        <f>+Actuals!I15</f>
        <v>0</v>
      </c>
      <c r="M28" s="128">
        <f>+Actuals!J15</f>
        <v>-2364084.0499999998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-115439</v>
      </c>
      <c r="E29" s="39">
        <f>SUM(E27:E28)</f>
        <v>-293215.06000000006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-115815</v>
      </c>
      <c r="I29" s="39">
        <f t="shared" si="6"/>
        <v>-294170.09999999998</v>
      </c>
      <c r="J29" s="61">
        <f t="shared" si="6"/>
        <v>376</v>
      </c>
      <c r="K29" s="148">
        <f t="shared" si="6"/>
        <v>955.04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822.38</v>
      </c>
      <c r="F64" s="64">
        <f>'TIE-OUT'!R64+RECLASS!P64</f>
        <v>0</v>
      </c>
      <c r="G64" s="68">
        <f>'TIE-OUT'!S64+RECLASS!Q64</f>
        <v>0</v>
      </c>
      <c r="H64" s="127">
        <f>+Actuals!E31</f>
        <v>0</v>
      </c>
      <c r="I64" s="128">
        <f>+Actuals!F31</f>
        <v>822.38</v>
      </c>
      <c r="J64" s="127">
        <f>+Actuals!G31</f>
        <v>0</v>
      </c>
      <c r="K64" s="147">
        <f>+Actuals!H31</f>
        <v>0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822.38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822.38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344.55999999999483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3254.4900000000443</v>
      </c>
      <c r="J82" s="91">
        <f>J16+J24+J29+J36+J43+J45+J47+J49</f>
        <v>0</v>
      </c>
      <c r="K82" s="110">
        <f>SUM(K72:K81)+K16+K24+K29+K36+K43+K45+K47+K49+K51+K56+K61+K66</f>
        <v>-7.8899999999999864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Q69" activePane="bottomRight" state="frozen"/>
      <selection activeCell="Q642" sqref="Q642"/>
      <selection pane="topRight" activeCell="Q642" sqref="Q642"/>
      <selection pane="bottomLeft" activeCell="Q642" sqref="Q642"/>
      <selection pane="bottomRight" activeCell="U87" sqref="U87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35178769</v>
      </c>
      <c r="E11" s="38">
        <f>SUM(G11,I11,K11,M11,O11,Q11,S11,U11,W11,Y11,AA11,AC11,AE11)</f>
        <v>90172216</v>
      </c>
      <c r="F11" s="60">
        <f>'TIE-OUT'!V11+RECLASS!T11</f>
        <v>0</v>
      </c>
      <c r="G11" s="38">
        <f>'TIE-OUT'!W11+RECLASS!U11</f>
        <v>0</v>
      </c>
      <c r="H11" s="127">
        <v>34696393</v>
      </c>
      <c r="I11" s="127">
        <v>89242171</v>
      </c>
      <c r="J11" s="127">
        <v>578506</v>
      </c>
      <c r="K11" s="193">
        <v>779780</v>
      </c>
      <c r="L11" s="127">
        <v>-136029</v>
      </c>
      <c r="M11" s="128">
        <v>51198</v>
      </c>
      <c r="N11" s="127">
        <v>6704</v>
      </c>
      <c r="O11" s="128">
        <v>18949</v>
      </c>
      <c r="P11" s="127">
        <v>6343</v>
      </c>
      <c r="Q11" s="128">
        <v>15119</v>
      </c>
      <c r="R11" s="127">
        <v>-455</v>
      </c>
      <c r="S11" s="128">
        <v>-1611</v>
      </c>
      <c r="T11" s="127">
        <v>27307</v>
      </c>
      <c r="U11" s="128">
        <v>66610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-1703198</v>
      </c>
      <c r="F12" s="60">
        <f>'TIE-OUT'!V12+RECLASS!T12</f>
        <v>0</v>
      </c>
      <c r="G12" s="38">
        <f>'TIE-OUT'!W12+RECLASS!U12</f>
        <v>-164978</v>
      </c>
      <c r="H12" s="127">
        <v>0</v>
      </c>
      <c r="I12" s="127">
        <v>0</v>
      </c>
      <c r="J12" s="127">
        <v>0</v>
      </c>
      <c r="K12" s="209">
        <v>-1538220</v>
      </c>
      <c r="L12" s="127">
        <v>0</v>
      </c>
      <c r="M12" s="128"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v>0</v>
      </c>
      <c r="M13" s="128"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v>0</v>
      </c>
      <c r="M14" s="128"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7">
        <v>0</v>
      </c>
      <c r="I15" s="127">
        <v>0</v>
      </c>
      <c r="J15" s="127">
        <v>0</v>
      </c>
      <c r="K15" s="193">
        <v>0</v>
      </c>
      <c r="L15" s="127">
        <v>0</v>
      </c>
      <c r="M15" s="128"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35178769</v>
      </c>
      <c r="E16" s="39">
        <f>SUM(E11:E15)</f>
        <v>88469018</v>
      </c>
      <c r="F16" s="61">
        <f t="shared" ref="F16:AE16" si="1">SUM(F11:F15)</f>
        <v>0</v>
      </c>
      <c r="G16" s="39">
        <f t="shared" si="1"/>
        <v>-164978</v>
      </c>
      <c r="H16" s="61">
        <f t="shared" si="1"/>
        <v>34696393</v>
      </c>
      <c r="I16" s="61">
        <f t="shared" si="1"/>
        <v>89242171</v>
      </c>
      <c r="J16" s="61">
        <f t="shared" si="1"/>
        <v>578506</v>
      </c>
      <c r="K16" s="191">
        <f t="shared" si="1"/>
        <v>-758440</v>
      </c>
      <c r="L16" s="61">
        <f t="shared" si="1"/>
        <v>-136029</v>
      </c>
      <c r="M16" s="39">
        <f t="shared" si="1"/>
        <v>51198</v>
      </c>
      <c r="N16" s="61">
        <f t="shared" si="1"/>
        <v>6704</v>
      </c>
      <c r="O16" s="39">
        <f t="shared" si="1"/>
        <v>18949</v>
      </c>
      <c r="P16" s="61">
        <f t="shared" ref="P16:U16" si="2">SUM(P11:P15)</f>
        <v>6343</v>
      </c>
      <c r="Q16" s="39">
        <f t="shared" si="2"/>
        <v>15119</v>
      </c>
      <c r="R16" s="61">
        <f t="shared" si="2"/>
        <v>-455</v>
      </c>
      <c r="S16" s="39">
        <f t="shared" si="2"/>
        <v>-1611</v>
      </c>
      <c r="T16" s="61">
        <f t="shared" si="2"/>
        <v>27307</v>
      </c>
      <c r="U16" s="39">
        <f t="shared" si="2"/>
        <v>66610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-47772054</v>
      </c>
      <c r="E19" s="38">
        <f t="shared" si="3"/>
        <v>-118029189</v>
      </c>
      <c r="F19" s="64">
        <f>'TIE-OUT'!V19+RECLASS!T19</f>
        <v>0</v>
      </c>
      <c r="G19" s="68">
        <f>'TIE-OUT'!W19+RECLASS!U19</f>
        <v>0</v>
      </c>
      <c r="H19" s="127">
        <v>-48457020</v>
      </c>
      <c r="I19" s="127">
        <v>-119679814</v>
      </c>
      <c r="J19" s="127">
        <v>270077</v>
      </c>
      <c r="K19" s="193">
        <v>667685</v>
      </c>
      <c r="L19" s="127">
        <v>331429</v>
      </c>
      <c r="M19" s="128">
        <v>755179</v>
      </c>
      <c r="N19" s="127">
        <v>181063</v>
      </c>
      <c r="O19" s="128">
        <v>414313</v>
      </c>
      <c r="P19" s="127">
        <v>11432</v>
      </c>
      <c r="Q19" s="128">
        <v>68743</v>
      </c>
      <c r="R19" s="127">
        <v>-13285</v>
      </c>
      <c r="S19" s="128">
        <v>-6855</v>
      </c>
      <c r="T19" s="127">
        <v>-95750</v>
      </c>
      <c r="U19" s="128">
        <v>-248440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-3633160.93</v>
      </c>
      <c r="F20" s="60">
        <f>'TIE-OUT'!V20+RECLASS!T20</f>
        <v>0</v>
      </c>
      <c r="G20" s="38">
        <f>'TIE-OUT'!W20+RECLASS!U20</f>
        <v>-3633160.93</v>
      </c>
      <c r="H20" s="127">
        <v>0</v>
      </c>
      <c r="I20" s="127">
        <v>0</v>
      </c>
      <c r="J20" s="127">
        <v>0</v>
      </c>
      <c r="K20" s="209">
        <v>0</v>
      </c>
      <c r="L20" s="127">
        <v>0</v>
      </c>
      <c r="M20" s="128"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v>0</v>
      </c>
      <c r="M21" s="128"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v>0</v>
      </c>
      <c r="M22" s="128"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v>0</v>
      </c>
      <c r="M23" s="128"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-47772054</v>
      </c>
      <c r="E24" s="39">
        <f>SUM(E19:E23)</f>
        <v>-121662349.93000001</v>
      </c>
      <c r="F24" s="61">
        <f t="shared" ref="F24:AE24" si="4">SUM(F19:F23)</f>
        <v>0</v>
      </c>
      <c r="G24" s="39">
        <f t="shared" si="4"/>
        <v>-3633160.93</v>
      </c>
      <c r="H24" s="61">
        <f t="shared" si="4"/>
        <v>-48457020</v>
      </c>
      <c r="I24" s="61">
        <f t="shared" si="4"/>
        <v>-119679814</v>
      </c>
      <c r="J24" s="61">
        <f t="shared" si="4"/>
        <v>270077</v>
      </c>
      <c r="K24" s="191">
        <f t="shared" si="4"/>
        <v>667685</v>
      </c>
      <c r="L24" s="61">
        <f t="shared" si="4"/>
        <v>331429</v>
      </c>
      <c r="M24" s="39">
        <f t="shared" si="4"/>
        <v>755179</v>
      </c>
      <c r="N24" s="61">
        <f t="shared" si="4"/>
        <v>181063</v>
      </c>
      <c r="O24" s="39">
        <f t="shared" si="4"/>
        <v>414313</v>
      </c>
      <c r="P24" s="61">
        <f t="shared" ref="P24:U24" si="5">SUM(P19:P23)</f>
        <v>11432</v>
      </c>
      <c r="Q24" s="39">
        <f t="shared" si="5"/>
        <v>68743</v>
      </c>
      <c r="R24" s="61">
        <f t="shared" si="5"/>
        <v>-13285</v>
      </c>
      <c r="S24" s="39">
        <f t="shared" si="5"/>
        <v>-6855</v>
      </c>
      <c r="T24" s="61">
        <f t="shared" si="5"/>
        <v>-95750</v>
      </c>
      <c r="U24" s="39">
        <f t="shared" si="5"/>
        <v>-248440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13452761</v>
      </c>
      <c r="E27" s="38">
        <f>SUM(G27,I27,K27,M27,O27,Q27,S27,U27,W27,Y27,AA27,AC27,AE27)</f>
        <v>36137901</v>
      </c>
      <c r="F27" s="64">
        <f>'TIE-OUT'!V27+RECLASS!T27</f>
        <v>0</v>
      </c>
      <c r="G27" s="68">
        <f>'TIE-OUT'!W27+RECLASS!U27</f>
        <v>0</v>
      </c>
      <c r="H27" s="127">
        <f>8523134+118371</f>
        <v>8641505</v>
      </c>
      <c r="I27" s="127">
        <f>22810515+299916</f>
        <v>23110431</v>
      </c>
      <c r="J27" s="127">
        <f>5243118-2932</f>
        <v>5240186</v>
      </c>
      <c r="K27" s="193">
        <f>14186153+318991</f>
        <v>14505144</v>
      </c>
      <c r="L27" s="127">
        <v>-470176</v>
      </c>
      <c r="M27" s="128">
        <f>-1266253-325692</f>
        <v>-1591945</v>
      </c>
      <c r="N27" s="127">
        <v>332847</v>
      </c>
      <c r="O27" s="128">
        <v>971681</v>
      </c>
      <c r="P27" s="127">
        <v>-304233</v>
      </c>
      <c r="Q27" s="128">
        <v>-886735</v>
      </c>
      <c r="R27" s="127">
        <v>10728</v>
      </c>
      <c r="S27" s="128">
        <v>24458</v>
      </c>
      <c r="T27" s="127">
        <v>1904</v>
      </c>
      <c r="U27" s="128">
        <v>4867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-4170254</v>
      </c>
      <c r="E28" s="38">
        <f>SUM(G28,I28,K28,M28,O28,Q28,S28,U28,W28,Y28,AA28,AC28,AE28)</f>
        <v>-10950197</v>
      </c>
      <c r="F28" s="81">
        <f>'TIE-OUT'!V28+RECLASS!T28</f>
        <v>0</v>
      </c>
      <c r="G28" s="82">
        <f>'TIE-OUT'!W28+RECLASS!U28</f>
        <v>0</v>
      </c>
      <c r="H28" s="127">
        <v>-4018623</v>
      </c>
      <c r="I28" s="127">
        <v>-10554858</v>
      </c>
      <c r="J28" s="127">
        <v>35089</v>
      </c>
      <c r="K28" s="193">
        <v>106687</v>
      </c>
      <c r="L28" s="127">
        <v>-186781</v>
      </c>
      <c r="M28" s="128">
        <v>-502199</v>
      </c>
      <c r="N28" s="127">
        <v>61</v>
      </c>
      <c r="O28" s="128">
        <v>173</v>
      </c>
      <c r="P28" s="127"/>
      <c r="Q28" s="128"/>
      <c r="R28" s="127"/>
      <c r="S28" s="128"/>
      <c r="T28" s="127"/>
      <c r="U28" s="128"/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9282507</v>
      </c>
      <c r="E29" s="39">
        <f>SUM(E27:E28)</f>
        <v>25187704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4622882</v>
      </c>
      <c r="I29" s="61">
        <f t="shared" si="6"/>
        <v>12555573</v>
      </c>
      <c r="J29" s="61">
        <f t="shared" si="6"/>
        <v>5275275</v>
      </c>
      <c r="K29" s="191">
        <f t="shared" si="6"/>
        <v>14611831</v>
      </c>
      <c r="L29" s="61">
        <f t="shared" si="6"/>
        <v>-656957</v>
      </c>
      <c r="M29" s="39">
        <f t="shared" si="6"/>
        <v>-2094144</v>
      </c>
      <c r="N29" s="61">
        <f t="shared" si="6"/>
        <v>332908</v>
      </c>
      <c r="O29" s="39">
        <f t="shared" si="6"/>
        <v>971854</v>
      </c>
      <c r="P29" s="61">
        <f t="shared" ref="P29:U29" si="7">SUM(P27:P28)</f>
        <v>-304233</v>
      </c>
      <c r="Q29" s="39">
        <f t="shared" si="7"/>
        <v>-886735</v>
      </c>
      <c r="R29" s="61">
        <f t="shared" si="7"/>
        <v>10728</v>
      </c>
      <c r="S29" s="39">
        <f t="shared" si="7"/>
        <v>24458</v>
      </c>
      <c r="T29" s="61">
        <f t="shared" si="7"/>
        <v>1904</v>
      </c>
      <c r="U29" s="39">
        <f t="shared" si="7"/>
        <v>4867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-22734</v>
      </c>
      <c r="E32" s="38">
        <f t="shared" si="8"/>
        <v>-55586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-317071</v>
      </c>
      <c r="K32" s="193">
        <v>-786653</v>
      </c>
      <c r="L32" s="127">
        <v>512265</v>
      </c>
      <c r="M32" s="128">
        <v>1263902</v>
      </c>
      <c r="N32" s="127">
        <v>-159233</v>
      </c>
      <c r="O32" s="128">
        <v>-389325</v>
      </c>
      <c r="P32" s="127"/>
      <c r="Q32" s="128"/>
      <c r="R32" s="127">
        <v>-38835</v>
      </c>
      <c r="S32" s="128">
        <v>-94952</v>
      </c>
      <c r="T32" s="127">
        <v>-19860</v>
      </c>
      <c r="U32" s="128">
        <v>-48558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v>0</v>
      </c>
      <c r="M33" s="128"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v>0</v>
      </c>
      <c r="M34" s="128"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v>0</v>
      </c>
      <c r="M35" s="128"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-22734</v>
      </c>
      <c r="E36" s="39">
        <f>SUM(E32:E35)</f>
        <v>-55586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-317071</v>
      </c>
      <c r="K36" s="191">
        <f t="shared" si="9"/>
        <v>-786653</v>
      </c>
      <c r="L36" s="61">
        <f t="shared" si="9"/>
        <v>512265</v>
      </c>
      <c r="M36" s="39">
        <f t="shared" si="9"/>
        <v>1263902</v>
      </c>
      <c r="N36" s="61">
        <f t="shared" si="9"/>
        <v>-159233</v>
      </c>
      <c r="O36" s="39">
        <f t="shared" si="9"/>
        <v>-389325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-38835</v>
      </c>
      <c r="S36" s="39">
        <f t="shared" si="10"/>
        <v>-94952</v>
      </c>
      <c r="T36" s="61">
        <f t="shared" si="10"/>
        <v>-19860</v>
      </c>
      <c r="U36" s="39">
        <f t="shared" si="10"/>
        <v>-48558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3184548</v>
      </c>
      <c r="E39" s="38">
        <f t="shared" si="11"/>
        <v>7882394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3184889</v>
      </c>
      <c r="K39" s="193">
        <v>7942158</v>
      </c>
      <c r="L39" s="127">
        <v>0</v>
      </c>
      <c r="M39" s="128">
        <v>-58920</v>
      </c>
      <c r="N39" s="127">
        <v>-341</v>
      </c>
      <c r="O39" s="128">
        <v>-844</v>
      </c>
      <c r="P39" s="127"/>
      <c r="Q39" s="128"/>
      <c r="R39" s="127"/>
      <c r="S39" s="128"/>
      <c r="T39" s="127"/>
      <c r="U39" s="128"/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0</v>
      </c>
      <c r="K40" s="193">
        <v>0</v>
      </c>
      <c r="L40" s="127">
        <v>0</v>
      </c>
      <c r="M40" s="128"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182951</v>
      </c>
      <c r="F41" s="81">
        <f>'TIE-OUT'!V41+RECLASS!T41</f>
        <v>0</v>
      </c>
      <c r="G41" s="82">
        <f>'TIE-OUT'!W41+RECLASS!U41</f>
        <v>0</v>
      </c>
      <c r="H41" s="127">
        <v>0</v>
      </c>
      <c r="I41" s="127">
        <v>0</v>
      </c>
      <c r="J41" s="127">
        <v>0</v>
      </c>
      <c r="K41" s="193">
        <v>0</v>
      </c>
      <c r="L41" s="127">
        <v>0</v>
      </c>
      <c r="M41" s="128"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58">
        <v>182951</v>
      </c>
      <c r="T41" s="127"/>
      <c r="U41" s="128"/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182951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1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182951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3184548</v>
      </c>
      <c r="E43" s="39">
        <f>E42+E39</f>
        <v>8065345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3184889</v>
      </c>
      <c r="K43" s="191">
        <f t="shared" si="14"/>
        <v>7942158</v>
      </c>
      <c r="L43" s="61">
        <f t="shared" si="14"/>
        <v>0</v>
      </c>
      <c r="M43" s="39">
        <f t="shared" si="14"/>
        <v>-58920</v>
      </c>
      <c r="N43" s="61">
        <f t="shared" si="14"/>
        <v>-341</v>
      </c>
      <c r="O43" s="39">
        <f t="shared" si="14"/>
        <v>-844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182951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v>0</v>
      </c>
      <c r="M45" s="128"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v>0</v>
      </c>
      <c r="M47" s="128">
        <v>0</v>
      </c>
      <c r="N47" s="127">
        <f>+Actuals!K24</f>
        <v>0</v>
      </c>
      <c r="O47" s="128">
        <f>+Actuals!L24</f>
        <v>0</v>
      </c>
      <c r="P47" s="127"/>
      <c r="Q47" s="128"/>
      <c r="R47" s="127"/>
      <c r="S47" s="128"/>
      <c r="T47" s="127"/>
      <c r="U47" s="128"/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148964</v>
      </c>
      <c r="E49" s="38">
        <f>SUM(G49,I49,K49,M49,O49,Q49,S49,U49,W49,Y49,AA49,AC49,AE49)</f>
        <v>369579</v>
      </c>
      <c r="F49" s="60">
        <f>'TIE-OUT'!V49+RECLASS!T49</f>
        <v>0</v>
      </c>
      <c r="G49" s="38">
        <f>'TIE-OUT'!W49+RECLASS!U49</f>
        <v>0</v>
      </c>
      <c r="H49" s="127">
        <v>9137745</v>
      </c>
      <c r="I49" s="127">
        <v>22341787</v>
      </c>
      <c r="J49" s="127">
        <v>-8991676</v>
      </c>
      <c r="K49" s="193">
        <v>-21979389</v>
      </c>
      <c r="L49" s="127">
        <v>-50708</v>
      </c>
      <c r="M49" s="128">
        <v>-125807</v>
      </c>
      <c r="N49" s="127">
        <v>-361101</v>
      </c>
      <c r="O49" s="128">
        <v>-895892</v>
      </c>
      <c r="P49" s="127">
        <v>286458</v>
      </c>
      <c r="Q49" s="128">
        <v>710702</v>
      </c>
      <c r="R49" s="127">
        <v>41847</v>
      </c>
      <c r="S49" s="128">
        <v>103822</v>
      </c>
      <c r="T49" s="127">
        <v>86399</v>
      </c>
      <c r="U49" s="128">
        <v>214356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127">
        <v>0</v>
      </c>
      <c r="M50" s="128">
        <v>0</v>
      </c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v>0</v>
      </c>
      <c r="M51" s="128"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-1393008</v>
      </c>
      <c r="F54" s="64">
        <f>'TIE-OUT'!V54+RECLASS!T54</f>
        <v>0</v>
      </c>
      <c r="G54" s="68">
        <f>'TIE-OUT'!W54+RECLASS!U54</f>
        <v>-1393008</v>
      </c>
      <c r="H54" s="127">
        <v>0</v>
      </c>
      <c r="I54" s="127">
        <v>0</v>
      </c>
      <c r="J54" s="127">
        <f>-2980308+2980308</f>
        <v>0</v>
      </c>
      <c r="K54" s="193">
        <v>-363017</v>
      </c>
      <c r="L54" s="127">
        <v>0</v>
      </c>
      <c r="M54" s="155">
        <v>363017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'TIE-OUT'!V55+RECLASS!T55</f>
        <v>0</v>
      </c>
      <c r="G55" s="82">
        <f>'TIE-OUT'!W55+RECLASS!U55</f>
        <v>0</v>
      </c>
      <c r="H55" s="127">
        <v>0</v>
      </c>
      <c r="I55" s="127">
        <v>0</v>
      </c>
      <c r="J55" s="127">
        <v>0</v>
      </c>
      <c r="K55" s="193">
        <v>0</v>
      </c>
      <c r="L55" s="127">
        <v>0</v>
      </c>
      <c r="M55" s="128"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-1393008</v>
      </c>
      <c r="F56" s="61">
        <f t="shared" ref="F56:AE56" si="16">SUM(F54:F55)</f>
        <v>0</v>
      </c>
      <c r="G56" s="39">
        <f t="shared" si="16"/>
        <v>-1393008</v>
      </c>
      <c r="H56" s="61">
        <f t="shared" si="16"/>
        <v>0</v>
      </c>
      <c r="I56" s="61">
        <f t="shared" si="16"/>
        <v>0</v>
      </c>
      <c r="J56" s="61">
        <f t="shared" si="16"/>
        <v>0</v>
      </c>
      <c r="K56" s="191">
        <f t="shared" si="16"/>
        <v>-363017</v>
      </c>
      <c r="L56" s="61">
        <f t="shared" si="16"/>
        <v>0</v>
      </c>
      <c r="M56" s="39">
        <f t="shared" si="16"/>
        <v>363017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v>0</v>
      </c>
      <c r="M59" s="128"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v>0</v>
      </c>
      <c r="M60" s="128"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27">
        <v>0</v>
      </c>
      <c r="I64" s="127">
        <v>0</v>
      </c>
      <c r="J64" s="127">
        <v>0</v>
      </c>
      <c r="K64" s="193">
        <f>2627-2627</f>
        <v>0</v>
      </c>
      <c r="L64" s="127">
        <v>0</v>
      </c>
      <c r="M64" s="128">
        <v>0</v>
      </c>
      <c r="N64" s="127">
        <f>+Actuals!K31</f>
        <v>0</v>
      </c>
      <c r="O64" s="128">
        <f>+Actuals!L31</f>
        <v>0</v>
      </c>
      <c r="P64" s="127"/>
      <c r="Q64" s="128"/>
      <c r="R64" s="127"/>
      <c r="S64" s="128"/>
      <c r="T64" s="127"/>
      <c r="U64" s="128"/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v>0</v>
      </c>
      <c r="M65" s="128">
        <v>0</v>
      </c>
      <c r="N65" s="127">
        <f>+Actuals!K32</f>
        <v>0</v>
      </c>
      <c r="O65" s="128">
        <f>+Actuals!L32</f>
        <v>0</v>
      </c>
      <c r="P65" s="127"/>
      <c r="Q65" s="128"/>
      <c r="R65" s="127"/>
      <c r="S65" s="128"/>
      <c r="T65" s="127"/>
      <c r="U65" s="128"/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0</v>
      </c>
      <c r="K66" s="191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v>0</v>
      </c>
      <c r="M70" s="128"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v>0</v>
      </c>
      <c r="M71" s="128"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v>0</v>
      </c>
      <c r="M73" s="128"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2667713</v>
      </c>
      <c r="F74" s="60">
        <f>'TIE-OUT'!V74+RECLASS!T74</f>
        <v>0</v>
      </c>
      <c r="G74" s="60">
        <f>'TIE-OUT'!W74+RECLASS!U74</f>
        <v>2667713</v>
      </c>
      <c r="H74" s="127">
        <v>0</v>
      </c>
      <c r="I74" s="127">
        <v>0</v>
      </c>
      <c r="J74" s="127">
        <v>0</v>
      </c>
      <c r="K74" s="193">
        <v>0</v>
      </c>
      <c r="L74" s="127">
        <v>0</v>
      </c>
      <c r="M74" s="128"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v>0</v>
      </c>
      <c r="M75" s="128"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'TIE-OUT'!V76+RECLASS!T76</f>
        <v>0</v>
      </c>
      <c r="G76" s="60">
        <f>'TIE-OUT'!W76+RECLASS!U76</f>
        <v>0</v>
      </c>
      <c r="H76" s="127">
        <v>0</v>
      </c>
      <c r="I76" s="127">
        <v>0</v>
      </c>
      <c r="J76" s="127">
        <v>0</v>
      </c>
      <c r="K76" s="193">
        <v>0</v>
      </c>
      <c r="L76" s="127">
        <v>0</v>
      </c>
      <c r="M76" s="128"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-8162</v>
      </c>
      <c r="F77" s="60">
        <f>'TIE-OUT'!V77+RECLASS!T77</f>
        <v>0</v>
      </c>
      <c r="G77" s="60">
        <f>'TIE-OUT'!W77+RECLASS!U77</f>
        <v>-8162</v>
      </c>
      <c r="H77" s="127">
        <v>0</v>
      </c>
      <c r="I77" s="127">
        <v>0</v>
      </c>
      <c r="J77" s="127">
        <v>0</v>
      </c>
      <c r="K77" s="193">
        <v>0</v>
      </c>
      <c r="L77" s="127">
        <v>0</v>
      </c>
      <c r="M77" s="128"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v>0</v>
      </c>
      <c r="M78" s="128"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v>0</v>
      </c>
      <c r="M79" s="128"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v>0</v>
      </c>
      <c r="M80" s="128"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27">
        <v>0</v>
      </c>
      <c r="I81" s="127">
        <v>0</v>
      </c>
      <c r="J81" s="127">
        <v>0</v>
      </c>
      <c r="K81" s="193">
        <v>0</v>
      </c>
      <c r="L81" s="127">
        <v>0</v>
      </c>
      <c r="M81" s="128"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1700253.0699999928</v>
      </c>
      <c r="F82" s="91">
        <f>F16+F24+F29+F36+F43+F45+F47+F49</f>
        <v>0</v>
      </c>
      <c r="G82" s="92">
        <f>SUM(G72:G81)+G16+G24+G29+G36+G43+G45+G47+G49+G51+G56+G61+G66</f>
        <v>-2531595.9300000002</v>
      </c>
      <c r="H82" s="91">
        <f>H16+H24+H29+H36+H43+H45+H47+H49</f>
        <v>0</v>
      </c>
      <c r="I82" s="92">
        <f>SUM(I72:I81)+I16+I24+I29+I36+I43+I45+I47+I49+I51+I56+I61+I66</f>
        <v>4519717</v>
      </c>
      <c r="J82" s="91">
        <f>J16+J24+J29+J36+J43+J45+J47+J49</f>
        <v>0</v>
      </c>
      <c r="K82" s="110">
        <f>SUM(K72:K81)+K16+K24+K29+K36+K43+K45+K47+K49+K51+K56+K61+K66</f>
        <v>-665825</v>
      </c>
      <c r="L82" s="91">
        <f>L16+L24+L29+L36+L43+L45+L47+L49</f>
        <v>0</v>
      </c>
      <c r="M82" s="156">
        <f>SUM(M72:M81)+M16+M24+M29+M36+M43+M45+M47+M49+M51+M56+M61+M66</f>
        <v>154425</v>
      </c>
      <c r="N82" s="91">
        <f>N16+N24+N29+N36+N43+N45+N47+N49</f>
        <v>0</v>
      </c>
      <c r="O82" s="92">
        <f>SUM(O72:O81)+O16+O24+O29+O36+O43+O45+O47+O49+O51+O56+O61+O66</f>
        <v>119055</v>
      </c>
      <c r="P82" s="91">
        <f>P16+P24+P29+P36+P43+P45+P47+P49</f>
        <v>0</v>
      </c>
      <c r="Q82" s="92">
        <f>SUM(Q72:Q81)+Q16+Q24+Q29+Q36+Q43+Q45+Q47+Q49+Q51+Q56+Q61+Q66</f>
        <v>-92171</v>
      </c>
      <c r="R82" s="91">
        <f>R16+R24+R29+R36+R43+R45+R47+R49</f>
        <v>0</v>
      </c>
      <c r="S82" s="92">
        <f>SUM(S72:S81)+S16+S24+S29+S36+S43+S45+S47+S49+S51+S56+S61+S66</f>
        <v>207813</v>
      </c>
      <c r="T82" s="91">
        <f>T16+T24+T29+T36+T43+T45+T47+T49</f>
        <v>0</v>
      </c>
      <c r="U82" s="92">
        <f>SUM(U72:U81)+U16+U24+U29+U36+U43+U45+U47+U49+U51+U56+U61+U66</f>
        <v>-11165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170</v>
      </c>
      <c r="B85" s="3"/>
      <c r="F85" s="31"/>
      <c r="G85" s="31"/>
      <c r="H85" s="31"/>
      <c r="I85" s="31"/>
      <c r="K85"/>
    </row>
    <row r="86" spans="1:31" x14ac:dyDescent="0.25">
      <c r="A86" s="168"/>
      <c r="B86" s="3"/>
      <c r="C86" s="10" t="s">
        <v>166</v>
      </c>
      <c r="D86" s="169">
        <f t="shared" ref="D86:E88" si="25">SUM(F86,H86,J86,L86,N86,P86,R86,T86,V86,X86,Z86,AB86,AD86)</f>
        <v>0</v>
      </c>
      <c r="E86" s="170">
        <f t="shared" si="25"/>
        <v>3339180.2</v>
      </c>
      <c r="F86" s="169">
        <f>'TIE-OUT'!V86+RECLASS!T86</f>
        <v>0</v>
      </c>
      <c r="G86" s="170">
        <f>'TIE-OUT'!W86+RECLASS!U86+189728</f>
        <v>3638477.2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-299297</v>
      </c>
    </row>
    <row r="87" spans="1:31" x14ac:dyDescent="0.25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</row>
    <row r="88" spans="1:31" x14ac:dyDescent="0.25">
      <c r="A88" s="168"/>
      <c r="B88" s="3"/>
      <c r="C88" s="10" t="s">
        <v>72</v>
      </c>
      <c r="D88" s="171">
        <f t="shared" si="25"/>
        <v>0</v>
      </c>
      <c r="E88" s="171">
        <f t="shared" si="25"/>
        <v>-3174200</v>
      </c>
      <c r="F88" s="171">
        <f>'TIE-OUT'!V88+RECLASS!T88</f>
        <v>0</v>
      </c>
      <c r="G88" s="171">
        <f>'TIE-OUT'!W88+RECLASS!U88</f>
        <v>-3174200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</row>
    <row r="89" spans="1:31" ht="15" x14ac:dyDescent="0.25">
      <c r="A89" s="175"/>
      <c r="B89" s="176"/>
      <c r="C89" s="181" t="s">
        <v>169</v>
      </c>
      <c r="D89" s="179">
        <f>SUM(D86:D88)</f>
        <v>0</v>
      </c>
      <c r="E89" s="179">
        <f t="shared" ref="E89:K89" si="26">SUM(E86:E88)</f>
        <v>164980.20000000019</v>
      </c>
      <c r="F89" s="179">
        <f t="shared" si="26"/>
        <v>0</v>
      </c>
      <c r="G89" s="179">
        <f t="shared" si="26"/>
        <v>464277.20000000019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ref="L89:U89" si="27">SUM(L86:L88)</f>
        <v>0</v>
      </c>
      <c r="M89" s="179">
        <f t="shared" si="27"/>
        <v>0</v>
      </c>
      <c r="N89" s="179">
        <f t="shared" si="27"/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-299297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ht="15" x14ac:dyDescent="0.25">
      <c r="A91" s="175"/>
      <c r="B91" s="176"/>
      <c r="C91" s="181" t="s">
        <v>172</v>
      </c>
      <c r="D91" s="179">
        <f>+D82+D89</f>
        <v>0</v>
      </c>
      <c r="E91" s="179">
        <f t="shared" ref="E91:K91" si="28">+E82+E89</f>
        <v>1865233.269999993</v>
      </c>
      <c r="F91" s="179">
        <f t="shared" si="28"/>
        <v>0</v>
      </c>
      <c r="G91" s="179">
        <f t="shared" si="28"/>
        <v>-2067318.73</v>
      </c>
      <c r="H91" s="179">
        <f t="shared" si="28"/>
        <v>0</v>
      </c>
      <c r="I91" s="179">
        <f t="shared" si="28"/>
        <v>4519717</v>
      </c>
      <c r="J91" s="179">
        <f t="shared" si="28"/>
        <v>0</v>
      </c>
      <c r="K91" s="179">
        <f t="shared" si="28"/>
        <v>-665825</v>
      </c>
      <c r="L91" s="179">
        <f>+L82+L89</f>
        <v>0</v>
      </c>
      <c r="M91" s="179">
        <f>+M82+M89</f>
        <v>154425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M46" activePane="bottomRight" state="frozen"/>
      <selection activeCell="Q642" sqref="Q642"/>
      <selection pane="topRight" activeCell="Q642" sqref="Q642"/>
      <selection pane="bottomLeft" activeCell="Q642" sqref="Q642"/>
      <selection pane="bottomRight" activeCell="T54" sqref="T5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45061853</v>
      </c>
      <c r="E11" s="38">
        <f>SUM(G11,I11,K11,M11,O11,Q11,S11,U11,W11,Y11,AA11,AC11,AE11)</f>
        <v>117484024.64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45016380</v>
      </c>
      <c r="I11" s="38">
        <f>'TX-EGM-GL'!I11+'TX-HPLR-GL '!I11+'TX-HPLC-GL'!I11</f>
        <v>117060281.09999999</v>
      </c>
      <c r="J11" s="60">
        <f>'TX-EGM-GL'!J11+'TX-HPLR-GL '!J11+'TX-HPLC-GL'!J11</f>
        <v>530628</v>
      </c>
      <c r="K11" s="38">
        <f>'TX-EGM-GL'!K11+'TX-HPLR-GL '!K11+'TX-HPLC-GL'!K11</f>
        <v>844621.43</v>
      </c>
      <c r="L11" s="60">
        <f>'TX-EGM-GL'!L11+'TX-HPLR-GL '!L11</f>
        <v>-485155</v>
      </c>
      <c r="M11" s="38">
        <f>'TX-EGM-GL'!M11+'TX-HPLR-GL '!M11</f>
        <v>-426259.74</v>
      </c>
      <c r="N11" s="60">
        <f>'TX-EGM-GL'!N11+'TX-HPLR-GL '!N11</f>
        <v>0</v>
      </c>
      <c r="O11" s="38">
        <f>'TX-EGM-GL'!O11+'TX-HPLR-GL '!O11</f>
        <v>0</v>
      </c>
      <c r="P11" s="60">
        <f>'TX-EGM-GL'!P11+'TX-HPLR-GL '!P11</f>
        <v>0</v>
      </c>
      <c r="Q11" s="38">
        <f>'TX-EGM-GL'!Q11+'TX-HPLR-GL '!Q11</f>
        <v>-7200</v>
      </c>
      <c r="R11" s="60">
        <f>'TX-EGM-GL'!R11+'TX-HPLR-GL '!R11</f>
        <v>8</v>
      </c>
      <c r="S11" s="38">
        <f>'TX-EGM-GL'!S11+'TX-HPLR-GL '!S11</f>
        <v>8477.32</v>
      </c>
      <c r="T11" s="60">
        <f>'TX-EGM-GL'!T11+'TX-HPLR-GL '!T11</f>
        <v>-8</v>
      </c>
      <c r="U11" s="38">
        <f>'TX-EGM-GL'!U11+'TX-HPLR-GL '!U11</f>
        <v>4104.53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0</v>
      </c>
      <c r="Y11" s="38">
        <f>'TX-EGM-GL'!Y11+'TX-HPLR-GL '!Y11</f>
        <v>0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-2548188.41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-1009968.41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-1538220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15000</v>
      </c>
      <c r="E13" s="38">
        <f t="shared" si="0"/>
        <v>44650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9707997</v>
      </c>
      <c r="I13" s="38">
        <f>'TX-EGM-GL'!I13+'TX-HPLR-GL '!I13+'TX-HPLC-GL'!I13</f>
        <v>25915785</v>
      </c>
      <c r="J13" s="60">
        <f>'TX-EGM-GL'!J13+'TX-HPLR-GL '!J13+'TX-HPLC-GL'!J13</f>
        <v>15000</v>
      </c>
      <c r="K13" s="38">
        <f>'TX-EGM-GL'!K13+'TX-HPLR-GL '!K13+'TX-HPLC-GL'!K13</f>
        <v>44650</v>
      </c>
      <c r="L13" s="60">
        <f>'TX-EGM-GL'!L13+'TX-HPLR-GL '!L13</f>
        <v>-9707997</v>
      </c>
      <c r="M13" s="38">
        <f>'TX-EGM-GL'!M13+'TX-HPLR-GL '!M13</f>
        <v>-25915785</v>
      </c>
      <c r="N13" s="60">
        <f>'TX-EGM-GL'!N13+'TX-HPLR-GL '!N13</f>
        <v>9722997</v>
      </c>
      <c r="O13" s="38">
        <f>'TX-EGM-GL'!O13+'TX-HPLR-GL '!O13</f>
        <v>25960435</v>
      </c>
      <c r="P13" s="60">
        <f>'TX-EGM-GL'!P13+'TX-HPLR-GL '!P13</f>
        <v>0</v>
      </c>
      <c r="Q13" s="38">
        <f>'TX-EGM-GL'!Q13+'TX-HPLR-GL '!Q13</f>
        <v>0</v>
      </c>
      <c r="R13" s="60">
        <f>'TX-EGM-GL'!R13+'TX-HPLR-GL '!R13</f>
        <v>-9722997</v>
      </c>
      <c r="S13" s="38">
        <f>'TX-EGM-GL'!S13+'TX-HPLR-GL '!S13</f>
        <v>-25960435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5">
      <c r="A16" s="9"/>
      <c r="B16" s="7" t="s">
        <v>30</v>
      </c>
      <c r="C16" s="6"/>
      <c r="D16" s="61">
        <f>SUM(D11:D15)</f>
        <v>45076853</v>
      </c>
      <c r="E16" s="39">
        <f>SUM(E11:E15)</f>
        <v>114980486.23</v>
      </c>
      <c r="F16" s="61">
        <f t="shared" ref="F16:AD16" si="1">SUM(F11:F15)</f>
        <v>0</v>
      </c>
      <c r="G16" s="39">
        <f t="shared" si="1"/>
        <v>-1009968.41</v>
      </c>
      <c r="H16" s="61">
        <f t="shared" si="1"/>
        <v>54724377</v>
      </c>
      <c r="I16" s="39">
        <f t="shared" si="1"/>
        <v>142976066.09999999</v>
      </c>
      <c r="J16" s="61">
        <f>SUM(J11:J15)</f>
        <v>545628</v>
      </c>
      <c r="K16" s="39">
        <f>SUM(K11:K15)</f>
        <v>-648948.56999999995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-48510103</v>
      </c>
      <c r="E19" s="38">
        <f t="shared" si="4"/>
        <v>-119839695.54000001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-48776313</v>
      </c>
      <c r="I19" s="38">
        <f>'TX-EGM-GL'!I19+'TX-HPLR-GL '!I19+'TX-HPLC-GL'!I19</f>
        <v>-120497635.3</v>
      </c>
      <c r="J19" s="60">
        <f>'TX-EGM-GL'!J19+'TX-HPLR-GL '!J19+'TX-HPLC-GL'!J19</f>
        <v>266532</v>
      </c>
      <c r="K19" s="38">
        <f>'TX-EGM-GL'!K19+'TX-HPLR-GL '!K19+'TX-HPLC-GL'!K19</f>
        <v>658727.05000000005</v>
      </c>
      <c r="L19" s="60">
        <f>'TX-EGM-GL'!L19+'TX-HPLR-GL '!L19</f>
        <v>-504</v>
      </c>
      <c r="M19" s="38">
        <f>'TX-EGM-GL'!M19+'TX-HPLR-GL '!M19</f>
        <v>-1232.28</v>
      </c>
      <c r="N19" s="60">
        <f>'TX-EGM-GL'!N19+'TX-HPLR-GL '!N19</f>
        <v>182</v>
      </c>
      <c r="O19" s="38">
        <f>'TX-EGM-GL'!O19+'TX-HPLR-GL '!O19</f>
        <v>444.99</v>
      </c>
      <c r="P19" s="60">
        <f>'TX-EGM-GL'!P19+'TX-HPLR-GL '!P19</f>
        <v>0</v>
      </c>
      <c r="Q19" s="38">
        <f>'TX-EGM-GL'!Q19+'TX-HPLR-GL '!Q19</f>
        <v>0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-3511834.7600000002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-3511834.7600000002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4"/>
        <v>-11017</v>
      </c>
      <c r="E21" s="38">
        <f t="shared" si="4"/>
        <v>-27173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-9704287</v>
      </c>
      <c r="I21" s="38">
        <f>'TX-EGM-GL'!I21+'TX-HPLR-GL '!I21+'TX-HPLC-GL'!I21</f>
        <v>-25898983</v>
      </c>
      <c r="J21" s="60">
        <f>'TX-EGM-GL'!J21+'TX-HPLR-GL '!J21+'TX-HPLC-GL'!J21</f>
        <v>-8371</v>
      </c>
      <c r="K21" s="38">
        <f>'TX-EGM-GL'!K21+'TX-HPLR-GL '!K21+'TX-HPLC-GL'!K21</f>
        <v>-20676</v>
      </c>
      <c r="L21" s="60">
        <f>'TX-EGM-GL'!L21+'TX-HPLR-GL '!L21</f>
        <v>9704287</v>
      </c>
      <c r="M21" s="38">
        <f>'TX-EGM-GL'!M21+'TX-HPLR-GL '!M21</f>
        <v>25898983</v>
      </c>
      <c r="N21" s="60">
        <f>'TX-EGM-GL'!N21+'TX-HPLR-GL '!N21</f>
        <v>-9712986</v>
      </c>
      <c r="O21" s="38">
        <f>'TX-EGM-GL'!O21+'TX-HPLR-GL '!O21</f>
        <v>-25920470</v>
      </c>
      <c r="P21" s="60">
        <f>'TX-EGM-GL'!P21+'TX-HPLR-GL '!P21</f>
        <v>0</v>
      </c>
      <c r="Q21" s="38">
        <f>'TX-EGM-GL'!Q21+'TX-HPLR-GL '!Q21</f>
        <v>0</v>
      </c>
      <c r="R21" s="60">
        <f>'TX-EGM-GL'!R21+'TX-HPLR-GL '!R21</f>
        <v>9712658</v>
      </c>
      <c r="S21" s="38">
        <f>'TX-EGM-GL'!S21+'TX-HPLR-GL '!S21</f>
        <v>25919659</v>
      </c>
      <c r="T21" s="60">
        <f>'TX-EGM-GL'!T21+'TX-HPLR-GL '!T21</f>
        <v>-2318</v>
      </c>
      <c r="U21" s="38">
        <f>'TX-EGM-GL'!U21+'TX-HPLR-GL '!U21</f>
        <v>-5686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4"/>
        <v>8102</v>
      </c>
      <c r="E23" s="38">
        <f t="shared" si="4"/>
        <v>19809.390000000003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7953</v>
      </c>
      <c r="I23" s="38">
        <f>'TX-EGM-GL'!I23+'TX-HPLR-GL '!I23+'TX-HPLC-GL'!I23</f>
        <v>19445.084999999999</v>
      </c>
      <c r="J23" s="60">
        <f>'TX-EGM-GL'!J23+'TX-HPLR-GL '!J23+'TX-HPLC-GL'!J23</f>
        <v>182</v>
      </c>
      <c r="K23" s="38">
        <f>'TX-EGM-GL'!K23+'TX-HPLR-GL '!K23+'TX-HPLC-GL'!K23</f>
        <v>444.99</v>
      </c>
      <c r="L23" s="60">
        <f>'TX-EGM-GL'!L23+'TX-HPLR-GL '!L23</f>
        <v>-203</v>
      </c>
      <c r="M23" s="38">
        <f>'TX-EGM-GL'!M23+'TX-HPLR-GL '!M23</f>
        <v>-496.33499999999998</v>
      </c>
      <c r="N23" s="60">
        <f>'TX-EGM-GL'!N23+'TX-HPLR-GL '!N23</f>
        <v>170</v>
      </c>
      <c r="O23" s="38">
        <f>'TX-EGM-GL'!O23+'TX-HPLR-GL '!O23</f>
        <v>415.65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5">
      <c r="A24" s="9"/>
      <c r="B24" s="7" t="s">
        <v>33</v>
      </c>
      <c r="C24" s="6"/>
      <c r="D24" s="61">
        <f>SUM(D19:D23)</f>
        <v>-48513018</v>
      </c>
      <c r="E24" s="39">
        <f>SUM(E19:E23)</f>
        <v>-123358893.91000001</v>
      </c>
      <c r="F24" s="61">
        <f t="shared" ref="F24:AD24" si="5">SUM(F19:F23)</f>
        <v>0</v>
      </c>
      <c r="G24" s="39">
        <f t="shared" si="5"/>
        <v>-3511834.7600000002</v>
      </c>
      <c r="H24" s="61">
        <f t="shared" si="5"/>
        <v>-58472647</v>
      </c>
      <c r="I24" s="39">
        <f t="shared" si="5"/>
        <v>-146377173.215</v>
      </c>
      <c r="J24" s="61">
        <f>SUM(J19:J23)</f>
        <v>258343</v>
      </c>
      <c r="K24" s="39">
        <f>SUM(K19:K23)</f>
        <v>638496.04</v>
      </c>
      <c r="L24" s="61">
        <f t="shared" si="5"/>
        <v>9703580</v>
      </c>
      <c r="M24" s="39">
        <f t="shared" si="5"/>
        <v>25897254.384999998</v>
      </c>
      <c r="N24" s="61">
        <f t="shared" si="5"/>
        <v>-9712634</v>
      </c>
      <c r="O24" s="39">
        <f t="shared" si="5"/>
        <v>-25919609.360000003</v>
      </c>
      <c r="P24" s="61">
        <f t="shared" ref="P24:U24" si="6">SUM(P19:P23)</f>
        <v>0</v>
      </c>
      <c r="Q24" s="39">
        <f t="shared" si="6"/>
        <v>0</v>
      </c>
      <c r="R24" s="61">
        <f t="shared" si="6"/>
        <v>9712658</v>
      </c>
      <c r="S24" s="39">
        <f t="shared" si="6"/>
        <v>25919659</v>
      </c>
      <c r="T24" s="61">
        <f t="shared" si="6"/>
        <v>-2318</v>
      </c>
      <c r="U24" s="39">
        <f t="shared" si="6"/>
        <v>-5686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16570023</v>
      </c>
      <c r="E27" s="38">
        <f>SUM(G27,I27,K27,M27,O27,Q27,S27,U27,W27,Y27,AA27,AC27,AE27)</f>
        <v>47218309.68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11212890</v>
      </c>
      <c r="I27" s="38">
        <f>'TX-EGM-GL'!I27+'TX-HPLR-GL '!I27+'TX-HPLC-GL'!I27</f>
        <v>30029224.07</v>
      </c>
      <c r="J27" s="60">
        <f>'TX-EGM-GL'!J27+'TX-HPLR-GL '!J27+'TX-HPLC-GL'!J27</f>
        <v>5386688</v>
      </c>
      <c r="K27" s="38">
        <f>'TX-EGM-GL'!K27+'TX-HPLR-GL '!K27+'TX-HPLC-GL'!K27</f>
        <v>14900247.98</v>
      </c>
      <c r="L27" s="60">
        <f>'TX-EGM-GL'!L27+'TX-HPLR-GL '!L27</f>
        <v>-29155</v>
      </c>
      <c r="M27" s="38">
        <f>'TX-EGM-GL'!M27+'TX-HPLR-GL '!M27</f>
        <v>2287417.02</v>
      </c>
      <c r="N27" s="60">
        <f>'TX-EGM-GL'!N27+'TX-HPLR-GL '!N27</f>
        <v>-400</v>
      </c>
      <c r="O27" s="38">
        <f>'TX-EGM-GL'!O27+'TX-HPLR-GL '!O27</f>
        <v>1420.61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-16165511</v>
      </c>
      <c r="E28" s="38">
        <f>SUM(G28,I28,K28,M28,O28,Q28,S28,U28,W28,Y28,AA28,AC28,AE28)</f>
        <v>-45416475.010000005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-11428084</v>
      </c>
      <c r="I28" s="38">
        <f>'TX-EGM-GL'!I28+'TX-HPLR-GL '!I28+'TX-HPLC-GL'!I28</f>
        <v>-30283641.120000001</v>
      </c>
      <c r="J28" s="60">
        <f>'TX-EGM-GL'!J28+'TX-HPLR-GL '!J28+'TX-HPLC-GL'!J28</f>
        <v>-5252656</v>
      </c>
      <c r="K28" s="38">
        <f>'TX-EGM-GL'!K28+'TX-HPLR-GL '!K28+'TX-HPLC-GL'!K28</f>
        <v>-14156725.860000001</v>
      </c>
      <c r="L28" s="60">
        <f>'TX-EGM-GL'!L28+'TX-HPLR-GL '!L28</f>
        <v>510539</v>
      </c>
      <c r="M28" s="38">
        <f>'TX-EGM-GL'!M28+'TX-HPLR-GL '!M28</f>
        <v>-981717.35999999987</v>
      </c>
      <c r="N28" s="60">
        <f>'TX-EGM-GL'!N28+'TX-HPLR-GL '!N28</f>
        <v>4690</v>
      </c>
      <c r="O28" s="38">
        <f>'TX-EGM-GL'!O28+'TX-HPLR-GL '!O28</f>
        <v>-927262.39</v>
      </c>
      <c r="P28" s="60">
        <f>'TX-EGM-GL'!P28+'TX-HPLR-GL '!P28</f>
        <v>0</v>
      </c>
      <c r="Q28" s="38">
        <f>'TX-EGM-GL'!Q28+'TX-HPLR-GL '!Q28</f>
        <v>940000</v>
      </c>
      <c r="R28" s="60">
        <f>'TX-EGM-GL'!R28+'TX-HPLR-GL '!R28</f>
        <v>-8</v>
      </c>
      <c r="S28" s="38">
        <f>'TX-EGM-GL'!S28+'TX-HPLR-GL '!S28</f>
        <v>-22.28</v>
      </c>
      <c r="T28" s="60">
        <f>'TX-EGM-GL'!T28+'TX-HPLR-GL '!T28</f>
        <v>8</v>
      </c>
      <c r="U28" s="38">
        <f>'TX-EGM-GL'!U28+'TX-HPLR-GL '!U28</f>
        <v>-7106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0</v>
      </c>
      <c r="Y28" s="38">
        <f>'TX-EGM-GL'!Y28+'TX-HPLR-GL '!Y28</f>
        <v>0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5">
      <c r="A29" s="9"/>
      <c r="B29" s="7" t="s">
        <v>37</v>
      </c>
      <c r="C29" s="18"/>
      <c r="D29" s="61">
        <f>SUM(D27:D28)</f>
        <v>404512</v>
      </c>
      <c r="E29" s="39">
        <f>SUM(E27:E28)</f>
        <v>1801834.6699999943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-215194</v>
      </c>
      <c r="I29" s="39">
        <f t="shared" si="8"/>
        <v>-254417.05000000075</v>
      </c>
      <c r="J29" s="61">
        <f>SUM(J27:J28)</f>
        <v>134032</v>
      </c>
      <c r="K29" s="39">
        <f>SUM(K27:K28)</f>
        <v>743522.11999999918</v>
      </c>
      <c r="L29" s="61">
        <f t="shared" si="8"/>
        <v>481384</v>
      </c>
      <c r="M29" s="39">
        <f t="shared" si="8"/>
        <v>1305699.6600000001</v>
      </c>
      <c r="N29" s="61">
        <f t="shared" si="8"/>
        <v>4290</v>
      </c>
      <c r="O29" s="39">
        <f t="shared" si="8"/>
        <v>-925841.78</v>
      </c>
      <c r="P29" s="61">
        <f t="shared" ref="P29:U29" si="9">SUM(P27:P28)</f>
        <v>0</v>
      </c>
      <c r="Q29" s="39">
        <f t="shared" si="9"/>
        <v>940000</v>
      </c>
      <c r="R29" s="61">
        <f t="shared" si="9"/>
        <v>-8</v>
      </c>
      <c r="S29" s="39">
        <f t="shared" si="9"/>
        <v>-22.28</v>
      </c>
      <c r="T29" s="61">
        <f t="shared" si="9"/>
        <v>8</v>
      </c>
      <c r="U29" s="39">
        <f t="shared" si="9"/>
        <v>-7106</v>
      </c>
      <c r="V29" s="61">
        <f t="shared" si="8"/>
        <v>0</v>
      </c>
      <c r="W29" s="39">
        <f t="shared" ref="W29:AE29" si="10">SUM(W27:W28)</f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-297808</v>
      </c>
      <c r="E32" s="38">
        <f t="shared" si="11"/>
        <v>-739554.96499999915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-5171195</v>
      </c>
      <c r="I32" s="38">
        <f>'TX-EGM-GL'!I32+'TX-HPLR-GL '!I32+'TX-HPLC-GL'!I32</f>
        <v>-12643571.779999999</v>
      </c>
      <c r="J32" s="60">
        <f>'TX-EGM-GL'!J32+'TX-HPLR-GL '!J32+'TX-HPLC-GL'!J32</f>
        <v>4873552</v>
      </c>
      <c r="K32" s="38">
        <f>'TX-EGM-GL'!K32+'TX-HPLR-GL '!K32+'TX-HPLC-GL'!K32</f>
        <v>11904420.24</v>
      </c>
      <c r="L32" s="60">
        <f>'TX-EGM-GL'!L32+'TX-HPLR-GL '!L32</f>
        <v>4477</v>
      </c>
      <c r="M32" s="38">
        <f>'TX-EGM-GL'!M32+'TX-HPLR-GL '!M32</f>
        <v>10946.264999999999</v>
      </c>
      <c r="N32" s="60">
        <f>'TX-EGM-GL'!N32+'TX-HPLR-GL '!N32</f>
        <v>-4641</v>
      </c>
      <c r="O32" s="38">
        <f>'TX-EGM-GL'!O32+'TX-HPLR-GL '!O32</f>
        <v>-11347.245000000001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</v>
      </c>
      <c r="S32" s="38">
        <f>'TX-EGM-GL'!S32+'TX-HPLR-GL '!S32</f>
        <v>-4.8899999999999997</v>
      </c>
      <c r="T32" s="60">
        <f>'TX-EGM-GL'!T32+'TX-HPLR-GL '!T32</f>
        <v>1</v>
      </c>
      <c r="U32" s="38">
        <f>'TX-EGM-GL'!U32+'TX-HPLR-GL '!U32</f>
        <v>2.4449999999999998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5">
      <c r="A36" s="9"/>
      <c r="B36" s="7" t="s">
        <v>43</v>
      </c>
      <c r="C36" s="6"/>
      <c r="D36" s="61">
        <f>SUM(D32:D35)</f>
        <v>-297808</v>
      </c>
      <c r="E36" s="39">
        <f>SUM(E32:E35)</f>
        <v>-739554.96499999915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-5171195</v>
      </c>
      <c r="I36" s="39">
        <f t="shared" si="12"/>
        <v>-12643571.779999999</v>
      </c>
      <c r="J36" s="61">
        <f>SUM(J32:J35)</f>
        <v>4873552</v>
      </c>
      <c r="K36" s="39">
        <f>SUM(K32:K35)</f>
        <v>11904420.24</v>
      </c>
      <c r="L36" s="61">
        <f t="shared" si="12"/>
        <v>4477</v>
      </c>
      <c r="M36" s="39">
        <f t="shared" si="12"/>
        <v>10946.264999999999</v>
      </c>
      <c r="N36" s="61">
        <f t="shared" si="12"/>
        <v>-4641</v>
      </c>
      <c r="O36" s="39">
        <f t="shared" si="12"/>
        <v>-11347.245000000001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-2</v>
      </c>
      <c r="S36" s="39">
        <f t="shared" si="13"/>
        <v>-4.8899999999999997</v>
      </c>
      <c r="T36" s="61">
        <f t="shared" si="13"/>
        <v>1</v>
      </c>
      <c r="U36" s="39">
        <f t="shared" si="13"/>
        <v>2.4449999999999998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3184889</v>
      </c>
      <c r="E39" s="38">
        <f t="shared" si="15"/>
        <v>7942158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3184889</v>
      </c>
      <c r="K39" s="38">
        <f>'TX-EGM-GL'!K39+'TX-HPLR-GL '!K39+'TX-HPLC-GL'!K39</f>
        <v>7942158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>SUM(J40:J41)</f>
        <v>0</v>
      </c>
      <c r="K42" s="39">
        <f>SUM(K40:K41)</f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3184889</v>
      </c>
      <c r="E43" s="39">
        <f>E42+E39</f>
        <v>7942158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>J42+J39</f>
        <v>3184889</v>
      </c>
      <c r="K43" s="39">
        <f>K42+K39</f>
        <v>7942158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144572</v>
      </c>
      <c r="E49" s="38">
        <f>SUM(G49,I49,K49,M49,O49,Q49,S49,U49,W49,Y49,AA49,AC49,AE49)</f>
        <v>358737.8349999988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9134659</v>
      </c>
      <c r="I49" s="38">
        <f>'TX-EGM-GL'!I49+'TX-HPLR-GL '!I49+'TX-HPLC-GL'!I49</f>
        <v>22334241.73</v>
      </c>
      <c r="J49" s="60">
        <f>'TX-EGM-GL'!J49+'TX-HPLR-GL '!J49+'TX-HPLC-GL'!J49</f>
        <v>-8996444</v>
      </c>
      <c r="K49" s="38">
        <f>'TX-EGM-GL'!K49+'TX-HPLR-GL '!K49+'TX-HPLC-GL'!K49</f>
        <v>-21991046.760000002</v>
      </c>
      <c r="L49" s="60">
        <f>'TX-EGM-GL'!L49+'TX-HPLR-GL '!L49</f>
        <v>3711</v>
      </c>
      <c r="M49" s="38">
        <f>'TX-EGM-GL'!M49+'TX-HPLR-GL '!M49</f>
        <v>9073.3950000000004</v>
      </c>
      <c r="N49" s="60">
        <f>'TX-EGM-GL'!N49+'TX-HPLR-GL '!N49</f>
        <v>-10012</v>
      </c>
      <c r="O49" s="38">
        <f>'TX-EGM-GL'!O49+'TX-HPLR-GL '!O49</f>
        <v>-24479.34</v>
      </c>
      <c r="P49" s="60">
        <f>'TX-EGM-GL'!P49+'TX-HPLR-GL '!P49</f>
        <v>0</v>
      </c>
      <c r="Q49" s="38">
        <f>'TX-EGM-GL'!Q49+'TX-HPLR-GL '!Q49</f>
        <v>0</v>
      </c>
      <c r="R49" s="60">
        <f>'TX-EGM-GL'!R49+'TX-HPLR-GL '!R49</f>
        <v>10341</v>
      </c>
      <c r="S49" s="38">
        <f>'TX-EGM-GL'!S49+'TX-HPLR-GL '!S49</f>
        <v>25283.744999999999</v>
      </c>
      <c r="T49" s="60">
        <f>'TX-EGM-GL'!T49+'TX-HPLR-GL '!T49</f>
        <v>2317</v>
      </c>
      <c r="U49" s="38">
        <f>'TX-EGM-GL'!U49+'TX-HPLR-GL '!U49</f>
        <v>5665.0649999999996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-7953</v>
      </c>
      <c r="I51" s="38">
        <f>'TX-EGM-GL'!I51+'TX-HPLR-GL '!I51+'TX-HPLC-GL'!I51</f>
        <v>-19445.084999999999</v>
      </c>
      <c r="J51" s="60">
        <f>'TX-EGM-GL'!J51+'TX-HPLR-GL '!J51+'TX-HPLC-GL'!J51</f>
        <v>-182</v>
      </c>
      <c r="K51" s="38">
        <f>'TX-EGM-GL'!K51+'TX-HPLR-GL '!K51+'TX-HPLC-GL'!K51</f>
        <v>-444.99</v>
      </c>
      <c r="L51" s="60">
        <f>'TX-EGM-GL'!L51+'TX-HPLR-GL '!L51</f>
        <v>203</v>
      </c>
      <c r="M51" s="38">
        <f>'TX-EGM-GL'!M51+'TX-HPLR-GL '!M51</f>
        <v>496.33499999999998</v>
      </c>
      <c r="N51" s="60">
        <f>'TX-EGM-GL'!N51+'TX-HPLR-GL '!N51</f>
        <v>-170</v>
      </c>
      <c r="O51" s="38">
        <f>'TX-EGM-GL'!O51+'TX-HPLR-GL '!O51</f>
        <v>-415.65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-10393487</v>
      </c>
      <c r="E54" s="38">
        <f>SUM(G54,I54,K54,M54,O54,Q54,S54,U54,W54,Y54,AA54,AC54,AE54)</f>
        <v>-2112768.61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-1393008</v>
      </c>
      <c r="H54" s="60">
        <f>'TX-EGM-GL'!H54+'TX-HPLR-GL '!H54+'TX-HPLC-GL'!H54</f>
        <v>-5955974</v>
      </c>
      <c r="I54" s="38">
        <f>'TX-EGM-GL'!I54+'TX-HPLR-GL '!I54+'TX-HPLC-GL'!I54</f>
        <v>-304596.65000000002</v>
      </c>
      <c r="J54" s="60">
        <f>'TX-EGM-GL'!J54+'TX-HPLR-GL '!J54+'TX-HPLC-GL'!J54</f>
        <v>-5289727</v>
      </c>
      <c r="K54" s="38">
        <f>'TX-EGM-GL'!K54+'TX-HPLR-GL '!K54+'TX-HPLC-GL'!K54</f>
        <v>-420750.68</v>
      </c>
      <c r="L54" s="60">
        <f>'TX-EGM-GL'!L54+'TX-HPLR-GL '!L54</f>
        <v>800979</v>
      </c>
      <c r="M54" s="38">
        <f>'TX-EGM-GL'!M54+'TX-HPLR-GL '!M54</f>
        <v>4971.93</v>
      </c>
      <c r="N54" s="60">
        <f>'TX-EGM-GL'!N54+'TX-HPLR-GL '!N54</f>
        <v>-18769</v>
      </c>
      <c r="O54" s="38">
        <f>'TX-EGM-GL'!O54+'TX-HPLR-GL '!O54</f>
        <v>-842.89</v>
      </c>
      <c r="P54" s="60">
        <f>'TX-EGM-GL'!P54+'TX-HPLR-GL '!P54</f>
        <v>61792</v>
      </c>
      <c r="Q54" s="38">
        <f>'TX-EGM-GL'!Q54+'TX-HPLR-GL '!Q54</f>
        <v>74093.039999999994</v>
      </c>
      <c r="R54" s="60">
        <f>'TX-EGM-GL'!R54+'TX-HPLR-GL '!R54</f>
        <v>-11792</v>
      </c>
      <c r="S54" s="38">
        <f>'TX-EGM-GL'!S54+'TX-HPLR-GL '!S54</f>
        <v>-72812.820000000007</v>
      </c>
      <c r="T54" s="60">
        <f>'TX-EGM-GL'!T54+'TX-HPLR-GL '!T54</f>
        <v>20004</v>
      </c>
      <c r="U54" s="38">
        <f>'TX-EGM-GL'!U54+'TX-HPLR-GL '!U54</f>
        <v>177.46</v>
      </c>
      <c r="V54" s="60">
        <f>'TX-EGM-GL'!V54+'TX-HPLR-GL '!V54</f>
        <v>0</v>
      </c>
      <c r="W54" s="38">
        <f>'TX-EGM-GL'!W54+'TX-HPLR-GL '!W54</f>
        <v>0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-71504.119999999981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-88406.24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-151800.24</v>
      </c>
      <c r="N55" s="60">
        <f>'TX-EGM-GL'!N55+'TX-HPLR-GL '!N55</f>
        <v>0</v>
      </c>
      <c r="O55" s="38">
        <f>'TX-EGM-GL'!O55+'TX-HPLR-GL '!O55</f>
        <v>95156.84</v>
      </c>
      <c r="P55" s="60">
        <f>'TX-EGM-GL'!P55+'TX-HPLR-GL '!P55</f>
        <v>0</v>
      </c>
      <c r="Q55" s="38">
        <f>'TX-EGM-GL'!Q55+'TX-HPLR-GL '!Q55</f>
        <v>72777.52</v>
      </c>
      <c r="R55" s="60">
        <f>'TX-EGM-GL'!R55+'TX-HPLR-GL '!R55</f>
        <v>0</v>
      </c>
      <c r="S55" s="38">
        <f>'TX-EGM-GL'!S55+'TX-HPLR-GL '!S55</f>
        <v>768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5">
      <c r="A56" s="9"/>
      <c r="B56" s="7" t="s">
        <v>57</v>
      </c>
      <c r="C56" s="6"/>
      <c r="D56" s="61">
        <f>SUM(D54:D55)</f>
        <v>-10393487</v>
      </c>
      <c r="E56" s="39">
        <f>SUM(E54:E55)</f>
        <v>-2184272.73</v>
      </c>
      <c r="F56" s="61">
        <f t="shared" ref="F56:AD56" si="22">SUM(F54:F55)</f>
        <v>0</v>
      </c>
      <c r="G56" s="39">
        <f t="shared" si="22"/>
        <v>-1393008</v>
      </c>
      <c r="H56" s="61">
        <f t="shared" si="22"/>
        <v>-5955974</v>
      </c>
      <c r="I56" s="39">
        <f t="shared" si="22"/>
        <v>-393002.89</v>
      </c>
      <c r="J56" s="61">
        <f>SUM(J54:J55)</f>
        <v>-5289727</v>
      </c>
      <c r="K56" s="39">
        <f>SUM(K54:K55)</f>
        <v>-420750.68</v>
      </c>
      <c r="L56" s="61">
        <f t="shared" si="22"/>
        <v>800979</v>
      </c>
      <c r="M56" s="39">
        <f t="shared" si="22"/>
        <v>-146828.31</v>
      </c>
      <c r="N56" s="61">
        <f t="shared" si="22"/>
        <v>-18769</v>
      </c>
      <c r="O56" s="39">
        <f t="shared" si="22"/>
        <v>94313.95</v>
      </c>
      <c r="P56" s="61">
        <f t="shared" ref="P56:U56" si="23">SUM(P54:P55)</f>
        <v>61792</v>
      </c>
      <c r="Q56" s="39">
        <f t="shared" si="23"/>
        <v>146870.56</v>
      </c>
      <c r="R56" s="61">
        <f t="shared" si="23"/>
        <v>-11792</v>
      </c>
      <c r="S56" s="39">
        <f t="shared" si="23"/>
        <v>-72044.820000000007</v>
      </c>
      <c r="T56" s="61">
        <f t="shared" si="23"/>
        <v>20004</v>
      </c>
      <c r="U56" s="39">
        <f t="shared" si="23"/>
        <v>177.46</v>
      </c>
      <c r="V56" s="61">
        <f t="shared" si="22"/>
        <v>0</v>
      </c>
      <c r="W56" s="39">
        <f t="shared" ref="W56:AE56" si="24">SUM(W54:W55)</f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>SUM(J59:J60)</f>
        <v>0</v>
      </c>
      <c r="K61" s="39">
        <f>SUM(K59:K60)</f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5"/>
        <v>0</v>
      </c>
      <c r="W61" s="39">
        <f t="shared" ref="W61:AE61" si="27">SUM(W59:W60)</f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-59834.86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0</v>
      </c>
      <c r="I64" s="38">
        <f>'TX-EGM-GL'!I64+'TX-HPLR-GL '!I64+'TX-HPLC-GL'!I64</f>
        <v>-59177.62</v>
      </c>
      <c r="J64" s="60">
        <f>'TX-EGM-GL'!J64+'TX-HPLR-GL '!J64+'TX-HPLC-GL'!J64</f>
        <v>0</v>
      </c>
      <c r="K64" s="38">
        <f>'TX-EGM-GL'!K64+'TX-HPLR-GL '!K64+'TX-HPLC-GL'!K64</f>
        <v>-657.24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165.13999999999942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822.37999999999738</v>
      </c>
      <c r="J66" s="61">
        <f>SUM(J64:J65)</f>
        <v>0</v>
      </c>
      <c r="K66" s="39">
        <f>SUM(K64:K65)</f>
        <v>-657.24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8"/>
        <v>0</v>
      </c>
      <c r="W66" s="39">
        <f t="shared" ref="W66:AE66" si="30">SUM(W64:W65)</f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-876739.35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35917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1489400.93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648578.57999999996</v>
      </c>
      <c r="F72" s="61">
        <f t="shared" ref="F72:AD72" si="31">SUM(F70:F71)</f>
        <v>0</v>
      </c>
      <c r="G72" s="39">
        <f t="shared" si="31"/>
        <v>612661.57999999996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35917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2667713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2667713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-1967.5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-8162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-8162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16797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16797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2103809.5199999856</v>
      </c>
      <c r="F82" s="91">
        <f>F16+F24+F29+F36+F43+F45+F47+F49</f>
        <v>0</v>
      </c>
      <c r="G82" s="92">
        <f>SUM(G72:G81)+G16+G24+G29+G36+G43+G45+G47+G49+G51+G56+G61+G66</f>
        <v>-2642598.5900000003</v>
      </c>
      <c r="H82" s="91">
        <f>H16+H24+H29+H36+H43+H45+H47+H49</f>
        <v>0</v>
      </c>
      <c r="I82" s="92">
        <f>SUM(I72:I81)+I16+I24+I29+I36+I43+I45+I47+I49+I51+I56+I61+I66</f>
        <v>5640317.1899999911</v>
      </c>
      <c r="J82" s="91">
        <f>J16+J24+J29+J36+J43+J45+J47+J49</f>
        <v>0</v>
      </c>
      <c r="K82" s="92">
        <f>SUM(K72:K81)+K16+K24+K29+K36+K43+K45+K47+K49+K51+K56+K61+K66</f>
        <v>-1799302.3400000033</v>
      </c>
      <c r="L82" s="91">
        <f>L16+L24+L29+L36+L43+L45+L47+L49</f>
        <v>0</v>
      </c>
      <c r="M82" s="92">
        <f>SUM(M72:M81)+M16+M24+M29+M36+M43+M45+M47+M49+M51+M56+M61+M66</f>
        <v>734596.54999999981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5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3448749.2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3448749.2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5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5">
      <c r="A88" s="168"/>
      <c r="C88" s="10" t="s">
        <v>72</v>
      </c>
      <c r="D88" s="171">
        <f t="shared" si="35"/>
        <v>0</v>
      </c>
      <c r="E88" s="171">
        <f t="shared" si="35"/>
        <v>-3174200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-3174200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5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274549.20000000019</v>
      </c>
      <c r="F89" s="179">
        <f t="shared" si="36"/>
        <v>0</v>
      </c>
      <c r="G89" s="179">
        <f t="shared" si="36"/>
        <v>274549.20000000019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5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2378358.7199999858</v>
      </c>
      <c r="F91" s="179">
        <f t="shared" si="38"/>
        <v>0</v>
      </c>
      <c r="G91" s="179">
        <f t="shared" si="38"/>
        <v>-2368049.39</v>
      </c>
      <c r="H91" s="179">
        <f t="shared" si="38"/>
        <v>0</v>
      </c>
      <c r="I91" s="179">
        <f t="shared" si="38"/>
        <v>5640317.1899999911</v>
      </c>
      <c r="J91" s="179">
        <f>+J82+J89</f>
        <v>0</v>
      </c>
      <c r="K91" s="179">
        <f>+K82+K89</f>
        <v>-1799302.3400000033</v>
      </c>
      <c r="L91" s="179">
        <f t="shared" si="38"/>
        <v>0</v>
      </c>
      <c r="M91" s="179">
        <f t="shared" si="38"/>
        <v>734596.54999999981</v>
      </c>
      <c r="N91" s="179">
        <f t="shared" ref="N91:AE91" si="39">+N82+N89</f>
        <v>0</v>
      </c>
      <c r="O91" s="179">
        <f t="shared" si="39"/>
        <v>-826944.42500000319</v>
      </c>
      <c r="P91" s="179">
        <f t="shared" si="39"/>
        <v>0</v>
      </c>
      <c r="Q91" s="179">
        <f t="shared" si="39"/>
        <v>1079670.56</v>
      </c>
      <c r="R91" s="179">
        <f t="shared" si="39"/>
        <v>0</v>
      </c>
      <c r="S91" s="179">
        <f t="shared" si="39"/>
        <v>-79086.924999999712</v>
      </c>
      <c r="T91" s="179">
        <f t="shared" si="39"/>
        <v>0</v>
      </c>
      <c r="U91" s="179">
        <f t="shared" si="39"/>
        <v>-2842.5000000000018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307904886</v>
      </c>
      <c r="E11" s="65">
        <f>STG_VAR!E11+ONT_VAR!E11+'CE-VAR'!E11+'EAST-EGM-VAR'!E11+'BGC-EGM-VAR'!E11+'EAST-LRC-VAR'!E11+'TX-EGM-VAR'!E11+'TX-HPLR-VAR '!E11+'WE-VAR'!E11+BUG_VAR!E11+'TX-HPLC-VAR'!E11+'ARUBA-VAR'!E11</f>
        <v>804964353</v>
      </c>
      <c r="F11" s="65">
        <f>STG_VAR!F11+ONT_VAR!F11+'CE-VAR'!F11+'EAST-EGM-VAR'!F11+'BGC-EGM-VAR'!F11+'EAST-LRC-VAR'!F11+'TX-EGM-VAR'!F11+'TX-HPLR-VAR '!F11+'WE-VAR'!F11+BUG_VAR!F11+'TX-HPLC-VAR'!F11+'ARUBA-VAR'!F11</f>
        <v>265970609</v>
      </c>
      <c r="G11" s="65">
        <f>STG_VAR!G11+ONT_VAR!G11+'CE-VAR'!G11+'EAST-EGM-VAR'!G11+'BGC-EGM-VAR'!G11+'EAST-LRC-VAR'!G11+'TX-EGM-VAR'!G11+'TX-HPLR-VAR '!G11+'WE-VAR'!G11+BUG_VAR!G11+'TX-HPLC-VAR'!G11+'ARUBA-VAR'!G11</f>
        <v>692506178.21000004</v>
      </c>
      <c r="H11" s="60">
        <f>F11-D11</f>
        <v>-41934277</v>
      </c>
      <c r="I11" s="38">
        <f>G11-E11</f>
        <v>-112458174.78999996</v>
      </c>
    </row>
    <row r="12" spans="1:22" x14ac:dyDescent="0.25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'!F12+'WE-VAR'!F12+BUG_VAR!F12+'TX-HPLC-VAR'!F12+'ARUBA-VAR'!F12</f>
        <v>0</v>
      </c>
      <c r="G12" s="65">
        <f>STG_VAR!G12+ONT_VAR!G12+'CE-VAR'!G12+'EAST-EGM-VAR'!G12+'BGC-EGM-VAR'!G12+'EAST-LRC-VAR'!G12+'TX-EGM-VAR'!G12+'TX-HPLR-VAR '!G12+'WE-VAR'!G12+BUG_VAR!G12+'TX-HPLC-VAR'!G12+'ARUBA-VAR'!G12</f>
        <v>-1920488.9600000004</v>
      </c>
      <c r="H12" s="60">
        <f>F12-D12</f>
        <v>0</v>
      </c>
      <c r="I12" s="38">
        <f>G12-E12</f>
        <v>-1920488.9600000004</v>
      </c>
    </row>
    <row r="13" spans="1:22" x14ac:dyDescent="0.25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114232787</v>
      </c>
      <c r="E13" s="65">
        <f>STG_VAR!E13+ONT_VAR!E13+'CE-VAR'!E13+'EAST-EGM-VAR'!E13+'BGC-EGM-VAR'!E13+'EAST-LRC-VAR'!E13+'TX-EGM-VAR'!E13+'TX-HPLR-VAR '!E13+'WE-VAR'!E13+BUG_VAR!E13+'TX-HPLC-VAR'!E13+'ARUBA-VAR'!E13</f>
        <v>313803653</v>
      </c>
      <c r="F13" s="65">
        <f>STG_VAR!F13+ONT_VAR!F13+'CE-VAR'!F13+'EAST-EGM-VAR'!F13+'BGC-EGM-VAR'!F13+'EAST-LRC-VAR'!F13+'TX-EGM-VAR'!F13+'TX-HPLR-VAR '!F13+'WE-VAR'!F13+BUG_VAR!F13+'TX-HPLC-VAR'!F13+'ARUBA-VAR'!F13</f>
        <v>22855492</v>
      </c>
      <c r="G13" s="65">
        <f>STG_VAR!G13+ONT_VAR!G13+'CE-VAR'!G13+'EAST-EGM-VAR'!G13+'BGC-EGM-VAR'!G13+'EAST-LRC-VAR'!G13+'TX-EGM-VAR'!G13+'TX-HPLR-VAR '!G13+'WE-VAR'!G13+BUG_VAR!G13+'TX-HPLC-VAR'!G13+'ARUBA-VAR'!G13</f>
        <v>52927518</v>
      </c>
      <c r="H13" s="60">
        <f t="shared" ref="H13:I15" si="0">F13-D13</f>
        <v>-91377295</v>
      </c>
      <c r="I13" s="38">
        <f t="shared" si="0"/>
        <v>-260876135</v>
      </c>
    </row>
    <row r="14" spans="1:22" x14ac:dyDescent="0.25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-48849</v>
      </c>
      <c r="F14" s="65">
        <f>STG_VAR!F14+ONT_VAR!F14+'CE-VAR'!F14+'EAST-EGM-VAR'!F14+'BGC-EGM-VAR'!F14+'EAST-LRC-VAR'!F14+'TX-EGM-VAR'!F14+'TX-HPLR-VAR '!F14+'WE-VAR'!F14+BUG_VAR!F14+'TX-HPLC-VAR'!F14+'ARUBA-VAR'!F14</f>
        <v>0</v>
      </c>
      <c r="G14" s="65">
        <f>STG_VAR!G14+ONT_VAR!G14+'CE-VAR'!G14+'EAST-EGM-VAR'!G14+'BGC-EGM-VAR'!G14+'EAST-LRC-VAR'!G14+'TX-EGM-VAR'!G14+'TX-HPLR-VAR '!G14+'WE-VAR'!G14+BUG_VAR!G14+'TX-HPLC-VAR'!G14+'ARUBA-VAR'!G14</f>
        <v>0</v>
      </c>
      <c r="H14" s="60">
        <f t="shared" si="0"/>
        <v>0</v>
      </c>
      <c r="I14" s="38">
        <f t="shared" si="0"/>
        <v>48849</v>
      </c>
    </row>
    <row r="15" spans="1:22" x14ac:dyDescent="0.25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'!F15+'WE-VAR'!F15+BUG_VAR!F15+'TX-HPLC-VAR'!F15+'ARUBA-VAR'!F15</f>
        <v>0</v>
      </c>
      <c r="G15" s="65">
        <f>STG_VAR!G15+ONT_VAR!G15+'CE-VAR'!G15+'EAST-EGM-VAR'!G15+'BGC-EGM-VAR'!G15+'EAST-LRC-VAR'!G15+'TX-EGM-VAR'!G15+'TX-HPLR-VAR '!G15+'WE-VAR'!G15+BUG_VAR!G15+'TX-HPLC-VAR'!G15+'ARUBA-VAR'!G15</f>
        <v>15724440.08</v>
      </c>
      <c r="H15" s="60">
        <f t="shared" si="0"/>
        <v>0</v>
      </c>
      <c r="I15" s="38">
        <f t="shared" si="0"/>
        <v>15724440.08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422137673</v>
      </c>
      <c r="E16" s="39">
        <f t="shared" si="1"/>
        <v>1118719157</v>
      </c>
      <c r="F16" s="61">
        <f t="shared" si="1"/>
        <v>288826101</v>
      </c>
      <c r="G16" s="39">
        <f t="shared" si="1"/>
        <v>759237647.33000004</v>
      </c>
      <c r="H16" s="61">
        <f t="shared" si="1"/>
        <v>-133311572</v>
      </c>
      <c r="I16" s="39">
        <f t="shared" si="1"/>
        <v>-359481509.66999996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-318580972</v>
      </c>
      <c r="E19" s="65">
        <f>STG_VAR!E19+ONT_VAR!E19+'CE-VAR'!E19+'EAST-EGM-VAR'!E19+'BGC-EGM-VAR'!E19+'EAST-LRC-VAR'!E19+'TX-EGM-VAR'!E19+'TX-HPLR-VAR '!E19+'WE-VAR'!E19+BUG_VAR!E19+'TX-HPLC-VAR'!E19+'ARUBA-VAR'!E19</f>
        <v>-815808167</v>
      </c>
      <c r="F19" s="65">
        <f>STG_VAR!F19+ONT_VAR!F19+'CE-VAR'!F19+'EAST-EGM-VAR'!F19+'BGC-EGM-VAR'!F19+'EAST-LRC-VAR'!F19+'TX-EGM-VAR'!F19+'TX-HPLR-VAR '!F19+'WE-VAR'!F19+BUG_VAR!F19+'TX-HPLC-VAR'!F19+'ARUBA-VAR'!F19</f>
        <v>-273202572</v>
      </c>
      <c r="G19" s="65">
        <f>STG_VAR!G19+ONT_VAR!G19+'CE-VAR'!G19+'EAST-EGM-VAR'!G19+'BGC-EGM-VAR'!G19+'EAST-LRC-VAR'!G19+'TX-EGM-VAR'!G19+'TX-HPLR-VAR '!G19+'WE-VAR'!G19+BUG_VAR!G19+'TX-HPLC-VAR'!G19+'ARUBA-VAR'!G19</f>
        <v>-682124670.83000004</v>
      </c>
      <c r="H19" s="60">
        <f>F19-D19</f>
        <v>45378400</v>
      </c>
      <c r="I19" s="38">
        <f>G19-E19</f>
        <v>133683496.16999996</v>
      </c>
    </row>
    <row r="20" spans="1:9" x14ac:dyDescent="0.25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-8158223.8800000008</v>
      </c>
      <c r="H20" s="60">
        <f>F20-D20</f>
        <v>0</v>
      </c>
      <c r="I20" s="38">
        <f>G20-E20</f>
        <v>-8158223.8800000008</v>
      </c>
    </row>
    <row r="21" spans="1:9" x14ac:dyDescent="0.25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-115482271</v>
      </c>
      <c r="E21" s="65">
        <f>STG_VAR!E21+ONT_VAR!E21+'CE-VAR'!E21+'EAST-EGM-VAR'!E21+'BGC-EGM-VAR'!E21+'EAST-LRC-VAR'!E21+'TX-EGM-VAR'!E21+'TX-HPLR-VAR '!E21+'WE-VAR'!E21+BUG_VAR!E21+'TX-HPLC-VAR'!E21+'ARUBA-VAR'!E21</f>
        <v>-316982744</v>
      </c>
      <c r="F21" s="65">
        <f>STG_VAR!F21+ONT_VAR!F21+'CE-VAR'!F21+'EAST-EGM-VAR'!F21+'BGC-EGM-VAR'!F21+'EAST-LRC-VAR'!F21+'TX-EGM-VAR'!F21+'TX-HPLR-VAR '!F21+'WE-VAR'!F21+BUG_VAR!F21+'TX-HPLC-VAR'!F21+'ARUBA-VAR'!F21</f>
        <v>-22855492</v>
      </c>
      <c r="G21" s="65">
        <f>STG_VAR!G21+ONT_VAR!G21+'CE-VAR'!G21+'EAST-EGM-VAR'!G21+'BGC-EGM-VAR'!G21+'EAST-LRC-VAR'!G21+'TX-EGM-VAR'!G21+'TX-HPLR-VAR '!G21+'WE-VAR'!G21+BUG_VAR!G21+'TX-HPLC-VAR'!G21+'ARUBA-VAR'!G21</f>
        <v>-60803860</v>
      </c>
      <c r="H21" s="60">
        <f t="shared" ref="H21:I23" si="2">F21-D21</f>
        <v>92626779</v>
      </c>
      <c r="I21" s="38">
        <f t="shared" si="2"/>
        <v>256178884</v>
      </c>
    </row>
    <row r="22" spans="1:9" x14ac:dyDescent="0.25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1502857</v>
      </c>
      <c r="E23" s="65">
        <f>STG_VAR!E23+ONT_VAR!E23+'CE-VAR'!E23+'EAST-EGM-VAR'!E23+'BGC-EGM-VAR'!E23+'EAST-LRC-VAR'!E23+'TX-EGM-VAR'!E23+'TX-HPLR-VAR '!E23+'WE-VAR'!E23+BUG_VAR!E23+'TX-HPLC-VAR'!E23+'ARUBA-VAR'!E23</f>
        <v>4026255</v>
      </c>
      <c r="F23" s="65">
        <f>STG_VAR!F23+ONT_VAR!F23+'CE-VAR'!F23+'EAST-EGM-VAR'!F23+'BGC-EGM-VAR'!F23+'EAST-LRC-VAR'!F23+'TX-EGM-VAR'!F23+'TX-HPLR-VAR '!F23+'WE-VAR'!F23+BUG_VAR!F23+'TX-HPLC-VAR'!F23+'ARUBA-VAR'!F23</f>
        <v>1671481</v>
      </c>
      <c r="G23" s="65">
        <f>STG_VAR!G23+ONT_VAR!G23+'CE-VAR'!G23+'EAST-EGM-VAR'!G23+'BGC-EGM-VAR'!G23+'EAST-LRC-VAR'!G23+'TX-EGM-VAR'!G23+'TX-HPLR-VAR '!G23+'WE-VAR'!G23+BUG_VAR!G23+'TX-HPLC-VAR'!G23+'ARUBA-VAR'!G23</f>
        <v>4004293.3679999998</v>
      </c>
      <c r="H23" s="60">
        <f t="shared" si="2"/>
        <v>168624</v>
      </c>
      <c r="I23" s="38">
        <f t="shared" si="2"/>
        <v>-21961.632000000216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-432560386</v>
      </c>
      <c r="E24" s="39">
        <f t="shared" si="3"/>
        <v>-1128764656</v>
      </c>
      <c r="F24" s="61">
        <f t="shared" si="3"/>
        <v>-294386583</v>
      </c>
      <c r="G24" s="39">
        <f t="shared" si="3"/>
        <v>-747082461.34200001</v>
      </c>
      <c r="H24" s="61">
        <f t="shared" si="3"/>
        <v>138173803</v>
      </c>
      <c r="I24" s="39">
        <f t="shared" si="3"/>
        <v>381682194.65799993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17101591</v>
      </c>
      <c r="E27" s="65">
        <f>STG_VAR!E27+ONT_VAR!E27+'CE-VAR'!E27+'EAST-EGM-VAR'!E27+'BGC-EGM-VAR'!E27+'EAST-LRC-VAR'!E27+'TX-EGM-VAR'!E27+'TX-HPLR-VAR '!E27+'WE-VAR'!E27+BUG_VAR!E27+'TX-HPLC-VAR'!E27+'ARUBA-VAR'!E27</f>
        <v>45570982</v>
      </c>
      <c r="F27" s="65">
        <f>STG_VAR!F27+ONT_VAR!F27+'CE-VAR'!F27+'EAST-EGM-VAR'!F27+'BGC-EGM-VAR'!F27+'EAST-LRC-VAR'!F27+'TX-EGM-VAR'!F27+'TX-HPLR-VAR '!F27+'WE-VAR'!F27+BUG_VAR!F27+'TX-HPLC-VAR'!F27+'ARUBA-VAR'!F27</f>
        <v>27638171</v>
      </c>
      <c r="G27" s="65">
        <f>STG_VAR!G27+ONT_VAR!G27+'CE-VAR'!G27+'EAST-EGM-VAR'!G27+'BGC-EGM-VAR'!G27+'EAST-LRC-VAR'!G27+'TX-EGM-VAR'!G27+'TX-HPLR-VAR '!G27+'WE-VAR'!G27+BUG_VAR!G27+'TX-HPLC-VAR'!G27+'ARUBA-VAR'!G27</f>
        <v>76270164.870000005</v>
      </c>
      <c r="H27" s="60">
        <f>F27-D27</f>
        <v>10536580</v>
      </c>
      <c r="I27" s="38">
        <f>G27-E27</f>
        <v>30699182.870000005</v>
      </c>
    </row>
    <row r="28" spans="1:9" x14ac:dyDescent="0.25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-12256203</v>
      </c>
      <c r="E28" s="65">
        <f>STG_VAR!E28+ONT_VAR!E28+'CE-VAR'!E28+'EAST-EGM-VAR'!E28+'BGC-EGM-VAR'!E28+'EAST-LRC-VAR'!E28+'TX-EGM-VAR'!E28+'TX-HPLR-VAR '!E28+'WE-VAR'!E28+BUG_VAR!E28+'TX-HPLC-VAR'!E28+'ARUBA-VAR'!E28</f>
        <v>-32774802</v>
      </c>
      <c r="F28" s="65">
        <f>STG_VAR!F28+ONT_VAR!F28+'CE-VAR'!F28+'EAST-EGM-VAR'!F28+'BGC-EGM-VAR'!F28+'EAST-LRC-VAR'!F28+'TX-EGM-VAR'!F28+'TX-HPLR-VAR '!F28+'WE-VAR'!F28+BUG_VAR!F28+'TX-HPLC-VAR'!F28+'ARUBA-VAR'!F28</f>
        <v>-27587970</v>
      </c>
      <c r="G28" s="65">
        <f>STG_VAR!G28+ONT_VAR!G28+'CE-VAR'!G28+'EAST-EGM-VAR'!G28+'BGC-EGM-VAR'!G28+'EAST-LRC-VAR'!G28+'TX-EGM-VAR'!G28+'TX-HPLR-VAR '!G28+'WE-VAR'!G28+BUG_VAR!G28+'TX-HPLC-VAR'!G28+'ARUBA-VAR'!G28</f>
        <v>-76103941.920000002</v>
      </c>
      <c r="H28" s="60">
        <f>F28-D28</f>
        <v>-15331767</v>
      </c>
      <c r="I28" s="38">
        <f>G28-E28</f>
        <v>-43329139.920000002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50201</v>
      </c>
      <c r="G29" s="70">
        <f t="shared" si="4"/>
        <v>166222.95000000298</v>
      </c>
      <c r="H29" s="69">
        <f t="shared" si="4"/>
        <v>-4795187</v>
      </c>
      <c r="I29" s="70">
        <f t="shared" si="4"/>
        <v>-12629957.049999997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-50897</v>
      </c>
      <c r="E32" s="65">
        <f>STG_VAR!E32+ONT_VAR!E32+'CE-VAR'!E32+'EAST-EGM-VAR'!E32+'BGC-EGM-VAR'!E32+'EAST-LRC-VAR'!E32+'TX-EGM-VAR'!E32+'TX-HPLR-VAR '!E32+'WE-VAR'!E32+BUG_VAR!E32+'TX-HPLC-VAR'!E32+'ARUBA-VAR'!E32</f>
        <v>87714</v>
      </c>
      <c r="F32" s="65">
        <f>STG_VAR!F32+ONT_VAR!F32+'CE-VAR'!F32+'EAST-EGM-VAR'!F32+'BGC-EGM-VAR'!F32+'EAST-LRC-VAR'!F32+'TX-EGM-VAR'!F32+'TX-HPLR-VAR '!F32+'WE-VAR'!F32+BUG_VAR!F32+'TX-HPLC-VAR'!F32+'ARUBA-VAR'!F32</f>
        <v>1062792</v>
      </c>
      <c r="G32" s="65">
        <f>STG_VAR!G32+ONT_VAR!G32+'CE-VAR'!G32+'EAST-EGM-VAR'!G32+'BGC-EGM-VAR'!G32+'EAST-LRC-VAR'!G32+'TX-EGM-VAR'!G32+'TX-HPLR-VAR '!G32+'WE-VAR'!G32+BUG_VAR!G32+'TX-HPLC-VAR'!G32+'ARUBA-VAR'!G32</f>
        <v>-344678.86199999985</v>
      </c>
      <c r="H32" s="60">
        <f>F32-D32</f>
        <v>1113689</v>
      </c>
      <c r="I32" s="38">
        <f>G32-E32</f>
        <v>-432392.86199999985</v>
      </c>
    </row>
    <row r="33" spans="1:9" x14ac:dyDescent="0.25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466620</v>
      </c>
      <c r="E33" s="65">
        <f>STG_VAR!E33+ONT_VAR!E33+'CE-VAR'!E33+'EAST-EGM-VAR'!E33+'BGC-EGM-VAR'!E33+'EAST-LRC-VAR'!E33+'TX-EGM-VAR'!E33+'TX-HPLR-VAR '!E33+'WE-VAR'!E33+BUG_VAR!E33+'TX-HPLC-VAR'!E33+'ARUBA-VAR'!E33</f>
        <v>1139339</v>
      </c>
      <c r="F33" s="65">
        <f>STG_VAR!F33+ONT_VAR!F33+'CE-VAR'!F33+'EAST-EGM-VAR'!F33+'BGC-EGM-VAR'!F33+'EAST-LRC-VAR'!F33+'TX-EGM-VAR'!F33+'TX-HPLR-VAR '!F33+'WE-VAR'!F33+BUG_VAR!F33+'TX-HPLC-VAR'!F33+'ARUBA-VAR'!F33</f>
        <v>-332276</v>
      </c>
      <c r="G33" s="65">
        <f>STG_VAR!G33+ONT_VAR!G33+'CE-VAR'!G33+'EAST-EGM-VAR'!G33+'BGC-EGM-VAR'!G33+'EAST-LRC-VAR'!G33+'TX-EGM-VAR'!G33+'TX-HPLR-VAR '!G33+'WE-VAR'!G33+BUG_VAR!G33+'TX-HPLC-VAR'!G33+'ARUBA-VAR'!G33</f>
        <v>-943274.95999999985</v>
      </c>
      <c r="H33" s="60">
        <f t="shared" ref="H33:I35" si="5">F33-D33</f>
        <v>-798896</v>
      </c>
      <c r="I33" s="38">
        <f t="shared" si="5"/>
        <v>-2082613.96</v>
      </c>
    </row>
    <row r="34" spans="1:9" x14ac:dyDescent="0.25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-600495</v>
      </c>
      <c r="E34" s="65">
        <f>STG_VAR!E34+ONT_VAR!E34+'CE-VAR'!E34+'EAST-EGM-VAR'!E34+'BGC-EGM-VAR'!E34+'EAST-LRC-VAR'!E34+'TX-EGM-VAR'!E34+'TX-HPLR-VAR '!E34+'WE-VAR'!E34+BUG_VAR!E34+'TX-HPLC-VAR'!E34+'ARUBA-VAR'!E34</f>
        <v>-1463229</v>
      </c>
      <c r="F34" s="65">
        <f>STG_VAR!F34+ONT_VAR!F34+'CE-VAR'!F34+'EAST-EGM-VAR'!F34+'BGC-EGM-VAR'!F34+'EAST-LRC-VAR'!F34+'TX-EGM-VAR'!F34+'TX-HPLR-VAR '!F34+'WE-VAR'!F34+BUG_VAR!F34+'TX-HPLC-VAR'!F34+'ARUBA-VAR'!F34</f>
        <v>74678</v>
      </c>
      <c r="G34" s="65">
        <f>STG_VAR!G34+ONT_VAR!G34+'CE-VAR'!G34+'EAST-EGM-VAR'!G34+'BGC-EGM-VAR'!G34+'EAST-LRC-VAR'!G34+'TX-EGM-VAR'!G34+'TX-HPLR-VAR '!G34+'WE-VAR'!G34+BUG_VAR!G34+'TX-HPLC-VAR'!G34+'ARUBA-VAR'!G34</f>
        <v>198191.99</v>
      </c>
      <c r="H34" s="60">
        <f t="shared" si="5"/>
        <v>675173</v>
      </c>
      <c r="I34" s="38">
        <f t="shared" si="5"/>
        <v>1661420.99</v>
      </c>
    </row>
    <row r="35" spans="1:9" x14ac:dyDescent="0.25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1196687</v>
      </c>
      <c r="E35" s="65">
        <f>STG_VAR!E35+ONT_VAR!E35+'CE-VAR'!E35+'EAST-EGM-VAR'!E35+'BGC-EGM-VAR'!E35+'EAST-LRC-VAR'!E35+'TX-EGM-VAR'!E35+'TX-HPLR-VAR '!E35+'WE-VAR'!E35+BUG_VAR!E35+'TX-HPLC-VAR'!E35+'ARUBA-VAR'!E35</f>
        <v>1571890</v>
      </c>
      <c r="F35" s="65">
        <f>STG_VAR!F35+ONT_VAR!F35+'CE-VAR'!F35+'EAST-EGM-VAR'!F35+'BGC-EGM-VAR'!F35+'EAST-LRC-VAR'!F35+'TX-EGM-VAR'!F35+'TX-HPLR-VAR '!F35+'WE-VAR'!F35+BUG_VAR!F35+'TX-HPLC-VAR'!F35+'ARUBA-VAR'!F35</f>
        <v>43159</v>
      </c>
      <c r="G35" s="65">
        <f>STG_VAR!G35+ONT_VAR!G35+'CE-VAR'!G35+'EAST-EGM-VAR'!G35+'BGC-EGM-VAR'!G35+'EAST-LRC-VAR'!G35+'TX-EGM-VAR'!G35+'TX-HPLR-VAR '!G35+'WE-VAR'!G35+BUG_VAR!G35+'TX-HPLC-VAR'!G35+'ARUBA-VAR'!G35</f>
        <v>1605950</v>
      </c>
      <c r="H35" s="60">
        <f t="shared" si="5"/>
        <v>-1153528</v>
      </c>
      <c r="I35" s="38">
        <f t="shared" si="5"/>
        <v>34060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1011915</v>
      </c>
      <c r="E36" s="39">
        <f t="shared" si="6"/>
        <v>1335714</v>
      </c>
      <c r="F36" s="61">
        <f t="shared" si="6"/>
        <v>848353</v>
      </c>
      <c r="G36" s="39">
        <f t="shared" si="6"/>
        <v>516188.1680000003</v>
      </c>
      <c r="H36" s="61">
        <f t="shared" si="6"/>
        <v>-163562</v>
      </c>
      <c r="I36" s="39">
        <f t="shared" si="6"/>
        <v>-819525.8319999997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5739957</v>
      </c>
      <c r="E39" s="65">
        <f>STG_VAR!E39+ONT_VAR!E39+'CE-VAR'!E39+'EAST-EGM-VAR'!E39+'BGC-EGM-VAR'!E39+'EAST-LRC-VAR'!E39+'TX-EGM-VAR'!E39+'TX-HPLR-VAR '!E39+'WE-VAR'!E39+BUG_VAR!E39+'TX-HPLC-VAR'!E39+'ARUBA-VAR'!E39</f>
        <v>14969867</v>
      </c>
      <c r="F39" s="65">
        <f>STG_VAR!F39+ONT_VAR!F39+'CE-VAR'!F39+'EAST-EGM-VAR'!F39+'BGC-EGM-VAR'!F39+'EAST-LRC-VAR'!F39+'TX-EGM-VAR'!F39+'TX-HPLR-VAR '!F39+'WE-VAR'!F39+BUG_VAR!F39+'TX-HPLC-VAR'!F39+'ARUBA-VAR'!F39</f>
        <v>5276320</v>
      </c>
      <c r="G39" s="65">
        <f>STG_VAR!G39+ONT_VAR!G39+'CE-VAR'!G39+'EAST-EGM-VAR'!G39+'BGC-EGM-VAR'!G39+'EAST-LRC-VAR'!G39+'TX-EGM-VAR'!G39+'TX-HPLR-VAR '!G39+'WE-VAR'!G39+BUG_VAR!G39+'TX-HPLC-VAR'!G39+'ARUBA-VAR'!G39</f>
        <v>13016322.99</v>
      </c>
      <c r="H39" s="60">
        <f t="shared" ref="H39:I41" si="7">F39-D39</f>
        <v>-463637</v>
      </c>
      <c r="I39" s="38">
        <f t="shared" si="7"/>
        <v>-1953544.0099999998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-1280571</v>
      </c>
      <c r="E40" s="65">
        <f>STG_VAR!E40+ONT_VAR!E40+'CE-VAR'!E40+'EAST-EGM-VAR'!E40+'BGC-EGM-VAR'!E40+'EAST-LRC-VAR'!E40+'TX-EGM-VAR'!E40+'TX-HPLR-VAR '!E40+'WE-VAR'!E40+BUG_VAR!E40+'TX-HPLC-VAR'!E40+'ARUBA-VAR'!E40</f>
        <v>-3303383</v>
      </c>
      <c r="F40" s="65">
        <f>STG_VAR!F40+ONT_VAR!F40+'CE-VAR'!F40+'EAST-EGM-VAR'!F40+'BGC-EGM-VAR'!F40+'EAST-LRC-VAR'!F40+'TX-EGM-VAR'!F40+'TX-HPLR-VAR '!F40+'WE-VAR'!F40+BUG_VAR!F40+'TX-HPLC-VAR'!F40+'ARUBA-VAR'!F40</f>
        <v>-1080990</v>
      </c>
      <c r="G40" s="65">
        <f>STG_VAR!G40+ONT_VAR!G40+'CE-VAR'!G40+'EAST-EGM-VAR'!G40+'BGC-EGM-VAR'!G40+'EAST-LRC-VAR'!G40+'TX-EGM-VAR'!G40+'TX-HPLR-VAR '!G40+'WE-VAR'!G40+BUG_VAR!G40+'TX-HPLC-VAR'!G40+'ARUBA-VAR'!G40</f>
        <v>-2351743.7500000005</v>
      </c>
      <c r="H40" s="60">
        <f t="shared" si="7"/>
        <v>199581</v>
      </c>
      <c r="I40" s="38">
        <f t="shared" si="7"/>
        <v>951639.24999999953</v>
      </c>
    </row>
    <row r="41" spans="1:9" x14ac:dyDescent="0.25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182951</v>
      </c>
      <c r="H41" s="60">
        <f t="shared" si="7"/>
        <v>0</v>
      </c>
      <c r="I41" s="38">
        <f t="shared" si="7"/>
        <v>182951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-1280571</v>
      </c>
      <c r="E42" s="70">
        <f t="shared" si="8"/>
        <v>-3303383</v>
      </c>
      <c r="F42" s="69">
        <f t="shared" si="8"/>
        <v>-1080990</v>
      </c>
      <c r="G42" s="70">
        <f t="shared" si="8"/>
        <v>-2168792.7500000005</v>
      </c>
      <c r="H42" s="69">
        <f t="shared" si="8"/>
        <v>199581</v>
      </c>
      <c r="I42" s="70">
        <f t="shared" si="8"/>
        <v>1134590.2499999995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4459386</v>
      </c>
      <c r="E43" s="39">
        <f t="shared" si="9"/>
        <v>11666484</v>
      </c>
      <c r="F43" s="61">
        <f t="shared" si="9"/>
        <v>4195330</v>
      </c>
      <c r="G43" s="39">
        <f t="shared" si="9"/>
        <v>10847530.24</v>
      </c>
      <c r="H43" s="61">
        <f t="shared" si="9"/>
        <v>-264056</v>
      </c>
      <c r="I43" s="39">
        <f t="shared" si="9"/>
        <v>-818953.76000000024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0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168</v>
      </c>
      <c r="G45" s="65">
        <f>STG_VAR!G45+ONT_VAR!G45+'CE-VAR'!G45+'EAST-EGM-VAR'!G45+'BGC-EGM-VAR'!G45+'EAST-LRC-VAR'!G45+'TX-EGM-VAR'!G45+'TX-HPLR-VAR '!G45+'WE-VAR'!G45+BUG_VAR!G45+'TX-HPLC-VAR'!G45+'ARUBA-VAR'!G45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106040</v>
      </c>
      <c r="E49" s="65">
        <f>STG_VAR!E49+ONT_VAR!E49+'CE-VAR'!E49+'EAST-EGM-VAR'!E49+'BGC-EGM-VAR'!E49+'EAST-LRC-VAR'!E49+'TX-EGM-VAR'!E49+'TX-HPLR-VAR '!E49+'WE-VAR'!E49+BUG_VAR!E49+'TX-HPLC-VAR'!E49+'ARUBA-VAR'!E49</f>
        <v>432967.20321926702</v>
      </c>
      <c r="F49" s="65">
        <f>STG_VAR!F49+ONT_VAR!F49+'CE-VAR'!F49+'EAST-EGM-VAR'!F49+'BGC-EGM-VAR'!F49+'EAST-LRC-VAR'!F49+'TX-EGM-VAR'!F49+'TX-HPLR-VAR '!F49+'WE-VAR'!F49+BUG_VAR!F49+'TX-HPLC-VAR'!F49+'ARUBA-VAR'!F49</f>
        <v>466430</v>
      </c>
      <c r="G49" s="65">
        <f>STG_VAR!G49+ONT_VAR!G49+'CE-VAR'!G49+'EAST-EGM-VAR'!G49+'BGC-EGM-VAR'!G49+'EAST-LRC-VAR'!G49+'TX-EGM-VAR'!G49+'TX-HPLR-VAR '!G49+'WE-VAR'!G49+BUG_VAR!G49+'TX-HPLC-VAR'!G49+'ARUBA-VAR'!G49</f>
        <v>2641808.6679999977</v>
      </c>
      <c r="H49" s="60">
        <f>F49-D49</f>
        <v>360390</v>
      </c>
      <c r="I49" s="38">
        <f>G49-E49</f>
        <v>2208841.4647807307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-1502070</v>
      </c>
      <c r="E51" s="65">
        <f>STG_VAR!E51+ONT_VAR!E51+'CE-VAR'!E51+'EAST-EGM-VAR'!E51+'BGC-EGM-VAR'!E51+'EAST-LRC-VAR'!E51+'TX-EGM-VAR'!E51+'TX-HPLR-VAR '!E51+'WE-VAR'!E51+BUG_VAR!E51+'TX-HPLC-VAR'!E51+'ARUBA-VAR'!E51</f>
        <v>-4027722</v>
      </c>
      <c r="F51" s="65">
        <f>STG_VAR!F51+ONT_VAR!F51+'CE-VAR'!F51+'EAST-EGM-VAR'!F51+'BGC-EGM-VAR'!F51+'EAST-LRC-VAR'!F51+'TX-EGM-VAR'!F51+'TX-HPLR-VAR '!F51+'WE-VAR'!F51+BUG_VAR!F51+'TX-HPLC-VAR'!F51+'ARUBA-VAR'!F51</f>
        <v>-1705797</v>
      </c>
      <c r="G51" s="65">
        <f>STG_VAR!G51+ONT_VAR!G51+'CE-VAR'!G51+'EAST-EGM-VAR'!G51+'BGC-EGM-VAR'!G51+'EAST-LRC-VAR'!G51+'TX-EGM-VAR'!G51+'TX-HPLR-VAR '!G51+'WE-VAR'!G51+BUG_VAR!G51+'TX-HPLC-VAR'!G51+'ARUBA-VAR'!G51</f>
        <v>-4201749.6979999999</v>
      </c>
      <c r="H51" s="60">
        <f>F51-D51</f>
        <v>-203727</v>
      </c>
      <c r="I51" s="38">
        <f>G51-E51</f>
        <v>-174027.69799999986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-3386971.1799999997</v>
      </c>
      <c r="F54" s="65">
        <f>STG_VAR!F54+ONT_VAR!F54+'CE-VAR'!F54+'EAST-EGM-VAR'!F54+'BGC-EGM-VAR'!F54+'EAST-LRC-VAR'!F54+'TX-EGM-VAR'!F54+'TX-HPLR-VAR '!F54+'WE-VAR'!F54+BUG_VAR!F54+'TX-HPLC-VAR'!F54+'ARUBA-VAR'!F54</f>
        <v>-152410239</v>
      </c>
      <c r="G54" s="65">
        <f>STG_VAR!G54+ONT_VAR!G54+'CE-VAR'!G54+'EAST-EGM-VAR'!G54+'BGC-EGM-VAR'!G54+'EAST-LRC-VAR'!G54+'TX-EGM-VAR'!G54+'TX-HPLR-VAR '!G54+'WE-VAR'!G54+BUG_VAR!G54+'TX-HPLC-VAR'!G54+'ARUBA-VAR'!G54</f>
        <v>-6030790.1600000001</v>
      </c>
      <c r="H54" s="60">
        <f>F54-D54</f>
        <v>-152410239</v>
      </c>
      <c r="I54" s="38">
        <f>G54-E54</f>
        <v>-2643818.9800000004</v>
      </c>
    </row>
    <row r="55" spans="1:9" x14ac:dyDescent="0.25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-3927899.51</v>
      </c>
      <c r="F55" s="65">
        <f>STG_VAR!F55+ONT_VAR!F55+'CE-VAR'!F55+'EAST-EGM-VAR'!F55+'BGC-EGM-VAR'!F55+'EAST-LRC-VAR'!F55+'TX-EGM-VAR'!F55+'TX-HPLR-VAR '!F55+'WE-VAR'!F55+BUG_VAR!F55+'TX-HPLC-VAR'!F55+'ARUBA-VAR'!F55</f>
        <v>37935</v>
      </c>
      <c r="G55" s="65">
        <f>STG_VAR!G55+ONT_VAR!G55+'CE-VAR'!G55+'EAST-EGM-VAR'!G55+'BGC-EGM-VAR'!G55+'EAST-LRC-VAR'!G55+'TX-EGM-VAR'!G55+'TX-HPLR-VAR '!G55+'WE-VAR'!G55+BUG_VAR!G55+'TX-HPLC-VAR'!G55+'ARUBA-VAR'!G55</f>
        <v>-15105665.74</v>
      </c>
      <c r="H55" s="60">
        <f>F55-D55</f>
        <v>37935</v>
      </c>
      <c r="I55" s="38">
        <f>G55-E55</f>
        <v>-11177766.23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-7314870.6899999995</v>
      </c>
      <c r="F56" s="61">
        <f t="shared" si="10"/>
        <v>-152372304</v>
      </c>
      <c r="G56" s="39">
        <f t="shared" si="10"/>
        <v>-21136455.899999999</v>
      </c>
      <c r="H56" s="61">
        <f t="shared" si="10"/>
        <v>-152372304</v>
      </c>
      <c r="I56" s="39">
        <f t="shared" si="10"/>
        <v>-13821585.210000001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3174494</v>
      </c>
      <c r="G59" s="65">
        <f>STG_VAR!G59+ONT_VAR!G59+'CE-VAR'!G59+'EAST-EGM-VAR'!G59+'BGC-EGM-VAR'!G59+'EAST-LRC-VAR'!G59+'TX-EGM-VAR'!G59+'TX-HPLR-VAR '!G59+'WE-VAR'!G59+BUG_VAR!G59+'TX-HPLC-VAR'!G59+'ARUBA-VAR'!G59</f>
        <v>116886.92</v>
      </c>
      <c r="H59" s="60">
        <f>F59-D59</f>
        <v>3174494</v>
      </c>
      <c r="I59" s="38">
        <f>G59-E59</f>
        <v>116886.92</v>
      </c>
    </row>
    <row r="60" spans="1:9" x14ac:dyDescent="0.25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32427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32427</v>
      </c>
      <c r="I60" s="38">
        <f>G60-E60</f>
        <v>293262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3206921</v>
      </c>
      <c r="G61" s="70">
        <f t="shared" si="11"/>
        <v>410148.92</v>
      </c>
      <c r="H61" s="69">
        <f t="shared" si="11"/>
        <v>3206921</v>
      </c>
      <c r="I61" s="70">
        <f t="shared" si="11"/>
        <v>410148.92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42944</v>
      </c>
      <c r="F64" s="65">
        <f>STG_VAR!F64+ONT_VAR!F64+'CE-VAR'!F64+'EAST-EGM-VAR'!F64+'BGC-EGM-VAR'!F64+'EAST-LRC-VAR'!F64+'TX-EGM-VAR'!F64+'TX-HPLR-VAR '!F64+'WE-VAR'!F64+BUG_VAR!F64+'TX-HPLC-VAR'!F64+'ARUBA-VAR'!F64</f>
        <v>-18492818</v>
      </c>
      <c r="G64" s="65">
        <f>STG_VAR!G64+ONT_VAR!G64+'CE-VAR'!G64+'EAST-EGM-VAR'!G64+'BGC-EGM-VAR'!G64+'EAST-LRC-VAR'!G64+'TX-EGM-VAR'!G64+'TX-HPLR-VAR '!G64+'WE-VAR'!G64+BUG_VAR!G64+'TX-HPLC-VAR'!G64+'ARUBA-VAR'!G64</f>
        <v>-2424035.3600000003</v>
      </c>
      <c r="H64" s="60">
        <f>F64-D64</f>
        <v>-18492818</v>
      </c>
      <c r="I64" s="38">
        <f>G64-E64</f>
        <v>-2466979.3600000003</v>
      </c>
    </row>
    <row r="65" spans="1:9" x14ac:dyDescent="0.25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18633111</v>
      </c>
      <c r="G65" s="65">
        <f>STG_VAR!G65+ONT_VAR!G65+'CE-VAR'!G65+'EAST-EGM-VAR'!G65+'BGC-EGM-VAR'!G65+'EAST-LRC-VAR'!G65+'TX-EGM-VAR'!G65+'TX-HPLR-VAR '!G65+'WE-VAR'!G65+BUG_VAR!G65+'TX-HPLC-VAR'!G65+'ARUBA-VAR'!G65</f>
        <v>2423076.84</v>
      </c>
      <c r="H65" s="60">
        <f>F65-D65</f>
        <v>18633111</v>
      </c>
      <c r="I65" s="38">
        <f>G65-E65</f>
        <v>2423076.84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-958.52000000048429</v>
      </c>
      <c r="H66" s="61">
        <f t="shared" si="12"/>
        <v>140293</v>
      </c>
      <c r="I66" s="39">
        <f t="shared" si="12"/>
        <v>-43902.520000000484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31146522.200352028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40809841.199999996</v>
      </c>
      <c r="H70" s="60">
        <f>F70-D70</f>
        <v>0</v>
      </c>
      <c r="I70" s="38">
        <f>G70-E70</f>
        <v>9663318.9996479675</v>
      </c>
    </row>
    <row r="71" spans="1:9" x14ac:dyDescent="0.25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-37097674.019999996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-37111490.700000003</v>
      </c>
      <c r="H71" s="60">
        <f>F71-D71</f>
        <v>0</v>
      </c>
      <c r="I71" s="38">
        <f>G71-E71</f>
        <v>-13816.680000007153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-5951151.8196479678</v>
      </c>
      <c r="F72" s="69">
        <f t="shared" si="13"/>
        <v>0</v>
      </c>
      <c r="G72" s="70">
        <f t="shared" si="13"/>
        <v>3698350.4999999925</v>
      </c>
      <c r="H72" s="69">
        <f t="shared" si="13"/>
        <v>0</v>
      </c>
      <c r="I72" s="70">
        <f t="shared" si="13"/>
        <v>9649502.3196479604</v>
      </c>
    </row>
    <row r="73" spans="1:9" x14ac:dyDescent="0.25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9823797.2400000002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9446902</v>
      </c>
      <c r="H74" s="60">
        <f t="shared" ref="H74:I79" si="14">F74-D74</f>
        <v>0</v>
      </c>
      <c r="I74" s="38">
        <f t="shared" si="14"/>
        <v>-376895.24000000022</v>
      </c>
    </row>
    <row r="75" spans="1:9" x14ac:dyDescent="0.25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141528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141500</v>
      </c>
      <c r="H75" s="60">
        <f t="shared" si="14"/>
        <v>0</v>
      </c>
      <c r="I75" s="38">
        <f t="shared" si="14"/>
        <v>-28</v>
      </c>
    </row>
    <row r="76" spans="1:9" x14ac:dyDescent="0.25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-61873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-66732.639999999999</v>
      </c>
      <c r="H76" s="60">
        <f t="shared" si="14"/>
        <v>0</v>
      </c>
      <c r="I76" s="38">
        <f t="shared" si="14"/>
        <v>-4859.6399999999994</v>
      </c>
    </row>
    <row r="77" spans="1:9" x14ac:dyDescent="0.25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-4318554</v>
      </c>
      <c r="H77" s="60">
        <f t="shared" si="14"/>
        <v>0</v>
      </c>
      <c r="I77" s="38">
        <f t="shared" si="14"/>
        <v>-276445</v>
      </c>
    </row>
    <row r="78" spans="1:9" x14ac:dyDescent="0.25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5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1581329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-1581329</v>
      </c>
    </row>
    <row r="80" spans="1:9" x14ac:dyDescent="0.25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-347480</v>
      </c>
      <c r="F81" s="65">
        <f>STG_VAR!F81+ONT_VAR!F81+'CE-VAR'!F81+'EAST-EGM-VAR'!F81+'BGC-EGM-VAR'!F81+'EAST-LRC-VAR'!F81+'TX-EGM-VAR'!F81+'TX-HPLR-VAR '!F81+'WE-VAR'!F81+BUG_VAR!F81+'TX-HPLC-VAR'!F81+'ARUBA-VAR'!F81</f>
        <v>0</v>
      </c>
      <c r="G81" s="65">
        <f>STG_VAR!G81+ONT_VAR!G81+'CE-VAR'!G81+'EAST-EGM-VAR'!G81+'BGC-EGM-VAR'!G81+'EAST-LRC-VAR'!G81+'TX-EGM-VAR'!G81+'TX-HPLR-VAR '!G81+'WE-VAR'!G81+BUG_VAR!G81+'TX-HPLC-VAR'!G81+'ARUBA-VAR'!G81</f>
        <v>-18074.239999999976</v>
      </c>
      <c r="H81" s="60">
        <f>F81-D81</f>
        <v>0</v>
      </c>
      <c r="I81" s="38">
        <f>G81-E81</f>
        <v>329405.76</v>
      </c>
    </row>
    <row r="82" spans="1:9" s="49" customFormat="1" ht="20.25" customHeight="1" thickBot="1" x14ac:dyDescent="0.3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6054761.8785711844</v>
      </c>
      <c r="F82" s="91">
        <f>F16+F24+F29+F36+F43+F45+F47+F49</f>
        <v>0</v>
      </c>
      <c r="G82" s="92">
        <f>SUM(G72:G81)+G16+G24+G29+G36+G43+G45+G47+G49+G51+G56+G61+G66</f>
        <v>10304593.106000036</v>
      </c>
      <c r="H82" s="91">
        <f>H16+H24+H29+H36+H43+H45+H47+H49</f>
        <v>-16</v>
      </c>
      <c r="I82" s="92">
        <f>SUM(I72:I81)+I16+I24+I29+I36+I43+I45+I47+I49+I51+I56+I61+I66</f>
        <v>4249831.2274286794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163</v>
      </c>
      <c r="B85" s="3"/>
      <c r="F85" s="31"/>
      <c r="G85" s="31"/>
      <c r="H85" s="31"/>
      <c r="I85" s="31"/>
    </row>
    <row r="86" spans="1:9" x14ac:dyDescent="0.25">
      <c r="A86" s="168"/>
      <c r="B86" s="3"/>
      <c r="C86" s="10" t="s">
        <v>166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392810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3581112.2</v>
      </c>
      <c r="H86" s="169">
        <f t="shared" ref="H86:I88" si="15">F86-D86</f>
        <v>0</v>
      </c>
      <c r="I86" s="169">
        <f t="shared" si="15"/>
        <v>3188302.2</v>
      </c>
    </row>
    <row r="87" spans="1:9" x14ac:dyDescent="0.25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0</v>
      </c>
      <c r="H87" s="170">
        <f t="shared" si="15"/>
        <v>0</v>
      </c>
      <c r="I87" s="170">
        <f t="shared" si="15"/>
        <v>0</v>
      </c>
    </row>
    <row r="88" spans="1:9" x14ac:dyDescent="0.25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-3188323</v>
      </c>
      <c r="H88" s="171">
        <f t="shared" si="15"/>
        <v>0</v>
      </c>
      <c r="I88" s="171">
        <f t="shared" si="15"/>
        <v>-3188323</v>
      </c>
    </row>
    <row r="89" spans="1:9" s="143" customFormat="1" x14ac:dyDescent="0.25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392810</v>
      </c>
      <c r="F89" s="184">
        <f t="shared" si="16"/>
        <v>0</v>
      </c>
      <c r="G89" s="184">
        <f t="shared" si="16"/>
        <v>392789.20000000019</v>
      </c>
      <c r="H89" s="184">
        <f t="shared" si="16"/>
        <v>0</v>
      </c>
      <c r="I89" s="184">
        <f t="shared" si="16"/>
        <v>-20.799999999813735</v>
      </c>
    </row>
    <row r="90" spans="1:9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5">
      <c r="A91" s="182"/>
      <c r="B91" s="183"/>
      <c r="C91" s="181" t="s">
        <v>172</v>
      </c>
      <c r="D91" s="184">
        <f t="shared" ref="D91:I91" si="17">+D82+D89</f>
        <v>16</v>
      </c>
      <c r="E91" s="184">
        <f t="shared" si="17"/>
        <v>6447571.8785711844</v>
      </c>
      <c r="F91" s="184">
        <f t="shared" si="17"/>
        <v>0</v>
      </c>
      <c r="G91" s="184">
        <f t="shared" si="17"/>
        <v>10697382.306000035</v>
      </c>
      <c r="H91" s="184">
        <f t="shared" si="17"/>
        <v>-16</v>
      </c>
      <c r="I91" s="184">
        <f t="shared" si="17"/>
        <v>4249810.4274286795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J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30610982</v>
      </c>
      <c r="E11" s="38">
        <f>SUM(G11,I11,K11,M11,O11,Q11,S11,U11,W11,Y11,AA11,AC11,AE11)</f>
        <v>74845092.390000001</v>
      </c>
      <c r="F11" s="60">
        <f>'TIE-OUT'!P11+RECLASS!N11</f>
        <v>0</v>
      </c>
      <c r="G11" s="38">
        <f>'TIE-OUT'!Q11+RECLASS!O11</f>
        <v>-439309</v>
      </c>
      <c r="H11" s="127">
        <f>+Actuals!E284</f>
        <v>30604706</v>
      </c>
      <c r="I11" s="128">
        <f>+Actuals!F284</f>
        <v>75295448.150000006</v>
      </c>
      <c r="J11" s="127">
        <f>+Actuals!G284</f>
        <v>-98918</v>
      </c>
      <c r="K11" s="128">
        <f>+Actuals!H284</f>
        <v>-257995.28</v>
      </c>
      <c r="L11" s="127">
        <f>+Actuals!I284</f>
        <v>-16247</v>
      </c>
      <c r="M11" s="128">
        <f>+Actuals!J284</f>
        <v>-35615.050000000003</v>
      </c>
      <c r="N11" s="127">
        <f>+Actuals!K484</f>
        <v>6366</v>
      </c>
      <c r="O11" s="128">
        <f>+Actuals!L484</f>
        <v>18340.89</v>
      </c>
      <c r="P11" s="127">
        <f>+Actuals!M484</f>
        <v>-6006</v>
      </c>
      <c r="Q11" s="128">
        <f>+Actuals!N484</f>
        <v>-14045.48</v>
      </c>
      <c r="R11" s="127">
        <f>+Actuals!O484</f>
        <v>0</v>
      </c>
      <c r="S11" s="128">
        <f>+Actuals!P484</f>
        <v>0</v>
      </c>
      <c r="T11" s="127">
        <f>+Actuals!Q484</f>
        <v>121081</v>
      </c>
      <c r="U11" s="128">
        <f>+Actuals!R484</f>
        <v>278268.15999999997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2462385.1599999997</v>
      </c>
      <c r="F12" s="60">
        <f>'TIE-OUT'!P12+RECLASS!N12</f>
        <v>0</v>
      </c>
      <c r="G12" s="38">
        <f>'TIE-OUT'!Q12+RECLASS!O12</f>
        <v>3283110.07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58">
        <v>-820724.91</v>
      </c>
      <c r="L12" s="127">
        <f>+Actuals!I285</f>
        <v>0</v>
      </c>
      <c r="M12" s="128">
        <f>+Actuals!J285</f>
        <v>0</v>
      </c>
      <c r="N12" s="127">
        <f>+Actuals!K485</f>
        <v>0</v>
      </c>
      <c r="O12" s="128">
        <f>+Actuals!L485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409730</v>
      </c>
      <c r="E13" s="38">
        <f t="shared" si="0"/>
        <v>1004881</v>
      </c>
      <c r="F13" s="60">
        <f>'TIE-OUT'!P13+RECLASS!N13</f>
        <v>0</v>
      </c>
      <c r="G13" s="38">
        <f>'TIE-OUT'!Q13+RECLASS!O13</f>
        <v>0</v>
      </c>
      <c r="H13" s="127">
        <f>+Actuals!E286</f>
        <v>15184082</v>
      </c>
      <c r="I13" s="128">
        <f>+Actuals!F286</f>
        <v>41586426</v>
      </c>
      <c r="J13" s="127">
        <f>+Actuals!G286</f>
        <v>409730</v>
      </c>
      <c r="K13" s="128">
        <f>+Actuals!H286</f>
        <v>1004881</v>
      </c>
      <c r="L13" s="127">
        <f>+Actuals!I286</f>
        <v>-15184082</v>
      </c>
      <c r="M13" s="128">
        <f>+Actuals!J286</f>
        <v>-41586426</v>
      </c>
      <c r="N13" s="127">
        <f>+Actuals!K486</f>
        <v>15593812</v>
      </c>
      <c r="O13" s="128">
        <f>+Actuals!L486</f>
        <v>42591307</v>
      </c>
      <c r="P13" s="127">
        <f>+Actuals!M486</f>
        <v>0</v>
      </c>
      <c r="Q13" s="128">
        <f>+Actuals!N486</f>
        <v>0</v>
      </c>
      <c r="R13" s="127">
        <f>+Actuals!O486</f>
        <v>-15593812</v>
      </c>
      <c r="S13" s="128">
        <f>+Actuals!P486</f>
        <v>-42591307</v>
      </c>
      <c r="T13" s="127">
        <f>+Actuals!Q486</f>
        <v>0</v>
      </c>
      <c r="U13" s="128">
        <f>+Actuals!R486</f>
        <v>0</v>
      </c>
      <c r="V13" s="127">
        <f>+Actuals!S286</f>
        <v>0</v>
      </c>
      <c r="W13" s="128">
        <f>+Actuals!T286</f>
        <v>0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+Actuals!K487</f>
        <v>0</v>
      </c>
      <c r="O14" s="128">
        <f>+Actuals!L487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1657093.31</v>
      </c>
      <c r="F15" s="81">
        <f>'TIE-OUT'!P15+RECLASS!N15</f>
        <v>0</v>
      </c>
      <c r="G15" s="82">
        <f>'TIE-OUT'!Q15+RECLASS!O15</f>
        <v>439309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774195</v>
      </c>
      <c r="L15" s="127">
        <f>+Actuals!I288</f>
        <v>0</v>
      </c>
      <c r="M15" s="128">
        <f>+Actuals!J288</f>
        <v>0</v>
      </c>
      <c r="N15" s="127">
        <f>+Actuals!K488</f>
        <v>0</v>
      </c>
      <c r="O15" s="128">
        <f>+Actuals!L488</f>
        <v>0</v>
      </c>
      <c r="P15" s="127">
        <f>+Actuals!M488</f>
        <v>0</v>
      </c>
      <c r="Q15" s="128">
        <f>+Actuals!N488</f>
        <v>0</v>
      </c>
      <c r="R15" s="127">
        <f>+Actuals!O488</f>
        <v>0</v>
      </c>
      <c r="S15" s="128">
        <f>+Actuals!P488</f>
        <v>443589.31</v>
      </c>
      <c r="T15" s="127">
        <f>+Actuals!Q488</f>
        <v>0</v>
      </c>
      <c r="U15" s="128">
        <f>+Actuals!R488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31020712</v>
      </c>
      <c r="E16" s="39">
        <f t="shared" si="1"/>
        <v>79969451.859999999</v>
      </c>
      <c r="F16" s="61">
        <f t="shared" si="1"/>
        <v>0</v>
      </c>
      <c r="G16" s="39">
        <f t="shared" si="1"/>
        <v>3283110.07</v>
      </c>
      <c r="H16" s="61">
        <f t="shared" si="1"/>
        <v>45788788</v>
      </c>
      <c r="I16" s="39">
        <f t="shared" si="1"/>
        <v>116881874.15000001</v>
      </c>
      <c r="J16" s="61">
        <f t="shared" si="1"/>
        <v>310812</v>
      </c>
      <c r="K16" s="39">
        <f t="shared" si="1"/>
        <v>700355.81</v>
      </c>
      <c r="L16" s="61">
        <f t="shared" si="1"/>
        <v>-15200329</v>
      </c>
      <c r="M16" s="39">
        <f t="shared" si="1"/>
        <v>-41622041.049999997</v>
      </c>
      <c r="N16" s="61">
        <f t="shared" si="1"/>
        <v>15600178</v>
      </c>
      <c r="O16" s="39">
        <f t="shared" si="1"/>
        <v>42609647.890000001</v>
      </c>
      <c r="P16" s="61">
        <f t="shared" ref="P16:U16" si="2">SUM(P11:P15)</f>
        <v>-6006</v>
      </c>
      <c r="Q16" s="39">
        <f t="shared" si="2"/>
        <v>-14045.48</v>
      </c>
      <c r="R16" s="61">
        <f t="shared" si="2"/>
        <v>-15593812</v>
      </c>
      <c r="S16" s="39">
        <f t="shared" si="2"/>
        <v>-42147717.689999998</v>
      </c>
      <c r="T16" s="61">
        <f t="shared" si="2"/>
        <v>121081</v>
      </c>
      <c r="U16" s="39">
        <f t="shared" si="2"/>
        <v>278268.15999999997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-31524897</v>
      </c>
      <c r="E19" s="38">
        <f t="shared" si="3"/>
        <v>-75644413.059999987</v>
      </c>
      <c r="F19" s="64">
        <f>'TIE-OUT'!P19+RECLASS!N19</f>
        <v>0</v>
      </c>
      <c r="G19" s="68">
        <f>'TIE-OUT'!Q19+RECLASS!O19</f>
        <v>428113</v>
      </c>
      <c r="H19" s="127">
        <f>+Actuals!E289</f>
        <v>-31615742</v>
      </c>
      <c r="I19" s="128">
        <f>+Actuals!F289</f>
        <v>-76097283.989999995</v>
      </c>
      <c r="J19" s="127">
        <f>+Actuals!G289</f>
        <v>35693</v>
      </c>
      <c r="K19" s="128">
        <f>+Actuals!H289</f>
        <v>44603.68</v>
      </c>
      <c r="L19" s="127">
        <f>+Actuals!I289</f>
        <v>40019</v>
      </c>
      <c r="M19" s="128">
        <f>+Actuals!J289</f>
        <v>-117965.33</v>
      </c>
      <c r="N19" s="127">
        <f>+Actuals!K489</f>
        <v>227</v>
      </c>
      <c r="O19" s="128">
        <f>+Actuals!L489</f>
        <v>544.79999999999995</v>
      </c>
      <c r="P19" s="127">
        <f>+Actuals!M489</f>
        <v>0</v>
      </c>
      <c r="Q19" s="128">
        <f>+Actuals!N489</f>
        <v>61201.88</v>
      </c>
      <c r="R19" s="127">
        <f>+Actuals!O489</f>
        <v>0</v>
      </c>
      <c r="S19" s="128">
        <f>+Actuals!P489</f>
        <v>0</v>
      </c>
      <c r="T19" s="127">
        <f>+Actuals!Q489</f>
        <v>14906</v>
      </c>
      <c r="U19" s="128">
        <f>+Actuals!R489</f>
        <v>36372.9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-1819771.8</v>
      </c>
      <c r="F20" s="60">
        <f>'TIE-OUT'!P20+RECLASS!N20</f>
        <v>0</v>
      </c>
      <c r="G20" s="38">
        <f>'TIE-OUT'!Q20+RECLASS!O20</f>
        <v>-1819771.8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+Actuals!I290</f>
        <v>0</v>
      </c>
      <c r="M20" s="128">
        <f>+Actuals!J290</f>
        <v>0</v>
      </c>
      <c r="N20" s="127">
        <f>+Actuals!K490</f>
        <v>0</v>
      </c>
      <c r="O20" s="155">
        <v>0</v>
      </c>
      <c r="P20" s="127">
        <f>+Actuals!M490</f>
        <v>0</v>
      </c>
      <c r="Q20" s="128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-46580</v>
      </c>
      <c r="E21" s="38">
        <f t="shared" si="3"/>
        <v>-129636</v>
      </c>
      <c r="F21" s="60">
        <f>'TIE-OUT'!P21+RECLASS!N21</f>
        <v>0</v>
      </c>
      <c r="G21" s="38">
        <f>'TIE-OUT'!Q21+RECLASS!O21</f>
        <v>0</v>
      </c>
      <c r="H21" s="127">
        <f>+Actuals!E291</f>
        <v>-14820932</v>
      </c>
      <c r="I21" s="128">
        <f>+Actuals!F291</f>
        <v>-40713580</v>
      </c>
      <c r="J21" s="127">
        <f>+Actuals!G291</f>
        <v>-46580</v>
      </c>
      <c r="K21" s="128">
        <f>+Actuals!H291</f>
        <v>-129636</v>
      </c>
      <c r="L21" s="127">
        <f>+Actuals!I291</f>
        <v>14820932</v>
      </c>
      <c r="M21" s="128">
        <f>+Actuals!J291</f>
        <v>40713580</v>
      </c>
      <c r="N21" s="127">
        <f>+Actuals!K491</f>
        <v>-14867512</v>
      </c>
      <c r="O21" s="128">
        <f>+Actuals!L491</f>
        <v>-40843216</v>
      </c>
      <c r="P21" s="127">
        <f>+Actuals!M491</f>
        <v>0</v>
      </c>
      <c r="Q21" s="128">
        <f>+Actuals!N491</f>
        <v>0</v>
      </c>
      <c r="R21" s="127">
        <f>+Actuals!O491</f>
        <v>14867512</v>
      </c>
      <c r="S21" s="128">
        <f>+Actuals!P491</f>
        <v>40843216</v>
      </c>
      <c r="T21" s="127">
        <f>+Actuals!Q491</f>
        <v>0</v>
      </c>
      <c r="U21" s="128">
        <f>+Actuals!R491</f>
        <v>0</v>
      </c>
      <c r="V21" s="127">
        <f>+Actuals!S291</f>
        <v>0</v>
      </c>
      <c r="W21" s="128">
        <f>+Actuals!T291</f>
        <v>0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+Actuals!K492</f>
        <v>0</v>
      </c>
      <c r="O22" s="128">
        <f>+Actuals!L492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305106</v>
      </c>
      <c r="E23" s="38">
        <f t="shared" si="3"/>
        <v>729203.34000000008</v>
      </c>
      <c r="F23" s="81">
        <f>'TIE-OUT'!P23+RECLASS!N23</f>
        <v>0</v>
      </c>
      <c r="G23" s="82">
        <f>'TIE-OUT'!Q23+RECLASS!O23</f>
        <v>0</v>
      </c>
      <c r="H23" s="127">
        <f>+Actuals!E293</f>
        <v>309462</v>
      </c>
      <c r="I23" s="128">
        <f>+Actuals!F293</f>
        <v>739614.18</v>
      </c>
      <c r="J23" s="127">
        <f>+Actuals!G293</f>
        <v>-7013</v>
      </c>
      <c r="K23" s="128">
        <f>+Actuals!H293</f>
        <v>-16761.07</v>
      </c>
      <c r="L23" s="127">
        <f>+Actuals!I293</f>
        <v>-3381</v>
      </c>
      <c r="M23" s="128">
        <f>+Actuals!J293</f>
        <v>-8080.59</v>
      </c>
      <c r="N23" s="127">
        <f>+Actuals!K493</f>
        <v>6038</v>
      </c>
      <c r="O23" s="128">
        <f>+Actuals!L493</f>
        <v>14430.82</v>
      </c>
      <c r="P23" s="127">
        <f>+Actuals!M493</f>
        <v>0</v>
      </c>
      <c r="Q23" s="128">
        <f>+Actuals!N493</f>
        <v>0</v>
      </c>
      <c r="R23" s="127">
        <f>+Actuals!O493</f>
        <v>0</v>
      </c>
      <c r="S23" s="128">
        <f>+Actuals!P493</f>
        <v>0</v>
      </c>
      <c r="T23" s="127">
        <f>+Actuals!Q493</f>
        <v>0</v>
      </c>
      <c r="U23" s="128">
        <f>+Actuals!R493</f>
        <v>0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+Actuals!W293</f>
        <v>0</v>
      </c>
      <c r="AA23" s="128">
        <f>+Actuals!X293</f>
        <v>0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-31266371</v>
      </c>
      <c r="E24" s="39">
        <f t="shared" si="4"/>
        <v>-76864617.519999981</v>
      </c>
      <c r="F24" s="61">
        <f t="shared" si="4"/>
        <v>0</v>
      </c>
      <c r="G24" s="39">
        <f t="shared" si="4"/>
        <v>-1391658.8</v>
      </c>
      <c r="H24" s="61">
        <f t="shared" si="4"/>
        <v>-46127212</v>
      </c>
      <c r="I24" s="39">
        <f t="shared" si="4"/>
        <v>-116071249.80999999</v>
      </c>
      <c r="J24" s="61">
        <f t="shared" si="4"/>
        <v>-17900</v>
      </c>
      <c r="K24" s="39">
        <f t="shared" si="4"/>
        <v>-101793.39000000001</v>
      </c>
      <c r="L24" s="61">
        <f t="shared" si="4"/>
        <v>14857570</v>
      </c>
      <c r="M24" s="39">
        <f t="shared" si="4"/>
        <v>40587534.079999998</v>
      </c>
      <c r="N24" s="61">
        <f t="shared" si="4"/>
        <v>-14861247</v>
      </c>
      <c r="O24" s="39">
        <f t="shared" si="4"/>
        <v>-40828240.380000003</v>
      </c>
      <c r="P24" s="61">
        <f t="shared" ref="P24:U24" si="5">SUM(P19:P23)</f>
        <v>0</v>
      </c>
      <c r="Q24" s="39">
        <f t="shared" si="5"/>
        <v>61201.88</v>
      </c>
      <c r="R24" s="61">
        <f t="shared" si="5"/>
        <v>14867512</v>
      </c>
      <c r="S24" s="39">
        <f t="shared" si="5"/>
        <v>40843216</v>
      </c>
      <c r="T24" s="61">
        <f t="shared" si="5"/>
        <v>14906</v>
      </c>
      <c r="U24" s="39">
        <f t="shared" si="5"/>
        <v>36372.9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848229</v>
      </c>
      <c r="E27" s="38">
        <f>SUM(G27,I27,K27,M27,O27,Q27,S27,U27,W27,Y27,AA27,AC27,AE27)</f>
        <v>2115216.0099999998</v>
      </c>
      <c r="F27" s="64">
        <f>'TIE-OUT'!P27+RECLASS!N27</f>
        <v>0</v>
      </c>
      <c r="G27" s="68">
        <f>'TIE-OUT'!Q27+RECLASS!O27</f>
        <v>0</v>
      </c>
      <c r="H27" s="127">
        <f>+Actuals!E294</f>
        <v>848229</v>
      </c>
      <c r="I27" s="128">
        <f>+Actuals!F294</f>
        <v>2115216.0099999998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+Actuals!K494</f>
        <v>0</v>
      </c>
      <c r="O27" s="128">
        <f>+Actuals!L494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0</v>
      </c>
      <c r="U27" s="128">
        <f>+Actuals!R494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-80000</v>
      </c>
      <c r="E28" s="38">
        <f>SUM(G28,I28,K28,M28,O28,Q28,S28,U28,W28,Y28,AA28,AC28,AE28)</f>
        <v>-217910</v>
      </c>
      <c r="F28" s="81">
        <f>'TIE-OUT'!P28+RECLASS!N28</f>
        <v>0</v>
      </c>
      <c r="G28" s="82">
        <f>'TIE-OUT'!Q28+RECLASS!O28</f>
        <v>0</v>
      </c>
      <c r="H28" s="127">
        <f>+Actuals!E295</f>
        <v>-80000</v>
      </c>
      <c r="I28" s="128">
        <f>+Actuals!F295</f>
        <v>-225700</v>
      </c>
      <c r="J28" s="127">
        <f>+Actuals!G295</f>
        <v>0</v>
      </c>
      <c r="K28" s="128">
        <f>+Actuals!H295</f>
        <v>7790</v>
      </c>
      <c r="L28" s="127">
        <f>+Actuals!I295</f>
        <v>0</v>
      </c>
      <c r="M28" s="128">
        <f>+Actuals!J295</f>
        <v>0</v>
      </c>
      <c r="N28" s="127">
        <f>+Actuals!K495</f>
        <v>0</v>
      </c>
      <c r="O28" s="128">
        <f>+Actuals!L495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0</v>
      </c>
      <c r="U28" s="128">
        <f>+Actuals!R495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768229</v>
      </c>
      <c r="E29" s="39">
        <f t="shared" si="6"/>
        <v>1897306.0099999998</v>
      </c>
      <c r="F29" s="61">
        <f t="shared" si="6"/>
        <v>0</v>
      </c>
      <c r="G29" s="39">
        <f t="shared" si="6"/>
        <v>0</v>
      </c>
      <c r="H29" s="61">
        <f t="shared" si="6"/>
        <v>768229</v>
      </c>
      <c r="I29" s="39">
        <f t="shared" si="6"/>
        <v>1889516.0099999998</v>
      </c>
      <c r="J29" s="61">
        <f t="shared" si="6"/>
        <v>0</v>
      </c>
      <c r="K29" s="39">
        <f t="shared" si="6"/>
        <v>7790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14497</v>
      </c>
      <c r="E32" s="38">
        <f t="shared" si="8"/>
        <v>34647.83</v>
      </c>
      <c r="F32" s="64">
        <f>'TIE-OUT'!P32+RECLASS!N32</f>
        <v>0</v>
      </c>
      <c r="G32" s="68">
        <f>'TIE-OUT'!Q32+RECLASS!O32</f>
        <v>0</v>
      </c>
      <c r="H32" s="127">
        <f>+Actuals!E296</f>
        <v>-13867</v>
      </c>
      <c r="I32" s="128">
        <f>+Actuals!F296</f>
        <v>-33142.129999999997</v>
      </c>
      <c r="J32" s="127">
        <f>+Actuals!G296</f>
        <v>-22104</v>
      </c>
      <c r="K32" s="128">
        <f>+Actuals!H296</f>
        <v>-52828.56</v>
      </c>
      <c r="L32" s="127">
        <f>+Actuals!I296</f>
        <v>5366</v>
      </c>
      <c r="M32" s="128">
        <f>+Actuals!J296</f>
        <v>12824.74</v>
      </c>
      <c r="N32" s="127">
        <f>+Actuals!K496</f>
        <v>-12631</v>
      </c>
      <c r="O32" s="128">
        <f>+Actuals!L496</f>
        <v>-30188.09</v>
      </c>
      <c r="P32" s="127">
        <f>+Actuals!M496</f>
        <v>0</v>
      </c>
      <c r="Q32" s="128">
        <f>+Actuals!N496</f>
        <v>0</v>
      </c>
      <c r="R32" s="127">
        <f>+Actuals!O496</f>
        <v>0</v>
      </c>
      <c r="S32" s="128">
        <f>+Actuals!P496</f>
        <v>0</v>
      </c>
      <c r="T32" s="127">
        <f>+Actuals!Q496</f>
        <v>57733</v>
      </c>
      <c r="U32" s="128">
        <f>+Actuals!R496</f>
        <v>137981.87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+Actuals!W296</f>
        <v>0</v>
      </c>
      <c r="AA32" s="128">
        <f>+Actuals!X296</f>
        <v>0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-11708</v>
      </c>
      <c r="E33" s="38">
        <f t="shared" si="8"/>
        <v>-31176.95</v>
      </c>
      <c r="F33" s="60">
        <f>'TIE-OUT'!P33+RECLASS!N33</f>
        <v>0</v>
      </c>
      <c r="G33" s="38">
        <f>'TIE-OUT'!Q33+RECLASS!O33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-11708</v>
      </c>
      <c r="K33" s="128">
        <f>+Actuals!H297</f>
        <v>-31176.95</v>
      </c>
      <c r="L33" s="127">
        <f>+Actuals!I297</f>
        <v>0</v>
      </c>
      <c r="M33" s="128">
        <f>+Actuals!J297</f>
        <v>0</v>
      </c>
      <c r="N33" s="127">
        <f>+Actuals!K497</f>
        <v>0</v>
      </c>
      <c r="O33" s="128">
        <f>+Actuals!L497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6270</v>
      </c>
      <c r="E34" s="38">
        <f t="shared" si="8"/>
        <v>14953.6</v>
      </c>
      <c r="F34" s="60">
        <f>'TIE-OUT'!P34+RECLASS!N34</f>
        <v>0</v>
      </c>
      <c r="G34" s="38">
        <f>'TIE-OUT'!Q34+RECLASS!O34</f>
        <v>0</v>
      </c>
      <c r="H34" s="127">
        <f>+Actuals!E298</f>
        <v>0</v>
      </c>
      <c r="I34" s="128">
        <f>+Actuals!F298</f>
        <v>0</v>
      </c>
      <c r="J34" s="127">
        <f>+Actuals!G298</f>
        <v>6260</v>
      </c>
      <c r="K34" s="128">
        <f>+Actuals!H298</f>
        <v>14930.1</v>
      </c>
      <c r="L34" s="127">
        <f>+Actuals!I298</f>
        <v>10</v>
      </c>
      <c r="M34" s="128">
        <f>+Actuals!J298</f>
        <v>23.5</v>
      </c>
      <c r="N34" s="127">
        <f>+Actuals!K498</f>
        <v>0</v>
      </c>
      <c r="O34" s="128">
        <f>+Actuals!L498</f>
        <v>0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'TIE-OUT'!P35+RECLASS!N35</f>
        <v>0</v>
      </c>
      <c r="G35" s="82">
        <f>'TIE-OUT'!Q35+RECLASS!O35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+Actuals!K499</f>
        <v>0</v>
      </c>
      <c r="O35" s="128">
        <f>+Actuals!L499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9059</v>
      </c>
      <c r="E36" s="39">
        <f t="shared" si="9"/>
        <v>18424.480000000003</v>
      </c>
      <c r="F36" s="61">
        <f t="shared" si="9"/>
        <v>0</v>
      </c>
      <c r="G36" s="39">
        <f t="shared" si="9"/>
        <v>0</v>
      </c>
      <c r="H36" s="61">
        <f t="shared" si="9"/>
        <v>-13867</v>
      </c>
      <c r="I36" s="39">
        <f t="shared" si="9"/>
        <v>-33142.129999999997</v>
      </c>
      <c r="J36" s="61">
        <f t="shared" si="9"/>
        <v>-27552</v>
      </c>
      <c r="K36" s="39">
        <f t="shared" si="9"/>
        <v>-69075.409999999989</v>
      </c>
      <c r="L36" s="61">
        <f t="shared" si="9"/>
        <v>5376</v>
      </c>
      <c r="M36" s="39">
        <f t="shared" si="9"/>
        <v>12848.24</v>
      </c>
      <c r="N36" s="61">
        <f t="shared" si="9"/>
        <v>-12631</v>
      </c>
      <c r="O36" s="39">
        <f t="shared" si="9"/>
        <v>-30188.09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57733</v>
      </c>
      <c r="U36" s="39">
        <f t="shared" si="10"/>
        <v>137981.87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'TIE-OUT'!P39+RECLASS!N39</f>
        <v>0</v>
      </c>
      <c r="G39" s="68">
        <f>'TIE-OUT'!Q39+RECLASS!O39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+Actuals!K500</f>
        <v>0</v>
      </c>
      <c r="O39" s="128">
        <f>+Actuals!L500</f>
        <v>0</v>
      </c>
      <c r="P39" s="127">
        <f>+Actuals!M500</f>
        <v>0</v>
      </c>
      <c r="Q39" s="128">
        <f>+Actuals!N500</f>
        <v>0</v>
      </c>
      <c r="R39" s="127">
        <f>+Actuals!O500</f>
        <v>0</v>
      </c>
      <c r="S39" s="128">
        <f>+Actuals!P500</f>
        <v>0</v>
      </c>
      <c r="T39" s="127">
        <f>+Actuals!Q500</f>
        <v>0</v>
      </c>
      <c r="U39" s="128">
        <f>+Actuals!R500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-352905</v>
      </c>
      <c r="E40" s="38">
        <f t="shared" si="11"/>
        <v>-914432.2300000001</v>
      </c>
      <c r="F40" s="60">
        <f>'TIE-OUT'!P40+RECLASS!N40</f>
        <v>0</v>
      </c>
      <c r="G40" s="38">
        <f>'TIE-OUT'!Q40+RECLASS!O40</f>
        <v>0</v>
      </c>
      <c r="H40" s="127">
        <f>+Actuals!E301</f>
        <v>-39945</v>
      </c>
      <c r="I40" s="128">
        <f>+Actuals!F301</f>
        <v>-89476.800000000003</v>
      </c>
      <c r="J40" s="127">
        <f>+Actuals!G301</f>
        <v>-312960</v>
      </c>
      <c r="K40" s="128">
        <f>+Actuals!H301</f>
        <v>-824955.43</v>
      </c>
      <c r="L40" s="127">
        <f>+Actuals!I301</f>
        <v>0</v>
      </c>
      <c r="M40" s="128">
        <f>+Actuals!J301</f>
        <v>0</v>
      </c>
      <c r="N40" s="127">
        <f>+Actuals!K501</f>
        <v>0</v>
      </c>
      <c r="O40" s="128">
        <f>+Actuals!L501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+Actuals!K502</f>
        <v>0</v>
      </c>
      <c r="O41" s="128">
        <f>+Actuals!L502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-352905</v>
      </c>
      <c r="E42" s="39">
        <f t="shared" si="12"/>
        <v>-914432.2300000001</v>
      </c>
      <c r="F42" s="61">
        <f t="shared" si="12"/>
        <v>0</v>
      </c>
      <c r="G42" s="39">
        <f t="shared" si="12"/>
        <v>0</v>
      </c>
      <c r="H42" s="61">
        <f t="shared" si="12"/>
        <v>-39945</v>
      </c>
      <c r="I42" s="39">
        <f t="shared" si="12"/>
        <v>-89476.800000000003</v>
      </c>
      <c r="J42" s="61">
        <f t="shared" si="12"/>
        <v>-312960</v>
      </c>
      <c r="K42" s="39">
        <f t="shared" si="12"/>
        <v>-824955.43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-352905</v>
      </c>
      <c r="E43" s="39">
        <f t="shared" si="14"/>
        <v>-914432.2300000001</v>
      </c>
      <c r="F43" s="61">
        <f t="shared" si="14"/>
        <v>0</v>
      </c>
      <c r="G43" s="39">
        <f t="shared" si="14"/>
        <v>0</v>
      </c>
      <c r="H43" s="61">
        <f t="shared" si="14"/>
        <v>-39945</v>
      </c>
      <c r="I43" s="39">
        <f t="shared" si="14"/>
        <v>-89476.800000000003</v>
      </c>
      <c r="J43" s="61">
        <f t="shared" si="14"/>
        <v>-312960</v>
      </c>
      <c r="K43" s="39">
        <f t="shared" si="14"/>
        <v>-824955.43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+Actuals!K503</f>
        <v>0</v>
      </c>
      <c r="O45" s="128">
        <f>+Actuals!L503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+Actuals!K504</f>
        <v>0</v>
      </c>
      <c r="O47" s="128">
        <f>+Actuals!L504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-178724</v>
      </c>
      <c r="E49" s="38">
        <f>SUM(G49,I49,K49,M49,O49,Q49,S49,U49,W49,Y49,AA49,AC49,AE49)</f>
        <v>-427150.35999999981</v>
      </c>
      <c r="F49" s="60">
        <f>'TIE-OUT'!P49+RECLASS!N49</f>
        <v>0</v>
      </c>
      <c r="G49" s="38">
        <f>'TIE-OUT'!Q49+RECLASS!O49</f>
        <v>0</v>
      </c>
      <c r="H49" s="127">
        <f>+Actuals!E305</f>
        <v>-375993</v>
      </c>
      <c r="I49" s="128">
        <f>+Actuals!F305</f>
        <v>-898623.27</v>
      </c>
      <c r="J49" s="127">
        <f>+Actuals!G305</f>
        <v>47600</v>
      </c>
      <c r="K49" s="128">
        <f>+Actuals!H305</f>
        <v>113764</v>
      </c>
      <c r="L49" s="127">
        <f>+Actuals!I305</f>
        <v>337383</v>
      </c>
      <c r="M49" s="128">
        <f>+Actuals!J305</f>
        <v>806345.37</v>
      </c>
      <c r="N49" s="127">
        <f>+Actuals!K505</f>
        <v>-726300</v>
      </c>
      <c r="O49" s="128">
        <f>+Actuals!L505</f>
        <v>-1735857</v>
      </c>
      <c r="P49" s="127">
        <f>+Actuals!M505</f>
        <v>6006</v>
      </c>
      <c r="Q49" s="128">
        <f>+Actuals!N505</f>
        <v>14354.34</v>
      </c>
      <c r="R49" s="127">
        <f>+Actuals!O505</f>
        <v>726300</v>
      </c>
      <c r="S49" s="128">
        <f>+Actuals!P505</f>
        <v>1735857</v>
      </c>
      <c r="T49" s="127">
        <f>+Actuals!Q505</f>
        <v>-193720</v>
      </c>
      <c r="U49" s="128">
        <f>+Actuals!R505</f>
        <v>-462990.8</v>
      </c>
      <c r="V49" s="127">
        <f>+Actuals!S305</f>
        <v>0</v>
      </c>
      <c r="W49" s="128">
        <f>+Actuals!T305</f>
        <v>0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-305106</v>
      </c>
      <c r="E51" s="38">
        <f>SUM(G51,I51,K51,M51,O51,Q51,S51,U51,W51,Y51,AA51,AC51,AE51)</f>
        <v>-729203.34000000008</v>
      </c>
      <c r="F51" s="60">
        <f>'TIE-OUT'!P51+RECLASS!N51</f>
        <v>0</v>
      </c>
      <c r="G51" s="38">
        <f>'TIE-OUT'!Q51+RECLASS!O51</f>
        <v>0</v>
      </c>
      <c r="H51" s="127">
        <f>+Actuals!E306</f>
        <v>-309462</v>
      </c>
      <c r="I51" s="128">
        <f>+Actuals!F306</f>
        <v>-739614.18</v>
      </c>
      <c r="J51" s="127">
        <f>+Actuals!G306</f>
        <v>7013</v>
      </c>
      <c r="K51" s="128">
        <f>+Actuals!H306</f>
        <v>16761.07</v>
      </c>
      <c r="L51" s="127">
        <f>+Actuals!I306</f>
        <v>3381</v>
      </c>
      <c r="M51" s="128">
        <f>+Actuals!J306</f>
        <v>8080.59</v>
      </c>
      <c r="N51" s="127">
        <f>+Actuals!K506</f>
        <v>-6038</v>
      </c>
      <c r="O51" s="128">
        <f>+Actuals!L506</f>
        <v>-14430.82</v>
      </c>
      <c r="P51" s="127">
        <f>+Actuals!M506</f>
        <v>0</v>
      </c>
      <c r="Q51" s="128">
        <f>+Actuals!N506</f>
        <v>0</v>
      </c>
      <c r="R51" s="127">
        <f>+Actuals!O506</f>
        <v>0</v>
      </c>
      <c r="S51" s="128">
        <f>+Actuals!P506</f>
        <v>0</v>
      </c>
      <c r="T51" s="127">
        <f>+Actuals!Q506</f>
        <v>0</v>
      </c>
      <c r="U51" s="128">
        <f>+Actuals!R506</f>
        <v>0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+Actuals!W306</f>
        <v>0</v>
      </c>
      <c r="AA51" s="128">
        <f>+Actuals!X306</f>
        <v>0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-18352704</v>
      </c>
      <c r="E54" s="38">
        <f>SUM(G54,I54,K54,M54,O54,Q54,S54,U54,W54,Y54,AA54,AC54,AE54)</f>
        <v>-135661.15000000002</v>
      </c>
      <c r="F54" s="64">
        <f>'TIE-OUT'!P54+RECLASS!N54</f>
        <v>0</v>
      </c>
      <c r="G54" s="68">
        <f>'TIE-OUT'!Q54+RECLASS!O54</f>
        <v>0</v>
      </c>
      <c r="H54" s="127">
        <f>+Actuals!E307</f>
        <v>-21545353</v>
      </c>
      <c r="I54" s="128">
        <f>+Actuals!F307</f>
        <v>-326828.27</v>
      </c>
      <c r="J54" s="127">
        <f>+Actuals!G307</f>
        <v>6965327</v>
      </c>
      <c r="K54" s="128">
        <f>+Actuals!H307</f>
        <v>257701.73</v>
      </c>
      <c r="L54" s="127">
        <f>+Actuals!I307</f>
        <v>126157</v>
      </c>
      <c r="M54" s="128">
        <f>+Actuals!J307</f>
        <v>-54006.27</v>
      </c>
      <c r="N54" s="127">
        <f>+Actuals!K507</f>
        <v>-6284</v>
      </c>
      <c r="O54" s="128">
        <f>+Actuals!L507</f>
        <v>-11789.78</v>
      </c>
      <c r="P54" s="127">
        <f>+Actuals!M507</f>
        <v>-3075056</v>
      </c>
      <c r="Q54" s="128">
        <f>+Actuals!N507</f>
        <v>-300.7</v>
      </c>
      <c r="R54" s="127">
        <f>+Actuals!O507</f>
        <v>0</v>
      </c>
      <c r="S54" s="128">
        <f>+Actuals!P507</f>
        <v>-77814.8</v>
      </c>
      <c r="T54" s="127">
        <f>+Actuals!Q507</f>
        <v>-817495</v>
      </c>
      <c r="U54" s="128">
        <f>+Actuals!R507</f>
        <v>77376.94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f>+Actuals!AB307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-2552125.59</v>
      </c>
      <c r="F55" s="81">
        <f>'TIE-OUT'!P55+RECLASS!N55</f>
        <v>0</v>
      </c>
      <c r="G55" s="82">
        <f>'TIE-OUT'!Q55+RECLASS!O55</f>
        <v>0</v>
      </c>
      <c r="H55" s="127">
        <f>+Actuals!E308</f>
        <v>0</v>
      </c>
      <c r="I55" s="128">
        <f>+Actuals!F308</f>
        <v>-2470164.1</v>
      </c>
      <c r="J55" s="127">
        <f>+Actuals!G308</f>
        <v>0</v>
      </c>
      <c r="K55" s="128">
        <f>+Actuals!H308</f>
        <v>17980.439999999999</v>
      </c>
      <c r="L55" s="127">
        <f>+Actuals!I308</f>
        <v>0</v>
      </c>
      <c r="M55" s="128">
        <f>+Actuals!J308</f>
        <v>-13451.52</v>
      </c>
      <c r="N55" s="127">
        <f>+Actuals!K508</f>
        <v>0</v>
      </c>
      <c r="O55" s="128">
        <f>+Actuals!L508</f>
        <v>-87210.05</v>
      </c>
      <c r="P55" s="127">
        <f>+Actuals!M508</f>
        <v>0</v>
      </c>
      <c r="Q55" s="128">
        <f>+Actuals!N508</f>
        <v>300.7</v>
      </c>
      <c r="R55" s="127">
        <f>+Actuals!O508</f>
        <v>0</v>
      </c>
      <c r="S55" s="128">
        <f>+Actuals!P508</f>
        <v>0</v>
      </c>
      <c r="T55" s="127">
        <f>+Actuals!Q508</f>
        <v>0</v>
      </c>
      <c r="U55" s="128">
        <f>+Actuals!R508</f>
        <v>418.94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-18352704</v>
      </c>
      <c r="E56" s="39">
        <f t="shared" si="16"/>
        <v>-2687786.7399999998</v>
      </c>
      <c r="F56" s="61">
        <f t="shared" si="16"/>
        <v>0</v>
      </c>
      <c r="G56" s="39">
        <f t="shared" si="16"/>
        <v>0</v>
      </c>
      <c r="H56" s="61">
        <f t="shared" si="16"/>
        <v>-21545353</v>
      </c>
      <c r="I56" s="39">
        <f t="shared" si="16"/>
        <v>-2796992.37</v>
      </c>
      <c r="J56" s="61">
        <f t="shared" si="16"/>
        <v>6965327</v>
      </c>
      <c r="K56" s="39">
        <f t="shared" si="16"/>
        <v>275682.17</v>
      </c>
      <c r="L56" s="61">
        <f t="shared" si="16"/>
        <v>126157</v>
      </c>
      <c r="M56" s="39">
        <f t="shared" si="16"/>
        <v>-67457.789999999994</v>
      </c>
      <c r="N56" s="61">
        <f t="shared" si="16"/>
        <v>-6284</v>
      </c>
      <c r="O56" s="39">
        <f t="shared" si="16"/>
        <v>-98999.83</v>
      </c>
      <c r="P56" s="61">
        <f t="shared" ref="P56:U56" si="17">SUM(P54:P55)</f>
        <v>-3075056</v>
      </c>
      <c r="Q56" s="39">
        <f t="shared" si="17"/>
        <v>0</v>
      </c>
      <c r="R56" s="61">
        <f t="shared" si="17"/>
        <v>0</v>
      </c>
      <c r="S56" s="39">
        <f t="shared" si="17"/>
        <v>-77814.8</v>
      </c>
      <c r="T56" s="61">
        <f t="shared" si="17"/>
        <v>-817495</v>
      </c>
      <c r="U56" s="39">
        <f t="shared" si="17"/>
        <v>77795.88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+Actuals!K509</f>
        <v>0</v>
      </c>
      <c r="O59" s="128">
        <f>+Actuals!L509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+Actuals!K510</f>
        <v>0</v>
      </c>
      <c r="O60" s="128">
        <f>+Actuals!L510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+Actuals!K511</f>
        <v>0</v>
      </c>
      <c r="O64" s="128">
        <f>+Actuals!L511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+Actuals!K512</f>
        <v>0</v>
      </c>
      <c r="O65" s="128">
        <f>+Actuals!L512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-1343082</v>
      </c>
      <c r="F70" s="64">
        <f>'TIE-OUT'!P70+RECLASS!N70</f>
        <v>0</v>
      </c>
      <c r="G70" s="68">
        <f>'TIE-OUT'!Q70+RECLASS!O70</f>
        <v>-1343082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+Actuals!K513</f>
        <v>0</v>
      </c>
      <c r="O70" s="128">
        <f>+Actuals!L513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-2316418.4</v>
      </c>
      <c r="F71" s="81">
        <f>'TIE-OUT'!P71+RECLASS!N71</f>
        <v>0</v>
      </c>
      <c r="G71" s="82">
        <f>'TIE-OUT'!Q71+RECLASS!O71</f>
        <v>-2316418.4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+Actuals!K514</f>
        <v>0</v>
      </c>
      <c r="O71" s="128">
        <f>+Actuals!L514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-3659500.4</v>
      </c>
      <c r="F72" s="61">
        <f t="shared" si="22"/>
        <v>0</v>
      </c>
      <c r="G72" s="39">
        <f t="shared" si="22"/>
        <v>-3659500.4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+Actuals!K515</f>
        <v>0</v>
      </c>
      <c r="O73" s="128">
        <f>+Actuals!L515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3918314</v>
      </c>
      <c r="F74" s="60">
        <f>'TIE-OUT'!P74+RECLASS!N74</f>
        <v>0</v>
      </c>
      <c r="G74" s="60">
        <f>'TIE-OUT'!Q74+RECLASS!O74</f>
        <v>3918314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v>0</v>
      </c>
      <c r="L74" s="127">
        <f>+Actuals!I316</f>
        <v>0</v>
      </c>
      <c r="M74" s="128">
        <f>+Actuals!J316</f>
        <v>0</v>
      </c>
      <c r="N74" s="127">
        <f>+Actuals!K516</f>
        <v>0</v>
      </c>
      <c r="O74" s="128">
        <f>+Actuals!L516</f>
        <v>0</v>
      </c>
      <c r="P74" s="127">
        <f>+Actuals!M516</f>
        <v>0</v>
      </c>
      <c r="Q74" s="128">
        <f>+Actuals!N516</f>
        <v>0</v>
      </c>
      <c r="R74" s="127">
        <f>+Actuals!O516</f>
        <v>0</v>
      </c>
      <c r="S74" s="128">
        <f>+Actuals!P516</f>
        <v>0</v>
      </c>
      <c r="T74" s="127">
        <f>+Actuals!Q516</f>
        <v>0</v>
      </c>
      <c r="U74" s="128">
        <f>+Actuals!R516</f>
        <v>0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11300</v>
      </c>
      <c r="F75" s="60">
        <f>'TIE-OUT'!P75+RECLASS!N75</f>
        <v>0</v>
      </c>
      <c r="G75" s="60">
        <f>'TIE-OUT'!Q75+RECLASS!O75</f>
        <v>11300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+Actuals!K517</f>
        <v>0</v>
      </c>
      <c r="O75" s="128">
        <f>+Actuals!L517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-18100.05</v>
      </c>
      <c r="F76" s="60">
        <f>'TIE-OUT'!P76+RECLASS!N76</f>
        <v>0</v>
      </c>
      <c r="G76" s="60">
        <f>'TIE-OUT'!Q76+RECLASS!O76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-18100.05</v>
      </c>
      <c r="L76" s="127">
        <f>+Actuals!I318</f>
        <v>0</v>
      </c>
      <c r="M76" s="128">
        <f>+Actuals!J318</f>
        <v>0</v>
      </c>
      <c r="N76" s="127">
        <f>+Actuals!K518</f>
        <v>0</v>
      </c>
      <c r="O76" s="128">
        <f>+Actuals!L518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+Actuals!K519</f>
        <v>0</v>
      </c>
      <c r="O77" s="128">
        <f>+Actuals!L519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+Actuals!K520</f>
        <v>0</v>
      </c>
      <c r="O78" s="128">
        <f>+Actuals!L520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+Actuals!K521</f>
        <v>0</v>
      </c>
      <c r="O79" s="128">
        <f>+Actuals!L521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+Actuals!K522</f>
        <v>0</v>
      </c>
      <c r="O80" s="128">
        <f>+Actuals!L522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59380.86</v>
      </c>
      <c r="F81" s="60">
        <f>'TIE-OUT'!P81+RECLASS!N81</f>
        <v>0</v>
      </c>
      <c r="G81" s="60">
        <f>'TIE-OUT'!Q81+RECLASS!O81</f>
        <v>0</v>
      </c>
      <c r="H81" s="127">
        <f>+Actuals!E323</f>
        <v>0</v>
      </c>
      <c r="I81" s="128">
        <f>+Actuals!F323</f>
        <v>7142.86</v>
      </c>
      <c r="J81" s="127">
        <f>+Actuals!G323</f>
        <v>0</v>
      </c>
      <c r="K81" s="128">
        <f>+Actuals!H323</f>
        <v>52238</v>
      </c>
      <c r="L81" s="127">
        <f>+Actuals!I323</f>
        <v>0</v>
      </c>
      <c r="M81" s="128">
        <f>+Actuals!J323</f>
        <v>0</v>
      </c>
      <c r="N81" s="127">
        <f>+Actuals!K523</f>
        <v>0</v>
      </c>
      <c r="O81" s="128">
        <f>+Actuals!L523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573386.57000001473</v>
      </c>
      <c r="F82" s="91">
        <f>F16+F24+F29+F36+F43+F45+F47+F49</f>
        <v>0</v>
      </c>
      <c r="G82" s="92">
        <f>SUM(G72:G81)+G16+G24+G29+G36+G43+G45+G47+G49+G51+G56+G61+G66</f>
        <v>2161564.87</v>
      </c>
      <c r="H82" s="91">
        <f>H16+H24+H29+H36+H43+H45+H47+H49</f>
        <v>0</v>
      </c>
      <c r="I82" s="92">
        <f>SUM(I72:I81)+I16+I24+I29+I36+I43+I45+I47+I49+I51+I56+I61+I66</f>
        <v>-1850565.5399999823</v>
      </c>
      <c r="J82" s="91">
        <f>J16+J24+J29+J36+J43+J45+J47+J49</f>
        <v>0</v>
      </c>
      <c r="K82" s="156">
        <f>SUM(K72:K81)+K16+K24+K29+K36+K43+K45+K47+K49+K51+K56+K61+K66</f>
        <v>152666.7699999999</v>
      </c>
      <c r="L82" s="91">
        <f>L16+L24+L29+L36+L43+L45+L47+L49</f>
        <v>0</v>
      </c>
      <c r="M82" s="92">
        <f>SUM(M72:M81)+M16+M24+M29+M36+M43+M45+M47+M49+M51+M56+M61+M66</f>
        <v>-274690.55999999883</v>
      </c>
      <c r="N82" s="91">
        <f>N16+N24+N29+N36+N43+N45+N47+N49</f>
        <v>0</v>
      </c>
      <c r="O82" s="92">
        <f>SUM(O72:O81)+O16+O24+O29+O36+O43+O45+O47+O49+O51+O56+O61+O66</f>
        <v>-98068.230000002164</v>
      </c>
      <c r="P82" s="91">
        <f>P16+P24+P29+P36+P43+P45+P47+P49</f>
        <v>0</v>
      </c>
      <c r="Q82" s="92">
        <f>SUM(Q72:Q81)+Q16+Q24+Q29+Q36+Q43+Q45+Q47+Q49+Q51+Q56+Q61+Q66</f>
        <v>61510.739999999991</v>
      </c>
      <c r="R82" s="91">
        <f>R16+R24+R29+R36+R43+R45+R47+R49</f>
        <v>0</v>
      </c>
      <c r="S82" s="92">
        <f>SUM(S72:S81)+S16+S24+S29+S36+S43+S45+S47+S49+S51+S56+S61+S66</f>
        <v>353540.5100000024</v>
      </c>
      <c r="T82" s="91">
        <f>T16+T24+T29+T36+T43+T45+T47+T49</f>
        <v>0</v>
      </c>
      <c r="U82" s="92">
        <f>SUM(U72:U81)+U16+U24+U29+U36+U43+U45+U47+U49+U51+U56+U61+U66</f>
        <v>67428.010000000009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K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10040270</v>
      </c>
      <c r="E11" s="38">
        <f>SUM(G11,I11,K11,M11,O11,Q11,S11,U11,W11,Y11,AA11,AC11,AE11)</f>
        <v>25678410.600000001</v>
      </c>
      <c r="F11" s="60">
        <f>'TIE-OUT'!AD11+RECLASS!AB11</f>
        <v>0</v>
      </c>
      <c r="G11" s="38">
        <f>'TIE-OUT'!AE11+RECLASS!AC11</f>
        <v>399118</v>
      </c>
      <c r="H11" s="130">
        <f>222026+9961389</f>
        <v>10183415</v>
      </c>
      <c r="I11" s="131">
        <f>617631+18610230</f>
        <v>19227861</v>
      </c>
      <c r="J11" s="130">
        <f>1984990-2165035</f>
        <v>-180045</v>
      </c>
      <c r="K11" s="147">
        <f>11935653-5982006</f>
        <v>5953647</v>
      </c>
      <c r="L11" s="130">
        <v>25900</v>
      </c>
      <c r="M11" s="131">
        <v>67858</v>
      </c>
      <c r="N11" s="127">
        <f>+Actuals!K124</f>
        <v>0</v>
      </c>
      <c r="O11" s="128">
        <f>+Actuals!L124</f>
        <v>0</v>
      </c>
      <c r="P11" s="130">
        <f>+Actuals!M124</f>
        <v>11000</v>
      </c>
      <c r="Q11" s="131">
        <f>+Actuals!N124</f>
        <v>29926.6</v>
      </c>
      <c r="R11" s="130">
        <f>+Actuals!O124</f>
        <v>0</v>
      </c>
      <c r="S11" s="131">
        <f>+Actuals!P124</f>
        <v>0</v>
      </c>
      <c r="T11" s="130">
        <f>+Actuals!Q124</f>
        <v>0</v>
      </c>
      <c r="U11" s="131">
        <f>+Actuals!R124</f>
        <v>0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v>0</v>
      </c>
      <c r="L12" s="130">
        <f>+Actuals!I85</f>
        <v>0</v>
      </c>
      <c r="M12" s="131">
        <f>+Actuals!J85</f>
        <v>0</v>
      </c>
      <c r="N12" s="127">
        <f>+Actuals!K125</f>
        <v>0</v>
      </c>
      <c r="O12" s="128">
        <f>+Actuals!L125</f>
        <v>0</v>
      </c>
      <c r="P12" s="130">
        <f>+Actuals!M125</f>
        <v>0</v>
      </c>
      <c r="Q12" s="131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2165035</v>
      </c>
      <c r="E13" s="38">
        <f t="shared" si="0"/>
        <v>5982006</v>
      </c>
      <c r="F13" s="60">
        <f>'TIE-OUT'!AD13+RECLASS!AB13</f>
        <v>0</v>
      </c>
      <c r="G13" s="38">
        <f>'TIE-OUT'!AE13+RECLASS!AC13</f>
        <v>0</v>
      </c>
      <c r="H13" s="130">
        <v>14374462</v>
      </c>
      <c r="I13" s="131">
        <v>42702094</v>
      </c>
      <c r="J13" s="130">
        <v>2165035</v>
      </c>
      <c r="K13" s="147">
        <v>5982006</v>
      </c>
      <c r="L13" s="130">
        <v>-14374462</v>
      </c>
      <c r="M13" s="131">
        <v>-42702094</v>
      </c>
      <c r="N13" s="127">
        <f>+Actuals!K126</f>
        <v>16539497</v>
      </c>
      <c r="O13" s="128">
        <f>+Actuals!L126</f>
        <v>48684100</v>
      </c>
      <c r="P13" s="130">
        <f>+Actuals!M126</f>
        <v>0</v>
      </c>
      <c r="Q13" s="131">
        <f>+Actuals!N126</f>
        <v>0</v>
      </c>
      <c r="R13" s="130">
        <f>+Actuals!O126</f>
        <v>-16539497</v>
      </c>
      <c r="S13" s="131">
        <f>+Actuals!P126</f>
        <v>-48684100</v>
      </c>
      <c r="T13" s="130">
        <f>+Actuals!Q126</f>
        <v>0</v>
      </c>
      <c r="U13" s="131">
        <f>+Actuals!R126</f>
        <v>0</v>
      </c>
      <c r="V13" s="130">
        <f>+Actuals!S86</f>
        <v>0</v>
      </c>
      <c r="W13" s="131">
        <f>+Actuals!T86</f>
        <v>0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27">
        <f>+Actuals!K127</f>
        <v>0</v>
      </c>
      <c r="O14" s="128">
        <f>+Actuals!L127</f>
        <v>0</v>
      </c>
      <c r="P14" s="130">
        <f>+Actuals!M127</f>
        <v>0</v>
      </c>
      <c r="Q14" s="131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10371919</v>
      </c>
      <c r="F15" s="81">
        <f>'TIE-OUT'!AD15+RECLASS!AB15</f>
        <v>0</v>
      </c>
      <c r="G15" s="82">
        <f>'TIE-OUT'!AE15+RECLASS!AC15</f>
        <v>-4106288</v>
      </c>
      <c r="H15" s="130">
        <f>+Actuals!E88</f>
        <v>0</v>
      </c>
      <c r="I15" s="131">
        <v>14506349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27">
        <f>+Actuals!K128</f>
        <v>0</v>
      </c>
      <c r="O15" s="129">
        <f>+Actuals!L128</f>
        <v>0</v>
      </c>
      <c r="P15" s="130">
        <f>+Actuals!M128</f>
        <v>0</v>
      </c>
      <c r="Q15" s="131">
        <f>+Actuals!N128</f>
        <v>-15</v>
      </c>
      <c r="R15" s="130">
        <f>+Actuals!O128</f>
        <v>0</v>
      </c>
      <c r="S15" s="131">
        <f>+Actuals!P128</f>
        <v>-28127</v>
      </c>
      <c r="T15" s="130">
        <f>+Actuals!Q128</f>
        <v>0</v>
      </c>
      <c r="U15" s="131">
        <f>+Actuals!R128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12205305</v>
      </c>
      <c r="E16" s="39">
        <f t="shared" si="1"/>
        <v>42032335.600000001</v>
      </c>
      <c r="F16" s="61">
        <f t="shared" si="1"/>
        <v>0</v>
      </c>
      <c r="G16" s="39">
        <f t="shared" si="1"/>
        <v>-3707170</v>
      </c>
      <c r="H16" s="61">
        <f t="shared" si="1"/>
        <v>24557877</v>
      </c>
      <c r="I16" s="39">
        <f t="shared" si="1"/>
        <v>76436304</v>
      </c>
      <c r="J16" s="61">
        <f t="shared" si="1"/>
        <v>1984990</v>
      </c>
      <c r="K16" s="148">
        <f t="shared" si="1"/>
        <v>11935653</v>
      </c>
      <c r="L16" s="61">
        <f t="shared" si="1"/>
        <v>-14348562</v>
      </c>
      <c r="M16" s="39">
        <f t="shared" si="1"/>
        <v>-42634236</v>
      </c>
      <c r="N16" s="61">
        <f t="shared" si="1"/>
        <v>16539497</v>
      </c>
      <c r="O16" s="82">
        <f t="shared" si="1"/>
        <v>48684100</v>
      </c>
      <c r="P16" s="61">
        <f t="shared" ref="P16:U16" si="2">SUM(P11:P15)</f>
        <v>11000</v>
      </c>
      <c r="Q16" s="39">
        <f t="shared" si="2"/>
        <v>29911.599999999999</v>
      </c>
      <c r="R16" s="61">
        <f t="shared" si="2"/>
        <v>-16539497</v>
      </c>
      <c r="S16" s="39">
        <f t="shared" si="2"/>
        <v>-48712227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-8219440</v>
      </c>
      <c r="E19" s="38">
        <f t="shared" si="3"/>
        <v>-19168901</v>
      </c>
      <c r="F19" s="64">
        <f>'TIE-OUT'!AD19+RECLASS!AB19</f>
        <v>0</v>
      </c>
      <c r="G19" s="68">
        <f>'TIE-OUT'!AE19+RECLASS!AC19</f>
        <v>3707170</v>
      </c>
      <c r="H19" s="130">
        <f>-77500-8127522</f>
        <v>-8205022</v>
      </c>
      <c r="I19" s="131">
        <f>-22286186-202900</f>
        <v>-22489086</v>
      </c>
      <c r="J19" s="130">
        <f>-6670847+6656429</f>
        <v>-14418</v>
      </c>
      <c r="K19" s="147">
        <f>-17945359+17558374</f>
        <v>-386985</v>
      </c>
      <c r="L19" s="130">
        <v>0</v>
      </c>
      <c r="M19" s="131">
        <v>0</v>
      </c>
      <c r="N19" s="127">
        <f>+Actuals!K129</f>
        <v>0</v>
      </c>
      <c r="O19" s="128">
        <f>+Actuals!L129</f>
        <v>0</v>
      </c>
      <c r="P19" s="130">
        <f>+Actuals!M129</f>
        <v>0</v>
      </c>
      <c r="Q19" s="131">
        <f>+Actuals!N129</f>
        <v>0</v>
      </c>
      <c r="R19" s="130">
        <f>+Actuals!O129</f>
        <v>0</v>
      </c>
      <c r="S19" s="131">
        <f>+Actuals!P129</f>
        <v>0</v>
      </c>
      <c r="T19" s="130">
        <f>+Actuals!Q129</f>
        <v>0</v>
      </c>
      <c r="U19" s="131">
        <f>+Actuals!R129</f>
        <v>0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-129890</v>
      </c>
      <c r="F20" s="60">
        <f>'TIE-OUT'!AD20+RECLASS!AB20</f>
        <v>0</v>
      </c>
      <c r="G20" s="38">
        <f>'TIE-OUT'!AE20+RECLASS!AC20</f>
        <v>-129890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27">
        <f>+Actuals!K130</f>
        <v>0</v>
      </c>
      <c r="O20" s="128">
        <f>+Actuals!L130</f>
        <v>0</v>
      </c>
      <c r="P20" s="130">
        <f>+Actuals!M130</f>
        <v>0</v>
      </c>
      <c r="Q20" s="131">
        <f>+Actuals!N130</f>
        <v>0</v>
      </c>
      <c r="R20" s="130">
        <f>+Actuals!O130</f>
        <v>0</v>
      </c>
      <c r="S20" s="131">
        <f>+Actuals!P130</f>
        <v>0</v>
      </c>
      <c r="T20" s="130">
        <f>+Actuals!Q130</f>
        <v>0</v>
      </c>
      <c r="U20" s="131">
        <f>+Actuals!R130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-6656429</v>
      </c>
      <c r="E21" s="38">
        <f t="shared" si="3"/>
        <v>-17558374</v>
      </c>
      <c r="F21" s="60">
        <f>'TIE-OUT'!AD21+RECLASS!AB21</f>
        <v>0</v>
      </c>
      <c r="G21" s="38">
        <f>'TIE-OUT'!AE21+RECLASS!AC21</f>
        <v>0</v>
      </c>
      <c r="H21" s="130">
        <v>-18849654</v>
      </c>
      <c r="I21" s="131">
        <v>-54228520</v>
      </c>
      <c r="J21" s="130">
        <v>-6656429</v>
      </c>
      <c r="K21" s="147">
        <v>-17558374</v>
      </c>
      <c r="L21" s="130">
        <v>18849654</v>
      </c>
      <c r="M21" s="131">
        <v>54228520</v>
      </c>
      <c r="N21" s="127">
        <f>+Actuals!K131</f>
        <v>-25506083</v>
      </c>
      <c r="O21" s="128">
        <f>+Actuals!L131</f>
        <v>-71786894</v>
      </c>
      <c r="P21" s="130">
        <f>+Actuals!M131</f>
        <v>0</v>
      </c>
      <c r="Q21" s="131">
        <f>+Actuals!N131</f>
        <v>0</v>
      </c>
      <c r="R21" s="130">
        <f>+Actuals!O131</f>
        <v>25506083</v>
      </c>
      <c r="S21" s="131">
        <f>+Actuals!P131</f>
        <v>71786894</v>
      </c>
      <c r="T21" s="130">
        <f>+Actuals!Q131</f>
        <v>0</v>
      </c>
      <c r="U21" s="131">
        <f>+Actuals!R131</f>
        <v>0</v>
      </c>
      <c r="V21" s="130">
        <f>+Actuals!S91</f>
        <v>0</v>
      </c>
      <c r="W21" s="131">
        <f>+Actuals!T91</f>
        <v>0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27">
        <f>+Actuals!K132</f>
        <v>0</v>
      </c>
      <c r="O22" s="128">
        <f>+Actuals!L132</f>
        <v>0</v>
      </c>
      <c r="P22" s="130">
        <f>+Actuals!M132</f>
        <v>0</v>
      </c>
      <c r="Q22" s="131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478761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27">
        <f>+Actuals!K133</f>
        <v>0</v>
      </c>
      <c r="O23" s="129">
        <f>+Actuals!L133</f>
        <v>0</v>
      </c>
      <c r="P23" s="130">
        <f>+Actuals!M133</f>
        <v>478761</v>
      </c>
      <c r="Q23" s="131">
        <f>+Actuals!N133</f>
        <v>0</v>
      </c>
      <c r="R23" s="130">
        <f>+Actuals!O133</f>
        <v>0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-14397108</v>
      </c>
      <c r="E24" s="39">
        <f t="shared" si="4"/>
        <v>-36857165</v>
      </c>
      <c r="F24" s="61">
        <f t="shared" si="4"/>
        <v>0</v>
      </c>
      <c r="G24" s="39">
        <f t="shared" si="4"/>
        <v>3577280</v>
      </c>
      <c r="H24" s="61">
        <f t="shared" si="4"/>
        <v>-27054676</v>
      </c>
      <c r="I24" s="39">
        <f t="shared" si="4"/>
        <v>-76717606</v>
      </c>
      <c r="J24" s="61">
        <f t="shared" si="4"/>
        <v>-6670847</v>
      </c>
      <c r="K24" s="148">
        <f t="shared" si="4"/>
        <v>-17945359</v>
      </c>
      <c r="L24" s="61">
        <f t="shared" si="4"/>
        <v>18849654</v>
      </c>
      <c r="M24" s="39">
        <f t="shared" si="4"/>
        <v>54228520</v>
      </c>
      <c r="N24" s="61">
        <f t="shared" si="4"/>
        <v>-25506083</v>
      </c>
      <c r="O24" s="39">
        <f t="shared" si="4"/>
        <v>-71786894</v>
      </c>
      <c r="P24" s="61">
        <f t="shared" ref="P24:U24" si="5">SUM(P19:P23)</f>
        <v>478761</v>
      </c>
      <c r="Q24" s="39">
        <f t="shared" si="5"/>
        <v>0</v>
      </c>
      <c r="R24" s="61">
        <f t="shared" si="5"/>
        <v>25506083</v>
      </c>
      <c r="S24" s="39">
        <f t="shared" si="5"/>
        <v>71786894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'TIE-OUT'!AD27+RECLASS!AB27</f>
        <v>0</v>
      </c>
      <c r="G27" s="68">
        <f>'TIE-OUT'!AE27+RECLASS!AC27</f>
        <v>0</v>
      </c>
      <c r="H27" s="130">
        <f>+Actuals!E94</f>
        <v>0</v>
      </c>
      <c r="I27" s="131">
        <f>+Actuals!F94</f>
        <v>0</v>
      </c>
      <c r="J27" s="130">
        <v>0</v>
      </c>
      <c r="K27" s="147">
        <v>0</v>
      </c>
      <c r="L27" s="130">
        <f>+Actuals!I94</f>
        <v>0</v>
      </c>
      <c r="M27" s="131">
        <f>+Actuals!J94</f>
        <v>0</v>
      </c>
      <c r="N27" s="127">
        <f>+Actuals!K134</f>
        <v>0</v>
      </c>
      <c r="O27" s="128">
        <f>+Actuals!L134</f>
        <v>0</v>
      </c>
      <c r="P27" s="130">
        <f>+Actuals!M134</f>
        <v>0</v>
      </c>
      <c r="Q27" s="131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'TIE-OUT'!AD28+RECLASS!AB28</f>
        <v>0</v>
      </c>
      <c r="G28" s="82">
        <f>'TIE-OUT'!AE28+RECLASS!AC28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27">
        <f>+Actuals!K135</f>
        <v>0</v>
      </c>
      <c r="O28" s="128">
        <f>+Actuals!L135</f>
        <v>0</v>
      </c>
      <c r="P28" s="130">
        <f>+Actuals!M135</f>
        <v>0</v>
      </c>
      <c r="Q28" s="131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60"/>
      <c r="O31" s="38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1200000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30">
        <v>844503</v>
      </c>
      <c r="I32" s="131">
        <v>2145882</v>
      </c>
      <c r="J32" s="130">
        <v>-844503</v>
      </c>
      <c r="K32" s="147">
        <v>-2145882</v>
      </c>
      <c r="L32" s="130">
        <v>0</v>
      </c>
      <c r="M32" s="131">
        <v>0</v>
      </c>
      <c r="N32" s="127">
        <f>+Actuals!K136</f>
        <v>0</v>
      </c>
      <c r="O32" s="128">
        <f>+Actuals!L136</f>
        <v>0</v>
      </c>
      <c r="P32" s="130">
        <f>+Actuals!M136</f>
        <v>0</v>
      </c>
      <c r="Q32" s="131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1200000</v>
      </c>
      <c r="U32" s="131">
        <f>+Actuals!R136</f>
        <v>0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27">
        <f>+Actuals!K137</f>
        <v>0</v>
      </c>
      <c r="O33" s="128">
        <f>+Actuals!L137</f>
        <v>0</v>
      </c>
      <c r="P33" s="130">
        <f>+Actuals!M137</f>
        <v>0</v>
      </c>
      <c r="Q33" s="131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27">
        <f>+Actuals!K138</f>
        <v>0</v>
      </c>
      <c r="O34" s="128">
        <f>+Actuals!L138</f>
        <v>0</v>
      </c>
      <c r="P34" s="130">
        <f>+Actuals!M138</f>
        <v>0</v>
      </c>
      <c r="Q34" s="131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-600000</v>
      </c>
      <c r="E35" s="38">
        <f t="shared" si="8"/>
        <v>1732900</v>
      </c>
      <c r="F35" s="81">
        <f>'TIE-OUT'!AD35+RECLASS!AB35</f>
        <v>0</v>
      </c>
      <c r="G35" s="82">
        <f>'TIE-OUT'!AE35+RECLASS!AC35</f>
        <v>1732900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27">
        <f>+Actuals!K139</f>
        <v>0</v>
      </c>
      <c r="O35" s="128">
        <f>+Actuals!L139</f>
        <v>0</v>
      </c>
      <c r="P35" s="130">
        <f>+Actuals!M139</f>
        <v>0</v>
      </c>
      <c r="Q35" s="131">
        <f>+Actuals!N139</f>
        <v>0</v>
      </c>
      <c r="R35" s="130">
        <f>+Actuals!O139</f>
        <v>-600000</v>
      </c>
      <c r="S35" s="131">
        <f>+Actuals!P139</f>
        <v>0</v>
      </c>
      <c r="T35" s="130">
        <f>+Actuals!Q139</f>
        <v>0</v>
      </c>
      <c r="U35" s="131">
        <f>+Actuals!R139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600000</v>
      </c>
      <c r="E36" s="39">
        <f t="shared" si="9"/>
        <v>1732900</v>
      </c>
      <c r="F36" s="61">
        <f t="shared" si="9"/>
        <v>0</v>
      </c>
      <c r="G36" s="39">
        <f t="shared" si="9"/>
        <v>1732900</v>
      </c>
      <c r="H36" s="61">
        <f t="shared" si="9"/>
        <v>844503</v>
      </c>
      <c r="I36" s="39">
        <f t="shared" si="9"/>
        <v>2145882</v>
      </c>
      <c r="J36" s="61">
        <f t="shared" si="9"/>
        <v>-844503</v>
      </c>
      <c r="K36" s="148">
        <f t="shared" si="9"/>
        <v>-2145882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-600000</v>
      </c>
      <c r="S36" s="39">
        <f t="shared" si="10"/>
        <v>0</v>
      </c>
      <c r="T36" s="61">
        <f t="shared" si="10"/>
        <v>1200000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1800836</v>
      </c>
      <c r="E39" s="38">
        <f t="shared" si="11"/>
        <v>5063442.54</v>
      </c>
      <c r="F39" s="64">
        <f>'TIE-OUT'!AD39+RECLASS!AB39</f>
        <v>0</v>
      </c>
      <c r="G39" s="68">
        <f>'TIE-OUT'!AE39+RECLASS!AC39</f>
        <v>0</v>
      </c>
      <c r="H39" s="130">
        <v>1652296</v>
      </c>
      <c r="I39" s="131">
        <v>4648129</v>
      </c>
      <c r="J39" s="130">
        <v>386786</v>
      </c>
      <c r="K39" s="147">
        <v>1086596</v>
      </c>
      <c r="L39" s="130">
        <v>-239655</v>
      </c>
      <c r="M39" s="131">
        <v>-675252</v>
      </c>
      <c r="N39" s="127">
        <f>+Actuals!K140</f>
        <v>-12849</v>
      </c>
      <c r="O39" s="128">
        <f>+Actuals!L140</f>
        <v>-36210.18</v>
      </c>
      <c r="P39" s="130">
        <f>+Actuals!M140</f>
        <v>17252</v>
      </c>
      <c r="Q39" s="131">
        <f>+Actuals!N140</f>
        <v>48598.879999999997</v>
      </c>
      <c r="R39" s="130">
        <f>+Actuals!O140</f>
        <v>-2489</v>
      </c>
      <c r="S39" s="131">
        <f>+Actuals!P140</f>
        <v>-6996.58</v>
      </c>
      <c r="T39" s="130">
        <f>+Actuals!Q140</f>
        <v>-505</v>
      </c>
      <c r="U39" s="131">
        <f>+Actuals!R140</f>
        <v>-1422.58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-17252</v>
      </c>
      <c r="E40" s="38">
        <f t="shared" si="11"/>
        <v>-48598.889999999992</v>
      </c>
      <c r="F40" s="60">
        <f>'TIE-OUT'!AD40+RECLASS!AB40</f>
        <v>0</v>
      </c>
      <c r="G40" s="38">
        <f>'TIE-OUT'!AE40+RECLASS!AC40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v>-47984</v>
      </c>
      <c r="M40" s="131">
        <v>-129389</v>
      </c>
      <c r="N40" s="127">
        <f>+Actuals!K141</f>
        <v>47984</v>
      </c>
      <c r="O40" s="128">
        <f>+Actuals!L141</f>
        <v>129388.99</v>
      </c>
      <c r="P40" s="130">
        <f>+Actuals!M141</f>
        <v>-17252</v>
      </c>
      <c r="Q40" s="131">
        <f>+Actuals!N141</f>
        <v>-48598.879999999997</v>
      </c>
      <c r="R40" s="130">
        <f>+Actuals!O141</f>
        <v>0</v>
      </c>
      <c r="S40" s="131">
        <f>+Actuals!P141</f>
        <v>0</v>
      </c>
      <c r="T40" s="130">
        <f>+Actuals!Q141</f>
        <v>0</v>
      </c>
      <c r="U40" s="131">
        <f>+Actuals!R141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27">
        <f>+Actuals!K142</f>
        <v>0</v>
      </c>
      <c r="O41" s="128">
        <f>+Actuals!L142</f>
        <v>0</v>
      </c>
      <c r="P41" s="130">
        <f>+Actuals!M142</f>
        <v>0</v>
      </c>
      <c r="Q41" s="131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-17252</v>
      </c>
      <c r="E42" s="39">
        <f t="shared" si="12"/>
        <v>-48598.889999999992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-47984</v>
      </c>
      <c r="M42" s="39">
        <f t="shared" si="12"/>
        <v>-129389</v>
      </c>
      <c r="N42" s="61">
        <f t="shared" si="12"/>
        <v>47984</v>
      </c>
      <c r="O42" s="39">
        <f t="shared" si="12"/>
        <v>129388.99</v>
      </c>
      <c r="P42" s="61">
        <f t="shared" ref="P42:U42" si="13">SUM(P40:P41)</f>
        <v>-17252</v>
      </c>
      <c r="Q42" s="39">
        <f t="shared" si="13"/>
        <v>-48598.879999999997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1783584</v>
      </c>
      <c r="E43" s="39">
        <f t="shared" si="14"/>
        <v>5014843.6500000004</v>
      </c>
      <c r="F43" s="61">
        <f t="shared" si="14"/>
        <v>0</v>
      </c>
      <c r="G43" s="39">
        <f t="shared" si="14"/>
        <v>0</v>
      </c>
      <c r="H43" s="61">
        <f t="shared" si="14"/>
        <v>1652296</v>
      </c>
      <c r="I43" s="39">
        <f t="shared" si="14"/>
        <v>4648129</v>
      </c>
      <c r="J43" s="61">
        <f t="shared" si="14"/>
        <v>386786</v>
      </c>
      <c r="K43" s="148">
        <f t="shared" si="14"/>
        <v>1086596</v>
      </c>
      <c r="L43" s="61">
        <f t="shared" si="14"/>
        <v>-287639</v>
      </c>
      <c r="M43" s="39">
        <f t="shared" si="14"/>
        <v>-804641</v>
      </c>
      <c r="N43" s="61">
        <f t="shared" si="14"/>
        <v>35135</v>
      </c>
      <c r="O43" s="39">
        <f t="shared" si="14"/>
        <v>93178.81</v>
      </c>
      <c r="P43" s="61">
        <f t="shared" ref="P43:U43" si="15">P42+P39</f>
        <v>0</v>
      </c>
      <c r="Q43" s="39">
        <f t="shared" si="15"/>
        <v>0</v>
      </c>
      <c r="R43" s="61">
        <f t="shared" si="15"/>
        <v>-2489</v>
      </c>
      <c r="S43" s="39">
        <f t="shared" si="15"/>
        <v>-6996.58</v>
      </c>
      <c r="T43" s="61">
        <f t="shared" si="15"/>
        <v>-505</v>
      </c>
      <c r="U43" s="39">
        <f t="shared" si="15"/>
        <v>-1422.58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'TIE-OUT'!AD45+RECLASS!AB45</f>
        <v>0</v>
      </c>
      <c r="G45" s="68">
        <f>'TIE-OUT'!AE45+RECLASS!AC45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27">
        <f>+Actuals!K143</f>
        <v>0</v>
      </c>
      <c r="O45" s="128">
        <f>+Actuals!L143</f>
        <v>0</v>
      </c>
      <c r="P45" s="130">
        <f>+Actuals!M143</f>
        <v>0</v>
      </c>
      <c r="Q45" s="131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'TIE-OUT'!AD47+RECLASS!AB47</f>
        <v>0</v>
      </c>
      <c r="G47" s="38">
        <f>'TIE-OUT'!AE47+RECLASS!AC47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27">
        <f>+Actuals!K144</f>
        <v>0</v>
      </c>
      <c r="O47" s="128">
        <f>+Actuals!L144</f>
        <v>0</v>
      </c>
      <c r="P47" s="130">
        <f>+Actuals!M144</f>
        <v>0</v>
      </c>
      <c r="Q47" s="131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-191781</v>
      </c>
      <c r="E49" s="38">
        <f>SUM(G49,I49,K49,M49,O49,Q49,S49,U49,W49,Y49,AA49,AC49,AE49)</f>
        <v>-487314.98200000264</v>
      </c>
      <c r="F49" s="60">
        <f>'TIE-OUT'!AD49+RECLASS!AB49</f>
        <v>0</v>
      </c>
      <c r="G49" s="38">
        <f>'TIE-OUT'!AE49+RECLASS!AC49</f>
        <v>0</v>
      </c>
      <c r="H49" s="130">
        <f>+Actuals!E105</f>
        <v>0</v>
      </c>
      <c r="I49" s="131">
        <f>+Actuals!F105</f>
        <v>0</v>
      </c>
      <c r="J49" s="130">
        <v>5143574</v>
      </c>
      <c r="K49" s="147">
        <v>13069822</v>
      </c>
      <c r="L49" s="130">
        <v>-4213453</v>
      </c>
      <c r="M49" s="131">
        <v>-10706384</v>
      </c>
      <c r="N49" s="127">
        <f>+Actuals!K145</f>
        <v>8931451</v>
      </c>
      <c r="O49" s="128">
        <f>+Actuals!L145</f>
        <v>22694816.991</v>
      </c>
      <c r="P49" s="130">
        <f>+Actuals!M145</f>
        <v>-489761</v>
      </c>
      <c r="Q49" s="131">
        <f>+Actuals!N145</f>
        <v>-1244482.7009999999</v>
      </c>
      <c r="R49" s="130">
        <f>+Actuals!O145</f>
        <v>-8364097</v>
      </c>
      <c r="S49" s="131">
        <f>+Actuals!P145</f>
        <v>-21253170.477000002</v>
      </c>
      <c r="T49" s="130">
        <f>+Actuals!Q145</f>
        <v>-1199495</v>
      </c>
      <c r="U49" s="131">
        <f>+Actuals!R145</f>
        <v>-3047916.7949999999</v>
      </c>
      <c r="V49" s="130">
        <f>+Actuals!S105</f>
        <v>0</v>
      </c>
      <c r="W49" s="131">
        <f>+Actuals!T105</f>
        <v>0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'TIE-OUT'!AD51+RECLASS!AB51</f>
        <v>0</v>
      </c>
      <c r="G51" s="38">
        <f>'TIE-OUT'!AE51+RECLASS!AC51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+Actuals!K146</f>
        <v>0</v>
      </c>
      <c r="O51" s="128">
        <f>+Actuals!L146</f>
        <v>0</v>
      </c>
      <c r="P51" s="130">
        <f>+Actuals!M146</f>
        <v>0</v>
      </c>
      <c r="Q51" s="131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-14288070</v>
      </c>
      <c r="E54" s="38">
        <f>SUM(G54,I54,K54,M54,O54,Q54,S54,U54,W54,Y54,AA54,AC54,AE54)</f>
        <v>-3015958.53</v>
      </c>
      <c r="F54" s="64">
        <f>'TIE-OUT'!AD54+RECLASS!AB54</f>
        <v>0</v>
      </c>
      <c r="G54" s="68">
        <f>'TIE-OUT'!AE54+RECLASS!AC54</f>
        <v>-27367</v>
      </c>
      <c r="H54" s="130">
        <f>-12907847-2244650</f>
        <v>-15152497</v>
      </c>
      <c r="I54" s="131">
        <f>-330487-129859-2606985</f>
        <v>-3067331</v>
      </c>
      <c r="J54" s="130">
        <f>807746+310221</f>
        <v>1117967</v>
      </c>
      <c r="K54" s="147">
        <f>34167+28968+15774</f>
        <v>78909</v>
      </c>
      <c r="L54" s="130">
        <f>-218905-137302</f>
        <v>-356207</v>
      </c>
      <c r="M54" s="131">
        <f>-3701+5827-4037</f>
        <v>-1911</v>
      </c>
      <c r="N54" s="127">
        <f>+Actuals!K147</f>
        <v>97110</v>
      </c>
      <c r="O54" s="128">
        <f>+Actuals!L147</f>
        <v>1434.45</v>
      </c>
      <c r="P54" s="130">
        <f>+Actuals!M147</f>
        <v>3161</v>
      </c>
      <c r="Q54" s="131">
        <f>+Actuals!N147</f>
        <v>84.99</v>
      </c>
      <c r="R54" s="130">
        <f>+Actuals!O147</f>
        <v>2396</v>
      </c>
      <c r="S54" s="131">
        <f>+Actuals!P147</f>
        <v>222.03</v>
      </c>
      <c r="T54" s="130">
        <f>+Actuals!Q147</f>
        <v>0</v>
      </c>
      <c r="U54" s="131">
        <f>+Actuals!R147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-7763160.1600000001</v>
      </c>
      <c r="F55" s="81">
        <f>'TIE-OUT'!AD55+RECLASS!AB55</f>
        <v>0</v>
      </c>
      <c r="G55" s="82">
        <f>'TIE-OUT'!AE55+RECLASS!AC55</f>
        <v>-33229</v>
      </c>
      <c r="H55" s="130">
        <v>0</v>
      </c>
      <c r="I55" s="131">
        <v>-7453616</v>
      </c>
      <c r="J55" s="130">
        <f>+Actuals!G108</f>
        <v>0</v>
      </c>
      <c r="K55" s="147">
        <f>-58201+29172</f>
        <v>-29029</v>
      </c>
      <c r="L55" s="130">
        <f>+Actuals!I108</f>
        <v>0</v>
      </c>
      <c r="M55" s="131">
        <f>287775-1106</f>
        <v>286669</v>
      </c>
      <c r="N55" s="127">
        <f>+Actuals!K148</f>
        <v>0</v>
      </c>
      <c r="O55" s="128">
        <f>+Actuals!L148</f>
        <v>-410416.98</v>
      </c>
      <c r="P55" s="130">
        <f>+Actuals!M148</f>
        <v>0</v>
      </c>
      <c r="Q55" s="131">
        <f>+Actuals!N148</f>
        <v>-123538.18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-14288070</v>
      </c>
      <c r="E56" s="39">
        <f t="shared" si="16"/>
        <v>-10779118.689999999</v>
      </c>
      <c r="F56" s="61">
        <f t="shared" si="16"/>
        <v>0</v>
      </c>
      <c r="G56" s="39">
        <f t="shared" si="16"/>
        <v>-60596</v>
      </c>
      <c r="H56" s="61">
        <f t="shared" si="16"/>
        <v>-15152497</v>
      </c>
      <c r="I56" s="39">
        <f t="shared" si="16"/>
        <v>-10520947</v>
      </c>
      <c r="J56" s="61">
        <f t="shared" si="16"/>
        <v>1117967</v>
      </c>
      <c r="K56" s="148">
        <f t="shared" si="16"/>
        <v>49880</v>
      </c>
      <c r="L56" s="61">
        <f t="shared" si="16"/>
        <v>-356207</v>
      </c>
      <c r="M56" s="39">
        <f t="shared" si="16"/>
        <v>284758</v>
      </c>
      <c r="N56" s="61">
        <f t="shared" si="16"/>
        <v>97110</v>
      </c>
      <c r="O56" s="39">
        <f t="shared" si="16"/>
        <v>-408982.52999999997</v>
      </c>
      <c r="P56" s="61">
        <f t="shared" ref="P56:U56" si="17">SUM(P54:P55)</f>
        <v>3161</v>
      </c>
      <c r="Q56" s="39">
        <f t="shared" si="17"/>
        <v>-123453.18999999999</v>
      </c>
      <c r="R56" s="61">
        <f t="shared" si="17"/>
        <v>2396</v>
      </c>
      <c r="S56" s="39">
        <f t="shared" si="17"/>
        <v>222.03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'TIE-OUT'!AD59+RECLASS!AB59</f>
        <v>0</v>
      </c>
      <c r="G59" s="68">
        <f>'TIE-OUT'!AE59+RECLASS!AC59</f>
        <v>0</v>
      </c>
      <c r="H59" s="130">
        <f>+Actuals!E109</f>
        <v>0</v>
      </c>
      <c r="I59" s="131">
        <v>0</v>
      </c>
      <c r="J59" s="130">
        <f>+Actuals!G109</f>
        <v>0</v>
      </c>
      <c r="K59" s="147">
        <v>0</v>
      </c>
      <c r="L59" s="130">
        <f>+Actuals!I109</f>
        <v>0</v>
      </c>
      <c r="M59" s="131">
        <f>+Actuals!J109</f>
        <v>0</v>
      </c>
      <c r="N59" s="127">
        <f>+Actuals!K149</f>
        <v>0</v>
      </c>
      <c r="O59" s="128">
        <f>+Actuals!L149</f>
        <v>0</v>
      </c>
      <c r="P59" s="130">
        <f>+Actuals!M149</f>
        <v>0</v>
      </c>
      <c r="Q59" s="131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'TIE-OUT'!AD60+RECLASS!AB60</f>
        <v>0</v>
      </c>
      <c r="G60" s="82">
        <f>'TIE-OUT'!AE60+RECLASS!AC60</f>
        <v>0</v>
      </c>
      <c r="H60" s="130">
        <f>+Actuals!E110</f>
        <v>0</v>
      </c>
      <c r="I60" s="131"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27">
        <f>+Actuals!K150</f>
        <v>0</v>
      </c>
      <c r="O60" s="128">
        <f>+Actuals!L150</f>
        <v>0</v>
      </c>
      <c r="P60" s="130">
        <f>+Actuals!M150</f>
        <v>0</v>
      </c>
      <c r="Q60" s="131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'TIE-OUT'!AD64+RECLASS!AB64</f>
        <v>0</v>
      </c>
      <c r="G64" s="68">
        <f>'TIE-OUT'!AE64+RECLASS!AC64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27">
        <f>+Actuals!K151</f>
        <v>0</v>
      </c>
      <c r="O64" s="128">
        <f>+Actuals!L151</f>
        <v>0</v>
      </c>
      <c r="P64" s="130">
        <f>+Actuals!M151</f>
        <v>0</v>
      </c>
      <c r="Q64" s="131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'TIE-OUT'!AD65+RECLASS!AB65</f>
        <v>0</v>
      </c>
      <c r="G65" s="82">
        <f>'TIE-OUT'!AE65+RECLASS!AC65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27">
        <f>+Actuals!K152</f>
        <v>0</v>
      </c>
      <c r="O65" s="128">
        <f>+Actuals!L152</f>
        <v>0</v>
      </c>
      <c r="P65" s="130">
        <f>+Actuals!M152</f>
        <v>0</v>
      </c>
      <c r="Q65" s="131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8066078.1500000004</v>
      </c>
      <c r="F70" s="64">
        <f>'TIE-OUT'!AD70+RECLASS!AB70</f>
        <v>0</v>
      </c>
      <c r="G70" s="68">
        <f>'TIE-OUT'!AE70+RECLASS!AC70</f>
        <v>8066078.1500000004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5">
        <v>0</v>
      </c>
      <c r="L70" s="130">
        <f>+Actuals!I113</f>
        <v>0</v>
      </c>
      <c r="M70" s="131">
        <f>+Actuals!J113</f>
        <v>0</v>
      </c>
      <c r="N70" s="127">
        <f>+Actuals!K153</f>
        <v>0</v>
      </c>
      <c r="O70" s="128">
        <f>+Actuals!L153</f>
        <v>0</v>
      </c>
      <c r="P70" s="130">
        <f>+Actuals!M153</f>
        <v>0</v>
      </c>
      <c r="Q70" s="131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-6989410.2800000003</v>
      </c>
      <c r="F71" s="81">
        <f>'TIE-OUT'!AD71+RECLASS!AB71</f>
        <v>0</v>
      </c>
      <c r="G71" s="82">
        <f>'TIE-OUT'!AE71+RECLASS!AC71</f>
        <v>-6989410.2800000003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27">
        <f>+Actuals!K154</f>
        <v>0</v>
      </c>
      <c r="O71" s="128">
        <f>+Actuals!L154</f>
        <v>0</v>
      </c>
      <c r="P71" s="130">
        <f>+Actuals!M154</f>
        <v>0</v>
      </c>
      <c r="Q71" s="131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1076667.8700000001</v>
      </c>
      <c r="F72" s="61">
        <f t="shared" si="22"/>
        <v>0</v>
      </c>
      <c r="G72" s="39">
        <f t="shared" si="22"/>
        <v>1076667.8700000001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'TIE-OUT'!AD73+RECLASS!AB73</f>
        <v>0</v>
      </c>
      <c r="G73" s="60">
        <f>'TIE-OUT'!AE73+RECLASS!AC73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27">
        <f>+Actuals!K155</f>
        <v>0</v>
      </c>
      <c r="O73" s="128">
        <f>+Actuals!L155</f>
        <v>0</v>
      </c>
      <c r="P73" s="130">
        <f>+Actuals!M155</f>
        <v>0</v>
      </c>
      <c r="Q73" s="131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-1197828</v>
      </c>
      <c r="F74" s="60">
        <f>'TIE-OUT'!AD74+RECLASS!AB74</f>
        <v>0</v>
      </c>
      <c r="G74" s="60">
        <f>'TIE-OUT'!AE74+RECLASS!AC74</f>
        <v>-1197828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27">
        <f>+Actuals!K156</f>
        <v>0</v>
      </c>
      <c r="O74" s="128">
        <f>+Actuals!L156</f>
        <v>0</v>
      </c>
      <c r="P74" s="130">
        <f>+Actuals!M156</f>
        <v>0</v>
      </c>
      <c r="Q74" s="131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25700</v>
      </c>
      <c r="F75" s="60">
        <f>'TIE-OUT'!AD75+RECLASS!AB75</f>
        <v>0</v>
      </c>
      <c r="G75" s="60">
        <f>'TIE-OUT'!AE75+RECLASS!AC75</f>
        <v>25700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27">
        <f>+Actuals!K157</f>
        <v>0</v>
      </c>
      <c r="O75" s="128">
        <f>+Actuals!L157</f>
        <v>0</v>
      </c>
      <c r="P75" s="130">
        <f>+Actuals!M157</f>
        <v>0</v>
      </c>
      <c r="Q75" s="131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'TIE-OUT'!AD76+RECLASS!AB76</f>
        <v>0</v>
      </c>
      <c r="G76" s="60">
        <f>'TIE-OUT'!AE76+RECLASS!AC76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27">
        <f>+Actuals!K158</f>
        <v>0</v>
      </c>
      <c r="O76" s="128">
        <f>+Actuals!L158</f>
        <v>0</v>
      </c>
      <c r="P76" s="130">
        <f>+Actuals!M158</f>
        <v>0</v>
      </c>
      <c r="Q76" s="131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'TIE-OUT'!AD77+RECLASS!AB77</f>
        <v>0</v>
      </c>
      <c r="G77" s="60">
        <f>'TIE-OUT'!AE77+RECLASS!AC77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27">
        <f>+Actuals!K159</f>
        <v>0</v>
      </c>
      <c r="O77" s="128">
        <f>+Actuals!L159</f>
        <v>0</v>
      </c>
      <c r="P77" s="130">
        <f>+Actuals!M159</f>
        <v>0</v>
      </c>
      <c r="Q77" s="131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'TIE-OUT'!AD78+RECLASS!AB78</f>
        <v>0</v>
      </c>
      <c r="G78" s="60">
        <f>'TIE-OUT'!AE78+RECLASS!AC78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27">
        <f>+Actuals!K160</f>
        <v>0</v>
      </c>
      <c r="O78" s="128">
        <f>+Actuals!L160</f>
        <v>0</v>
      </c>
      <c r="P78" s="130">
        <f>+Actuals!M160</f>
        <v>0</v>
      </c>
      <c r="Q78" s="131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'TIE-OUT'!AD79+RECLASS!AB79</f>
        <v>0</v>
      </c>
      <c r="G79" s="60">
        <f>'TIE-OUT'!AE79+RECLASS!AC79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27">
        <f>+Actuals!K161</f>
        <v>0</v>
      </c>
      <c r="O79" s="128">
        <f>+Actuals!L161</f>
        <v>0</v>
      </c>
      <c r="P79" s="130">
        <f>+Actuals!M161</f>
        <v>0</v>
      </c>
      <c r="Q79" s="131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'TIE-OUT'!AD80+RECLASS!AB80</f>
        <v>0</v>
      </c>
      <c r="G80" s="60">
        <f>'TIE-OUT'!AE80+RECLASS!AC80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27">
        <f>+Actuals!K162</f>
        <v>0</v>
      </c>
      <c r="O80" s="128">
        <f>+Actuals!L162</f>
        <v>0</v>
      </c>
      <c r="P80" s="130">
        <f>+Actuals!M162</f>
        <v>0</v>
      </c>
      <c r="Q80" s="131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'TIE-OUT'!AD81+RECLASS!AB81</f>
        <v>0</v>
      </c>
      <c r="G81" s="60">
        <f>'TIE-OUT'!AE81+RECLASS!AC81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v>0</v>
      </c>
      <c r="L81" s="130">
        <f>+Actuals!I123</f>
        <v>0</v>
      </c>
      <c r="M81" s="131">
        <f>+Actuals!J123</f>
        <v>0</v>
      </c>
      <c r="N81" s="127">
        <f>+Actuals!K163</f>
        <v>0</v>
      </c>
      <c r="O81" s="128">
        <f>+Actuals!L163</f>
        <v>0</v>
      </c>
      <c r="P81" s="130">
        <f>+Actuals!M163</f>
        <v>0</v>
      </c>
      <c r="Q81" s="131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561020.44799999706</v>
      </c>
      <c r="F82" s="91">
        <f>F16+F24+F29+F36+F43+F45+F47+F49</f>
        <v>0</v>
      </c>
      <c r="G82" s="92">
        <f>SUM(G72:G81)+G16+G24+G29+G36+G43+G45+G47+G49+G51+G56+G61+G66</f>
        <v>1446953.87</v>
      </c>
      <c r="H82" s="91">
        <f>H16+H24+H29+H36+H43+H45+H47+H49</f>
        <v>0</v>
      </c>
      <c r="I82" s="92">
        <f>SUM(I72:I81)+I16+I24+I29+I36+I43+I45+I47+I49+I51+I56+I61+I66</f>
        <v>-4008238</v>
      </c>
      <c r="J82" s="91">
        <f>J16+J24+J29+J36+J43+J45+J47+J49</f>
        <v>0</v>
      </c>
      <c r="K82" s="156">
        <f>SUM(K72:K81)+K16+K24+K29+K36+K43+K45+K47+K49+K51+K56+K61+K66</f>
        <v>6050710</v>
      </c>
      <c r="L82" s="91">
        <f>L16+L24+L29+L36+L43+L45+L47+L49</f>
        <v>0</v>
      </c>
      <c r="M82" s="92">
        <f>SUM(M72:M81)+M16+M24+M29+M36+M43+M45+M47+M49+M51+M56+M61+M66</f>
        <v>368017</v>
      </c>
      <c r="N82" s="91">
        <f>N16+N24+N29+N36+N43+N45+N47+N49</f>
        <v>0</v>
      </c>
      <c r="O82" s="92">
        <f>SUM(O72:O81)+O16+O24+O29+O36+O43+O45+O47+O49+O51+O56+O61+O66</f>
        <v>-723780.72900000098</v>
      </c>
      <c r="P82" s="91">
        <f>P16+P24+P29+P36+P43+P45+P47+P49</f>
        <v>0</v>
      </c>
      <c r="Q82" s="92">
        <f>SUM(Q72:Q81)+Q16+Q24+Q29+Q36+Q43+Q45+Q47+Q49+Q51+Q56+Q61+Q66</f>
        <v>-1338024.2909999997</v>
      </c>
      <c r="R82" s="91">
        <f>R16+R24+R29+R36+R43+R45+R47+R49</f>
        <v>0</v>
      </c>
      <c r="S82" s="92">
        <f>SUM(S72:S81)+S16+S24+S29+S36+S43+S45+S47+S49+S51+S56+S61+S66</f>
        <v>1814721.973</v>
      </c>
      <c r="T82" s="91">
        <f>T16+T24+T29+T36+T43+T45+T47+T49</f>
        <v>0</v>
      </c>
      <c r="U82" s="92">
        <f>SUM(U72:U81)+U16+U24+U29+U36+U43+U45+U47+U49+U51+U56+U61+U66</f>
        <v>-3049339.375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46" activePane="bottomRight" state="frozen"/>
      <selection activeCell="Q642" sqref="Q642"/>
      <selection pane="topRight" activeCell="Q642" sqref="Q642"/>
      <selection pane="bottomLeft" activeCell="Q642" sqref="Q642"/>
      <selection pane="bottomRight" activeCell="U70" sqref="U7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-71058</v>
      </c>
      <c r="F12" s="60">
        <f>'TIE-OUT'!X12+RECLASS!V12</f>
        <v>0</v>
      </c>
      <c r="G12" s="38">
        <f>'TIE-OUT'!Y12+RECLASS!W12</f>
        <v>-71058</v>
      </c>
      <c r="H12" s="60"/>
      <c r="I12" s="38"/>
      <c r="J12" s="60"/>
      <c r="K12" s="147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203</v>
      </c>
      <c r="D13" s="60">
        <f t="shared" si="0"/>
        <v>0</v>
      </c>
      <c r="E13" s="38">
        <f t="shared" si="0"/>
        <v>-7876343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/>
      <c r="L13" s="60"/>
      <c r="M13" s="38"/>
      <c r="N13" s="60"/>
      <c r="O13" s="38">
        <v>-7876343</v>
      </c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-7947401</v>
      </c>
      <c r="F16" s="61">
        <f t="shared" ref="F16:AD16" si="1">SUM(F11:F15)</f>
        <v>0</v>
      </c>
      <c r="G16" s="39">
        <f t="shared" si="1"/>
        <v>-71058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-7876343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ref="P24:U24" si="6">SUM(P19:P23)</f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ref="P29:U29" si="9">SUM(P27:P28)</f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8"/>
        <v>0</v>
      </c>
      <c r="W29" s="39">
        <f t="shared" ref="W29:AE29" si="10">SUM(W27:W28)</f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'TIE-OUT'!X41+RECLASS!V41</f>
        <v>0</v>
      </c>
      <c r="G41" s="82">
        <f>'TIE-OUT'!Y41+RECLASS!W41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-92370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>
        <v>-92370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ref="P56:U56" si="23">SUM(P54:P55)</f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2"/>
        <v>0</v>
      </c>
      <c r="W56" s="39">
        <f t="shared" ref="W56:AE56" si="24">SUM(W54:W55)</f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5"/>
        <v>0</v>
      </c>
      <c r="W61" s="39">
        <f t="shared" ref="W61:AE61" si="27">SUM(W59:W60)</f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8"/>
        <v>0</v>
      </c>
      <c r="W66" s="39">
        <f t="shared" ref="W66:AE66" si="30">SUM(W64:W65)</f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9627402</v>
      </c>
      <c r="F70" s="64">
        <f>'TIE-OUT'!X70+RECLASS!V70</f>
        <v>0</v>
      </c>
      <c r="G70" s="68">
        <f>'TIE-OUT'!Y70+RECLASS!W70</f>
        <v>4385342</v>
      </c>
      <c r="H70" s="60"/>
      <c r="I70" s="38">
        <v>-964594</v>
      </c>
      <c r="J70" s="60"/>
      <c r="K70" s="147">
        <v>0</v>
      </c>
      <c r="L70" s="60"/>
      <c r="M70" s="38">
        <v>0</v>
      </c>
      <c r="N70" s="60"/>
      <c r="O70" s="38">
        <v>8833187</v>
      </c>
      <c r="P70" s="60"/>
      <c r="Q70" s="38"/>
      <c r="R70" s="60"/>
      <c r="S70" s="38">
        <v>-2626533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9627402</v>
      </c>
      <c r="F72" s="61">
        <f t="shared" ref="F72:AD72" si="31">SUM(F70:F71)</f>
        <v>0</v>
      </c>
      <c r="G72" s="39">
        <f t="shared" si="31"/>
        <v>4385342</v>
      </c>
      <c r="H72" s="61">
        <f t="shared" si="31"/>
        <v>0</v>
      </c>
      <c r="I72" s="39">
        <f t="shared" si="31"/>
        <v>-964594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8833187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-2626533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-1157671</v>
      </c>
      <c r="F74" s="60">
        <f>'TIE-OUT'!X74+RECLASS!V74</f>
        <v>0</v>
      </c>
      <c r="G74" s="60">
        <f>'TIE-OUT'!Y74+RECLASS!W74</f>
        <v>-1157671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-8200</v>
      </c>
      <c r="F76" s="60">
        <f>'TIE-OUT'!X76+RECLASS!V76</f>
        <v>0</v>
      </c>
      <c r="G76" s="60">
        <f>'TIE-OUT'!Y76+RECLASS!W76</f>
        <v>-8200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-94252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>
        <f>-89995-4257</f>
        <v>-94252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74187</v>
      </c>
      <c r="F82" s="91">
        <f>F16+F24+F29+F36+F43+F45+F47+F49</f>
        <v>0</v>
      </c>
      <c r="G82" s="92">
        <f>SUM(G72:G81)+G16+G24+G29+G36+G43+G45+G47+G49+G51+G56+G61+G66</f>
        <v>3148413</v>
      </c>
      <c r="H82" s="91">
        <f>H16+H24+H29+H36+H43+H45+H47+H49</f>
        <v>0</v>
      </c>
      <c r="I82" s="161">
        <f>SUM(I72:I81)+I16+I24+I29+I36+I43+I45+I47+I49+I51+I56+I61+I66</f>
        <v>-964594</v>
      </c>
      <c r="J82" s="91">
        <f>J16+J24+J29+J36+J43+J45+J47+J49</f>
        <v>0</v>
      </c>
      <c r="K82" s="161">
        <f>SUM(K72:K81)+K16+K24+K29+K36+K43+K45+K47+K49+K51+K56+K61+K66</f>
        <v>-439943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956844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-2626533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E84" s="31">
        <f>+E72+E12-G12</f>
        <v>9627402</v>
      </c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M66" activePane="bottomRight" state="frozen"/>
      <selection activeCell="Q642" sqref="Q642"/>
      <selection pane="topRight" activeCell="Q642" sqref="Q642"/>
      <selection pane="bottomLeft" activeCell="Q642" sqref="Q642"/>
      <selection pane="bottomRight" activeCell="U74" sqref="U7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12" width="15.44140625" customWidth="1"/>
    <col min="13" max="13" width="15.5546875" customWidth="1"/>
    <col min="14" max="21" width="15.44140625" customWidth="1"/>
    <col min="22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25590013</v>
      </c>
      <c r="E11" s="38">
        <f>SUM(G11,I11,K11,M11,O11,Q11,S11,U11,W11,Y11,AA11,AC11,AE11)</f>
        <v>68445708.429999992</v>
      </c>
      <c r="F11" s="60">
        <f>'TIE-OUT'!Z11+RECLASS!X11</f>
        <v>0</v>
      </c>
      <c r="G11" s="38">
        <f>'TIE-OUT'!AA11+RECLASS!Y11</f>
        <v>0</v>
      </c>
      <c r="H11" s="60">
        <f>27918100-3054942</f>
        <v>24863158</v>
      </c>
      <c r="I11" s="38">
        <f>74202312-8054746</f>
        <v>66147566</v>
      </c>
      <c r="J11" s="60">
        <f>1026168-235701</f>
        <v>790467</v>
      </c>
      <c r="K11" s="147">
        <f>3102256-652860</f>
        <v>2449396</v>
      </c>
      <c r="L11" s="130">
        <v>-2863</v>
      </c>
      <c r="M11" s="131">
        <v>-9110</v>
      </c>
      <c r="N11" s="127">
        <f>+Actuals!K284</f>
        <v>0</v>
      </c>
      <c r="O11" s="128">
        <f>+Actuals!L284</f>
        <v>0</v>
      </c>
      <c r="P11" s="60">
        <f>+Actuals!M284</f>
        <v>28</v>
      </c>
      <c r="Q11" s="38">
        <f>+Actuals!N284</f>
        <v>74.61</v>
      </c>
      <c r="R11" s="60">
        <f>+Actuals!O284</f>
        <v>-60777</v>
      </c>
      <c r="S11" s="38">
        <f>+Actuals!P284</f>
        <v>-142218.18</v>
      </c>
      <c r="T11" s="60">
        <f>+Actuals!Q284</f>
        <v>0</v>
      </c>
      <c r="U11" s="38">
        <f>+Actuals!R284</f>
        <v>0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963633.19</v>
      </c>
      <c r="F12" s="60">
        <f>'TIE-OUT'!Z12+RECLASS!X12</f>
        <v>0</v>
      </c>
      <c r="G12" s="38">
        <f>'TIE-OUT'!AA12+RECLASS!Y12</f>
        <v>282454.8</v>
      </c>
      <c r="H12" s="60"/>
      <c r="I12" s="38"/>
      <c r="J12" s="60"/>
      <c r="K12" s="158">
        <v>681178.39</v>
      </c>
      <c r="L12" s="130">
        <f>+Actuals!I85</f>
        <v>0</v>
      </c>
      <c r="M12" s="131">
        <f>+Actuals!J85</f>
        <v>0</v>
      </c>
      <c r="N12" s="127">
        <f>+Actuals!K285</f>
        <v>0</v>
      </c>
      <c r="O12" s="128">
        <f>+Actuals!L285</f>
        <v>0</v>
      </c>
      <c r="P12" s="60">
        <f>+Actuals!M285</f>
        <v>0</v>
      </c>
      <c r="Q12" s="3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27</v>
      </c>
      <c r="D13" s="60">
        <f t="shared" si="0"/>
        <v>235701</v>
      </c>
      <c r="E13" s="38">
        <f t="shared" si="0"/>
        <v>652860</v>
      </c>
      <c r="F13" s="60">
        <f>'TIE-OUT'!Z13+RECLASS!X13</f>
        <v>0</v>
      </c>
      <c r="G13" s="38">
        <f>'TIE-OUT'!AA13+RECLASS!Y13</f>
        <v>0</v>
      </c>
      <c r="H13" s="60">
        <v>3054942</v>
      </c>
      <c r="I13" s="38">
        <v>8054746</v>
      </c>
      <c r="J13" s="60">
        <v>235701</v>
      </c>
      <c r="K13" s="147">
        <v>652860</v>
      </c>
      <c r="L13" s="130">
        <v>-3054942</v>
      </c>
      <c r="M13" s="131">
        <v>-8054746</v>
      </c>
      <c r="N13" s="127">
        <f>+Actuals!K286</f>
        <v>3290643</v>
      </c>
      <c r="O13" s="128">
        <f>+Actuals!L286</f>
        <v>8707606</v>
      </c>
      <c r="P13" s="60">
        <f>+Actuals!M286</f>
        <v>0</v>
      </c>
      <c r="Q13" s="38">
        <f>+Actuals!N286</f>
        <v>0</v>
      </c>
      <c r="R13" s="60">
        <f>+Actuals!O286</f>
        <v>-3290643</v>
      </c>
      <c r="S13" s="38">
        <f>+Actuals!P286</f>
        <v>-8707606</v>
      </c>
      <c r="T13" s="60">
        <f>+Actuals!Q286</f>
        <v>0</v>
      </c>
      <c r="U13" s="38">
        <f>+Actuals!R286</f>
        <v>0</v>
      </c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30">
        <f>+Actuals!I87</f>
        <v>0</v>
      </c>
      <c r="M14" s="131">
        <f>+Actuals!J87</f>
        <v>0</v>
      </c>
      <c r="N14" s="127">
        <f>+Actuals!K287</f>
        <v>0</v>
      </c>
      <c r="O14" s="128">
        <f>+Actuals!L287</f>
        <v>0</v>
      </c>
      <c r="P14" s="60">
        <f>+Actuals!M287</f>
        <v>0</v>
      </c>
      <c r="Q14" s="3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7"/>
      <c r="L15" s="130">
        <f>+Actuals!I88</f>
        <v>0</v>
      </c>
      <c r="M15" s="131">
        <f>+Actuals!J88</f>
        <v>0</v>
      </c>
      <c r="N15" s="127">
        <f>+Actuals!K288</f>
        <v>0</v>
      </c>
      <c r="O15" s="128">
        <f>+Actuals!L288</f>
        <v>0</v>
      </c>
      <c r="P15" s="60">
        <f>+Actuals!M288</f>
        <v>0</v>
      </c>
      <c r="Q15" s="38">
        <f>+Actuals!N288</f>
        <v>0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25825714</v>
      </c>
      <c r="E16" s="39">
        <f>SUM(E11:E15)</f>
        <v>70062201.61999999</v>
      </c>
      <c r="F16" s="61">
        <f t="shared" ref="F16:AD16" si="1">SUM(F11:F15)</f>
        <v>0</v>
      </c>
      <c r="G16" s="39">
        <f t="shared" si="1"/>
        <v>282454.8</v>
      </c>
      <c r="H16" s="61">
        <f t="shared" si="1"/>
        <v>27918100</v>
      </c>
      <c r="I16" s="39">
        <f t="shared" si="1"/>
        <v>74202312</v>
      </c>
      <c r="J16" s="61">
        <f t="shared" si="1"/>
        <v>1026168</v>
      </c>
      <c r="K16" s="148">
        <f t="shared" si="1"/>
        <v>3783434.39</v>
      </c>
      <c r="L16" s="61">
        <f t="shared" si="1"/>
        <v>-3057805</v>
      </c>
      <c r="M16" s="39">
        <f t="shared" si="1"/>
        <v>-8063856</v>
      </c>
      <c r="N16" s="61">
        <f t="shared" si="1"/>
        <v>3290643</v>
      </c>
      <c r="O16" s="39">
        <f t="shared" si="1"/>
        <v>8707606</v>
      </c>
      <c r="P16" s="61">
        <f t="shared" ref="P16:U16" si="2">SUM(P11:P15)</f>
        <v>28</v>
      </c>
      <c r="Q16" s="39">
        <f t="shared" si="2"/>
        <v>74.61</v>
      </c>
      <c r="R16" s="61">
        <f t="shared" si="2"/>
        <v>-3351420</v>
      </c>
      <c r="S16" s="39">
        <f t="shared" si="2"/>
        <v>-8849824.1799999997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-27710341</v>
      </c>
      <c r="E19" s="38">
        <f t="shared" si="4"/>
        <v>-67803977.090000004</v>
      </c>
      <c r="F19" s="64">
        <f>'TIE-OUT'!Z19+RECLASS!X19</f>
        <v>0</v>
      </c>
      <c r="G19" s="68">
        <f>'TIE-OUT'!AA19+RECLASS!Y19</f>
        <v>0</v>
      </c>
      <c r="H19" s="60">
        <f>-28088065+1097382</f>
        <v>-26990683</v>
      </c>
      <c r="I19" s="38">
        <f>-69579815+2953905</f>
        <v>-66625910</v>
      </c>
      <c r="J19" s="60">
        <f>-1741559+1028219</f>
        <v>-713340</v>
      </c>
      <c r="K19" s="147">
        <f>-4735769+2768905</f>
        <v>-1966864</v>
      </c>
      <c r="L19" s="130">
        <v>-6319</v>
      </c>
      <c r="M19" s="131">
        <f>-19778-7687</f>
        <v>-27465</v>
      </c>
      <c r="N19" s="127">
        <f>+Actuals!K289</f>
        <v>0</v>
      </c>
      <c r="O19" s="128">
        <f>+Actuals!L289</f>
        <v>819176.47</v>
      </c>
      <c r="P19" s="60">
        <f>+Actuals!M289</f>
        <v>0</v>
      </c>
      <c r="Q19" s="38">
        <f>+Actuals!N289</f>
        <v>-2917.83</v>
      </c>
      <c r="R19" s="60">
        <f>+Actuals!O289</f>
        <v>0</v>
      </c>
      <c r="S19" s="38">
        <f>+Actuals!P289</f>
        <v>0</v>
      </c>
      <c r="T19" s="60">
        <f>+Actuals!Q289</f>
        <v>1</v>
      </c>
      <c r="U19" s="38">
        <f>+Actuals!R289</f>
        <v>3.27</v>
      </c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-738613.08</v>
      </c>
      <c r="F20" s="60">
        <f>'TIE-OUT'!Z20+RECLASS!X20</f>
        <v>0</v>
      </c>
      <c r="G20" s="38">
        <f>'TIE-OUT'!AA20+RECLASS!Y20</f>
        <v>-738613.08</v>
      </c>
      <c r="H20" s="60"/>
      <c r="I20" s="38"/>
      <c r="J20" s="60"/>
      <c r="K20" s="158">
        <v>0</v>
      </c>
      <c r="L20" s="130">
        <f>+Actuals!I90</f>
        <v>0</v>
      </c>
      <c r="M20" s="131">
        <f>+Actuals!J90</f>
        <v>0</v>
      </c>
      <c r="N20" s="127">
        <f>+Actuals!K290</f>
        <v>0</v>
      </c>
      <c r="O20" s="128">
        <f>+Actuals!L290</f>
        <v>0</v>
      </c>
      <c r="P20" s="60">
        <f>+Actuals!M290</f>
        <v>0</v>
      </c>
      <c r="Q20" s="3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4"/>
        <v>-1028219</v>
      </c>
      <c r="E21" s="38">
        <f t="shared" si="4"/>
        <v>-2768905</v>
      </c>
      <c r="F21" s="60">
        <f>'TIE-OUT'!Z21+RECLASS!X21</f>
        <v>0</v>
      </c>
      <c r="G21" s="38">
        <f>'TIE-OUT'!AA21+RECLASS!Y21</f>
        <v>0</v>
      </c>
      <c r="H21" s="60">
        <v>-1097382</v>
      </c>
      <c r="I21" s="38">
        <v>-2953905</v>
      </c>
      <c r="J21" s="60">
        <v>-1028219</v>
      </c>
      <c r="K21" s="147">
        <v>-2768905</v>
      </c>
      <c r="L21" s="130">
        <v>1097382</v>
      </c>
      <c r="M21" s="131">
        <v>2953905</v>
      </c>
      <c r="N21" s="127">
        <f>+Actuals!K291</f>
        <v>-2125601</v>
      </c>
      <c r="O21" s="128">
        <f>+Actuals!L291</f>
        <v>-5722810</v>
      </c>
      <c r="P21" s="60">
        <f>+Actuals!M291</f>
        <v>0</v>
      </c>
      <c r="Q21" s="38">
        <f>+Actuals!N291</f>
        <v>0</v>
      </c>
      <c r="R21" s="60">
        <f>+Actuals!O291</f>
        <v>2125601</v>
      </c>
      <c r="S21" s="38">
        <f>+Actuals!P291</f>
        <v>5722810</v>
      </c>
      <c r="T21" s="60">
        <f>+Actuals!Q291</f>
        <v>0</v>
      </c>
      <c r="U21" s="38">
        <f>+Actuals!R291</f>
        <v>0</v>
      </c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30">
        <f>+Actuals!I92</f>
        <v>0</v>
      </c>
      <c r="M22" s="131">
        <f>+Actuals!J92</f>
        <v>0</v>
      </c>
      <c r="N22" s="127">
        <f>+Actuals!K292</f>
        <v>0</v>
      </c>
      <c r="O22" s="128">
        <f>+Actuals!L292</f>
        <v>0</v>
      </c>
      <c r="P22" s="60">
        <f>+Actuals!M292</f>
        <v>0</v>
      </c>
      <c r="Q22" s="3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30">
        <f>+Actuals!I93</f>
        <v>0</v>
      </c>
      <c r="M23" s="131">
        <f>+Actuals!J93</f>
        <v>0</v>
      </c>
      <c r="N23" s="127">
        <f>+Actuals!K293</f>
        <v>0</v>
      </c>
      <c r="O23" s="128">
        <f>+Actuals!L293</f>
        <v>0</v>
      </c>
      <c r="P23" s="60">
        <f>+Actuals!M293</f>
        <v>0</v>
      </c>
      <c r="Q23" s="3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-28738560</v>
      </c>
      <c r="E24" s="39">
        <f>SUM(E19:E23)</f>
        <v>-71311495.170000002</v>
      </c>
      <c r="F24" s="61">
        <f t="shared" ref="F24:AD24" si="5">SUM(F19:F23)</f>
        <v>0</v>
      </c>
      <c r="G24" s="39">
        <f t="shared" si="5"/>
        <v>-738613.08</v>
      </c>
      <c r="H24" s="61">
        <f t="shared" si="5"/>
        <v>-28088065</v>
      </c>
      <c r="I24" s="39">
        <f t="shared" si="5"/>
        <v>-69579815</v>
      </c>
      <c r="J24" s="61">
        <f t="shared" si="5"/>
        <v>-1741559</v>
      </c>
      <c r="K24" s="148">
        <f t="shared" si="5"/>
        <v>-4735769</v>
      </c>
      <c r="L24" s="61">
        <f t="shared" si="5"/>
        <v>1091063</v>
      </c>
      <c r="M24" s="39">
        <f t="shared" si="5"/>
        <v>2926440</v>
      </c>
      <c r="N24" s="61">
        <f t="shared" si="5"/>
        <v>-2125601</v>
      </c>
      <c r="O24" s="39">
        <f t="shared" si="5"/>
        <v>-4903633.53</v>
      </c>
      <c r="P24" s="61">
        <f t="shared" ref="P24:U24" si="6">SUM(P19:P23)</f>
        <v>0</v>
      </c>
      <c r="Q24" s="39">
        <f t="shared" si="6"/>
        <v>-2917.83</v>
      </c>
      <c r="R24" s="61">
        <f t="shared" si="6"/>
        <v>2125601</v>
      </c>
      <c r="S24" s="39">
        <f t="shared" si="6"/>
        <v>5722810</v>
      </c>
      <c r="T24" s="61">
        <f t="shared" si="6"/>
        <v>1</v>
      </c>
      <c r="U24" s="39">
        <f t="shared" si="6"/>
        <v>3.27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30">
        <f>+Actuals!I94</f>
        <v>0</v>
      </c>
      <c r="M27" s="131">
        <f>+Actuals!J94</f>
        <v>0</v>
      </c>
      <c r="N27" s="127">
        <f>+Actuals!K294</f>
        <v>0</v>
      </c>
      <c r="O27" s="128">
        <f>+Actuals!L294</f>
        <v>0</v>
      </c>
      <c r="P27" s="60">
        <f>+Actuals!M294</f>
        <v>0</v>
      </c>
      <c r="Q27" s="3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30">
        <f>+Actuals!I95</f>
        <v>0</v>
      </c>
      <c r="M28" s="131">
        <f>+Actuals!J95</f>
        <v>0</v>
      </c>
      <c r="N28" s="127">
        <f>+Actuals!K295</f>
        <v>0</v>
      </c>
      <c r="O28" s="128">
        <f>+Actuals!L295</f>
        <v>0</v>
      </c>
      <c r="P28" s="60">
        <f>+Actuals!M295</f>
        <v>0</v>
      </c>
      <c r="Q28" s="3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 t="shared" ref="D29:K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ref="L29:Q29" si="9">SUM(L27:L28)</f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>SUM(R27:R28)</f>
        <v>0</v>
      </c>
      <c r="S29" s="39">
        <f>SUM(S27:S28)</f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 t="shared" ref="W29:AE29" si="10">SUM(W27:W28)</f>
        <v>0</v>
      </c>
      <c r="X29" s="61">
        <f>SUM(X27:X28)</f>
        <v>0</v>
      </c>
      <c r="Y29" s="39">
        <f t="shared" si="10"/>
        <v>0</v>
      </c>
      <c r="Z29" s="61">
        <f>SUM(Z27:Z28)</f>
        <v>0</v>
      </c>
      <c r="AA29" s="39">
        <f t="shared" si="10"/>
        <v>0</v>
      </c>
      <c r="AB29" s="61">
        <f>SUM(AB27:AB28)</f>
        <v>0</v>
      </c>
      <c r="AC29" s="39">
        <f t="shared" si="10"/>
        <v>0</v>
      </c>
      <c r="AD29" s="61">
        <f>SUM(AD27:AD28)</f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130"/>
      <c r="M31" s="131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-93646</v>
      </c>
      <c r="E32" s="38">
        <f t="shared" si="11"/>
        <v>-293113.32</v>
      </c>
      <c r="F32" s="64">
        <f>'TIE-OUT'!Z32+RECLASS!X32</f>
        <v>0</v>
      </c>
      <c r="G32" s="68">
        <f>'TIE-OUT'!AA32+RECLASS!Y32</f>
        <v>0</v>
      </c>
      <c r="H32" s="60">
        <v>169965</v>
      </c>
      <c r="I32" s="38">
        <v>531990</v>
      </c>
      <c r="J32" s="60">
        <v>-291156</v>
      </c>
      <c r="K32" s="147">
        <v>-911318</v>
      </c>
      <c r="L32" s="130">
        <v>8709</v>
      </c>
      <c r="M32" s="131">
        <v>27258</v>
      </c>
      <c r="N32" s="127">
        <f>+Actuals!K296</f>
        <v>18836</v>
      </c>
      <c r="O32" s="128">
        <f>+Actuals!L296</f>
        <v>58956.68</v>
      </c>
      <c r="P32" s="60">
        <f>+Actuals!M296</f>
        <v>0</v>
      </c>
      <c r="Q32" s="38">
        <f>+Actuals!N296</f>
        <v>0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30">
        <f>+Actuals!I97</f>
        <v>0</v>
      </c>
      <c r="M33" s="131">
        <f>+Actuals!J97</f>
        <v>0</v>
      </c>
      <c r="N33" s="127">
        <f>+Actuals!K297</f>
        <v>0</v>
      </c>
      <c r="O33" s="128">
        <f>+Actuals!L297</f>
        <v>0</v>
      </c>
      <c r="P33" s="60">
        <f>+Actuals!M297</f>
        <v>0</v>
      </c>
      <c r="Q33" s="3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30">
        <f>+Actuals!I98</f>
        <v>0</v>
      </c>
      <c r="M34" s="131">
        <f>+Actuals!J98</f>
        <v>0</v>
      </c>
      <c r="N34" s="127">
        <f>+Actuals!K298</f>
        <v>0</v>
      </c>
      <c r="O34" s="128">
        <f>+Actuals!L298</f>
        <v>0</v>
      </c>
      <c r="P34" s="60">
        <f>+Actuals!M298</f>
        <v>0</v>
      </c>
      <c r="Q34" s="3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30">
        <f>+Actuals!I99</f>
        <v>0</v>
      </c>
      <c r="M35" s="131">
        <f>+Actuals!J99</f>
        <v>0</v>
      </c>
      <c r="N35" s="127">
        <f>+Actuals!K299</f>
        <v>0</v>
      </c>
      <c r="O35" s="128">
        <f>+Actuals!L299</f>
        <v>0</v>
      </c>
      <c r="P35" s="60">
        <f>+Actuals!M299</f>
        <v>0</v>
      </c>
      <c r="Q35" s="38">
        <f>+Actuals!N299</f>
        <v>0</v>
      </c>
      <c r="R35" s="60">
        <f>+Actuals!O299</f>
        <v>0</v>
      </c>
      <c r="S35" s="38">
        <f>+Actuals!P299</f>
        <v>0</v>
      </c>
      <c r="T35" s="60">
        <f>+Actuals!Q299</f>
        <v>0</v>
      </c>
      <c r="U35" s="38">
        <f>+Actuals!R299</f>
        <v>0</v>
      </c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-93646</v>
      </c>
      <c r="E36" s="39">
        <f>SUM(E32:E35)</f>
        <v>-293113.32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169965</v>
      </c>
      <c r="I36" s="39">
        <f t="shared" si="12"/>
        <v>531990</v>
      </c>
      <c r="J36" s="61">
        <f t="shared" si="12"/>
        <v>-291156</v>
      </c>
      <c r="K36" s="148">
        <f t="shared" si="12"/>
        <v>-911318</v>
      </c>
      <c r="L36" s="61">
        <f t="shared" si="12"/>
        <v>8709</v>
      </c>
      <c r="M36" s="39">
        <f t="shared" si="12"/>
        <v>27258</v>
      </c>
      <c r="N36" s="61">
        <f t="shared" si="12"/>
        <v>18836</v>
      </c>
      <c r="O36" s="39">
        <f t="shared" si="12"/>
        <v>58956.68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30">
        <f>+Actuals!I100</f>
        <v>0</v>
      </c>
      <c r="M39" s="131">
        <f>+Actuals!J100</f>
        <v>0</v>
      </c>
      <c r="N39" s="127">
        <f>+Actuals!K300</f>
        <v>0</v>
      </c>
      <c r="O39" s="128">
        <f>+Actuals!L300</f>
        <v>0</v>
      </c>
      <c r="P39" s="60">
        <f>+Actuals!M300</f>
        <v>0</v>
      </c>
      <c r="Q39" s="3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30">
        <f>+Actuals!I101</f>
        <v>0</v>
      </c>
      <c r="M40" s="131">
        <f>+Actuals!J101</f>
        <v>0</v>
      </c>
      <c r="N40" s="127">
        <f>+Actuals!K301</f>
        <v>0</v>
      </c>
      <c r="O40" s="128">
        <f>+Actuals!L301</f>
        <v>0</v>
      </c>
      <c r="P40" s="60">
        <f>+Actuals!M301</f>
        <v>0</v>
      </c>
      <c r="Q40" s="3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30">
        <f>+Actuals!I102</f>
        <v>0</v>
      </c>
      <c r="M41" s="131">
        <f>+Actuals!J102</f>
        <v>0</v>
      </c>
      <c r="N41" s="127">
        <f>+Actuals!K302</f>
        <v>0</v>
      </c>
      <c r="O41" s="128">
        <f>+Actuals!L302</f>
        <v>0</v>
      </c>
      <c r="P41" s="60">
        <f>+Actuals!M302</f>
        <v>0</v>
      </c>
      <c r="Q41" s="3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30">
        <f>+Actuals!I103</f>
        <v>0</v>
      </c>
      <c r="M45" s="131">
        <f>+Actuals!J103</f>
        <v>0</v>
      </c>
      <c r="N45" s="127">
        <f>+Actuals!K303</f>
        <v>0</v>
      </c>
      <c r="O45" s="128">
        <f>+Actuals!L303</f>
        <v>0</v>
      </c>
      <c r="P45" s="60">
        <f>+Actuals!M303</f>
        <v>0</v>
      </c>
      <c r="Q45" s="3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30">
        <f>+Actuals!I104</f>
        <v>0</v>
      </c>
      <c r="M47" s="131">
        <f>+Actuals!J104</f>
        <v>0</v>
      </c>
      <c r="N47" s="127">
        <f>+Actuals!K304</f>
        <v>0</v>
      </c>
      <c r="O47" s="128">
        <f>+Actuals!L304</f>
        <v>0</v>
      </c>
      <c r="P47" s="60">
        <f>+Actuals!M304</f>
        <v>0</v>
      </c>
      <c r="Q47" s="3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3006492</v>
      </c>
      <c r="E49" s="38">
        <f>SUM(G49,I49,K49,M49,O49,Q49,S49,U49,W49,Y49,AA49,AC49,AE49)</f>
        <v>9410319.5599999987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1006547</v>
      </c>
      <c r="K49" s="147">
        <v>3150492</v>
      </c>
      <c r="L49" s="130">
        <v>1958033</v>
      </c>
      <c r="M49" s="131">
        <v>6128643</v>
      </c>
      <c r="N49" s="127">
        <f>+Actuals!K305</f>
        <v>-1183878</v>
      </c>
      <c r="O49" s="128">
        <f>+Actuals!L305</f>
        <v>-3705538.14</v>
      </c>
      <c r="P49" s="60">
        <f>+Actuals!M305</f>
        <v>-28</v>
      </c>
      <c r="Q49" s="38">
        <f>+Actuals!N305</f>
        <v>-87.64</v>
      </c>
      <c r="R49" s="60">
        <f>+Actuals!O305</f>
        <v>1225819</v>
      </c>
      <c r="S49" s="38">
        <f>+Actuals!P305</f>
        <v>3836813.47</v>
      </c>
      <c r="T49" s="60">
        <f>+Actuals!Q305</f>
        <v>-1</v>
      </c>
      <c r="U49" s="38">
        <f>+Actuals!R305</f>
        <v>-3.13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+Actuals!K306</f>
        <v>0</v>
      </c>
      <c r="O51" s="128">
        <f>+Actuals!L306</f>
        <v>0</v>
      </c>
      <c r="P51" s="60">
        <f>+Actuals!M306</f>
        <v>0</v>
      </c>
      <c r="Q51" s="3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-46572</v>
      </c>
      <c r="F54" s="64">
        <f>'TIE-OUT'!Z54+RECLASS!X54</f>
        <v>0</v>
      </c>
      <c r="G54" s="68">
        <f>'TIE-OUT'!AA54+RECLASS!Y54</f>
        <v>573899</v>
      </c>
      <c r="H54" s="60"/>
      <c r="I54" s="38">
        <v>-574371</v>
      </c>
      <c r="J54" s="60"/>
      <c r="K54" s="147">
        <v>-46100</v>
      </c>
      <c r="L54" s="130">
        <v>0</v>
      </c>
      <c r="M54" s="131">
        <f>+Actuals!J107</f>
        <v>0</v>
      </c>
      <c r="N54" s="127">
        <f>+Actuals!K307</f>
        <v>0</v>
      </c>
      <c r="O54" s="128">
        <f>+Actuals!L307</f>
        <v>0</v>
      </c>
      <c r="P54" s="60">
        <f>+Actuals!M307</f>
        <v>0</v>
      </c>
      <c r="Q54" s="38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30">
        <f>+Actuals!I108</f>
        <v>0</v>
      </c>
      <c r="M55" s="131">
        <f>+Actuals!J108</f>
        <v>0</v>
      </c>
      <c r="N55" s="127">
        <f>+Actuals!K308</f>
        <v>0</v>
      </c>
      <c r="O55" s="128">
        <f>+Actuals!L308</f>
        <v>0</v>
      </c>
      <c r="P55" s="60">
        <f>+Actuals!M308</f>
        <v>0</v>
      </c>
      <c r="Q55" s="3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 t="shared" ref="D56:K56" si="22">SUM(D54:D55)</f>
        <v>0</v>
      </c>
      <c r="E56" s="39">
        <f t="shared" si="22"/>
        <v>-46572</v>
      </c>
      <c r="F56" s="61">
        <f t="shared" si="22"/>
        <v>0</v>
      </c>
      <c r="G56" s="39">
        <f t="shared" si="22"/>
        <v>573899</v>
      </c>
      <c r="H56" s="61">
        <f t="shared" si="22"/>
        <v>0</v>
      </c>
      <c r="I56" s="39">
        <f t="shared" si="22"/>
        <v>-574371</v>
      </c>
      <c r="J56" s="61">
        <f t="shared" si="22"/>
        <v>0</v>
      </c>
      <c r="K56" s="148">
        <f t="shared" si="22"/>
        <v>-46100</v>
      </c>
      <c r="L56" s="61">
        <f t="shared" ref="L56:Q56" si="23">SUM(L54:L55)</f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>SUM(R54:R55)</f>
        <v>0</v>
      </c>
      <c r="S56" s="39">
        <f>SUM(S54:S55)</f>
        <v>0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 t="shared" ref="W56:AE56" si="24">SUM(W54:W55)</f>
        <v>0</v>
      </c>
      <c r="X56" s="61">
        <f>SUM(X54:X55)</f>
        <v>0</v>
      </c>
      <c r="Y56" s="39">
        <f t="shared" si="24"/>
        <v>0</v>
      </c>
      <c r="Z56" s="61">
        <f>SUM(Z54:Z55)</f>
        <v>0</v>
      </c>
      <c r="AA56" s="39">
        <f t="shared" si="24"/>
        <v>0</v>
      </c>
      <c r="AB56" s="61">
        <f>SUM(AB54:AB55)</f>
        <v>0</v>
      </c>
      <c r="AC56" s="39">
        <f t="shared" si="24"/>
        <v>0</v>
      </c>
      <c r="AD56" s="61">
        <f>SUM(AD54:AD55)</f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30">
        <f>+Actuals!I109</f>
        <v>0</v>
      </c>
      <c r="M59" s="131">
        <f>+Actuals!J109</f>
        <v>0</v>
      </c>
      <c r="N59" s="127">
        <f>+Actuals!K309</f>
        <v>0</v>
      </c>
      <c r="O59" s="128">
        <f>+Actuals!L309</f>
        <v>0</v>
      </c>
      <c r="P59" s="60">
        <f>+Actuals!M309</f>
        <v>0</v>
      </c>
      <c r="Q59" s="3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30">
        <f>+Actuals!I110</f>
        <v>0</v>
      </c>
      <c r="M60" s="131">
        <f>+Actuals!J110</f>
        <v>0</v>
      </c>
      <c r="N60" s="127">
        <f>+Actuals!K310</f>
        <v>0</v>
      </c>
      <c r="O60" s="128">
        <f>+Actuals!L310</f>
        <v>0</v>
      </c>
      <c r="P60" s="60">
        <f>+Actuals!M310</f>
        <v>0</v>
      </c>
      <c r="Q60" s="3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 t="shared" ref="D61:K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ref="L61:Q61" si="26">SUM(L59:L60)</f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>SUM(R59:R60)</f>
        <v>0</v>
      </c>
      <c r="S61" s="39">
        <f>SUM(S59:S60)</f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 t="shared" ref="W61:AE61" si="27">SUM(W59:W60)</f>
        <v>0</v>
      </c>
      <c r="X61" s="61">
        <f>SUM(X59:X60)</f>
        <v>0</v>
      </c>
      <c r="Y61" s="39">
        <f t="shared" si="27"/>
        <v>0</v>
      </c>
      <c r="Z61" s="61">
        <f>SUM(Z59:Z60)</f>
        <v>0</v>
      </c>
      <c r="AA61" s="39">
        <f t="shared" si="27"/>
        <v>0</v>
      </c>
      <c r="AB61" s="61">
        <f>SUM(AB59:AB60)</f>
        <v>0</v>
      </c>
      <c r="AC61" s="39">
        <f t="shared" si="27"/>
        <v>0</v>
      </c>
      <c r="AD61" s="61">
        <f>SUM(AD59:AD60)</f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30">
        <f>+Actuals!I111</f>
        <v>0</v>
      </c>
      <c r="M64" s="131">
        <f>+Actuals!J111</f>
        <v>0</v>
      </c>
      <c r="N64" s="127">
        <f>+Actuals!K311</f>
        <v>0</v>
      </c>
      <c r="O64" s="128">
        <f>+Actuals!L311</f>
        <v>0</v>
      </c>
      <c r="P64" s="60">
        <f>+Actuals!M311</f>
        <v>0</v>
      </c>
      <c r="Q64" s="3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30">
        <f>+Actuals!I112</f>
        <v>0</v>
      </c>
      <c r="M65" s="131">
        <f>+Actuals!J112</f>
        <v>0</v>
      </c>
      <c r="N65" s="127">
        <f>+Actuals!K312</f>
        <v>0</v>
      </c>
      <c r="O65" s="128">
        <f>+Actuals!L312</f>
        <v>0</v>
      </c>
      <c r="P65" s="60">
        <f>+Actuals!M312</f>
        <v>0</v>
      </c>
      <c r="Q65" s="3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 t="shared" ref="D66:K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ref="L66:Q66" si="29">SUM(L64:L65)</f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>SUM(R64:R65)</f>
        <v>0</v>
      </c>
      <c r="S66" s="39">
        <f>SUM(S64:S65)</f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 t="shared" ref="W66:AE66" si="30">SUM(W64:W65)</f>
        <v>0</v>
      </c>
      <c r="X66" s="61">
        <f>SUM(X64:X65)</f>
        <v>0</v>
      </c>
      <c r="Y66" s="39">
        <f t="shared" si="30"/>
        <v>0</v>
      </c>
      <c r="Z66" s="61">
        <f>SUM(Z64:Z65)</f>
        <v>0</v>
      </c>
      <c r="AA66" s="39">
        <f t="shared" si="30"/>
        <v>0</v>
      </c>
      <c r="AB66" s="61">
        <f>SUM(AB64:AB65)</f>
        <v>0</v>
      </c>
      <c r="AC66" s="39">
        <f t="shared" si="30"/>
        <v>0</v>
      </c>
      <c r="AD66" s="61">
        <f>SUM(AD64:AD65)</f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-837625.48</v>
      </c>
      <c r="F70" s="64">
        <f>'TIE-OUT'!Z70+RECLASS!X70</f>
        <v>0</v>
      </c>
      <c r="G70" s="68">
        <f>'TIE-OUT'!AA70+RECLASS!Y70</f>
        <v>-837625.48</v>
      </c>
      <c r="H70" s="60"/>
      <c r="I70" s="38"/>
      <c r="J70" s="60"/>
      <c r="K70" s="147"/>
      <c r="L70" s="130">
        <f>+Actuals!I113</f>
        <v>0</v>
      </c>
      <c r="M70" s="131">
        <f>+Actuals!J113</f>
        <v>0</v>
      </c>
      <c r="N70" s="127">
        <f>+Actuals!K313</f>
        <v>0</v>
      </c>
      <c r="O70" s="128">
        <f>+Actuals!L313</f>
        <v>0</v>
      </c>
      <c r="P70" s="60">
        <f>+Actuals!M313</f>
        <v>0</v>
      </c>
      <c r="Q70" s="3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756466</v>
      </c>
      <c r="F71" s="81">
        <f>'TIE-OUT'!Z71+RECLASS!X71</f>
        <v>0</v>
      </c>
      <c r="G71" s="82">
        <f>'TIE-OUT'!AA71+RECLASS!Y71</f>
        <v>756466</v>
      </c>
      <c r="H71" s="60"/>
      <c r="I71" s="38"/>
      <c r="J71" s="60"/>
      <c r="K71" s="147"/>
      <c r="L71" s="130">
        <f>+Actuals!I114</f>
        <v>0</v>
      </c>
      <c r="M71" s="131">
        <f>+Actuals!J114</f>
        <v>0</v>
      </c>
      <c r="N71" s="127">
        <f>+Actuals!K314</f>
        <v>0</v>
      </c>
      <c r="O71" s="128">
        <f>+Actuals!L314</f>
        <v>0</v>
      </c>
      <c r="P71" s="60">
        <f>+Actuals!M314</f>
        <v>0</v>
      </c>
      <c r="Q71" s="3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-81159.479999999981</v>
      </c>
      <c r="F72" s="61">
        <f t="shared" ref="F72:AD72" si="31">SUM(F70:F71)</f>
        <v>0</v>
      </c>
      <c r="G72" s="39">
        <f t="shared" si="31"/>
        <v>-81159.479999999981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30">
        <f>+Actuals!I115</f>
        <v>0</v>
      </c>
      <c r="M73" s="131">
        <f>+Actuals!J115</f>
        <v>0</v>
      </c>
      <c r="N73" s="127">
        <f>+Actuals!K315</f>
        <v>0</v>
      </c>
      <c r="O73" s="128">
        <f>+Actuals!L315</f>
        <v>0</v>
      </c>
      <c r="P73" s="60">
        <f>+Actuals!M315</f>
        <v>0</v>
      </c>
      <c r="Q73" s="3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-1153859</v>
      </c>
      <c r="F74" s="60">
        <f>'TIE-OUT'!Z74+RECLASS!X74</f>
        <v>0</v>
      </c>
      <c r="G74" s="60">
        <f>'TIE-OUT'!AA74+RECLASS!Y74</f>
        <v>-7011196</v>
      </c>
      <c r="H74" s="60"/>
      <c r="I74" s="38">
        <v>0</v>
      </c>
      <c r="J74" s="60"/>
      <c r="K74" s="147">
        <v>0</v>
      </c>
      <c r="L74" s="130">
        <f>+Actuals!I116</f>
        <v>0</v>
      </c>
      <c r="M74" s="131">
        <f>+Actuals!J116</f>
        <v>0</v>
      </c>
      <c r="N74" s="127">
        <f>+Actuals!K316</f>
        <v>0</v>
      </c>
      <c r="O74" s="128">
        <f>+Actuals!L316</f>
        <v>0</v>
      </c>
      <c r="P74" s="60">
        <f>+Actuals!M316</f>
        <v>0</v>
      </c>
      <c r="Q74" s="38">
        <f>+Actuals!N316</f>
        <v>0</v>
      </c>
      <c r="R74" s="60">
        <f>+Actuals!O316</f>
        <v>0</v>
      </c>
      <c r="S74" s="158">
        <f>+Actuals!P316+4500000+1300000</f>
        <v>5800000</v>
      </c>
      <c r="T74" s="60">
        <f>+Actuals!Q316</f>
        <v>0</v>
      </c>
      <c r="U74" s="158">
        <v>57337</v>
      </c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30">
        <f>+Actuals!I117</f>
        <v>0</v>
      </c>
      <c r="M75" s="131">
        <f>+Actuals!J117</f>
        <v>0</v>
      </c>
      <c r="N75" s="127">
        <f>+Actuals!K317</f>
        <v>0</v>
      </c>
      <c r="O75" s="128">
        <f>+Actuals!L317</f>
        <v>0</v>
      </c>
      <c r="P75" s="60">
        <f>+Actuals!M317</f>
        <v>0</v>
      </c>
      <c r="Q75" s="3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7">
        <v>-340</v>
      </c>
      <c r="L76" s="130">
        <f>+Actuals!I118</f>
        <v>0</v>
      </c>
      <c r="M76" s="131">
        <f>+Actuals!J118</f>
        <v>0</v>
      </c>
      <c r="N76" s="127">
        <f>+Actuals!K318</f>
        <v>0</v>
      </c>
      <c r="O76" s="128">
        <f>+Actuals!L318</f>
        <v>0</v>
      </c>
      <c r="P76" s="60">
        <f>+Actuals!M318</f>
        <v>0</v>
      </c>
      <c r="Q76" s="3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30">
        <f>+Actuals!I119</f>
        <v>0</v>
      </c>
      <c r="M77" s="131">
        <f>+Actuals!J119</f>
        <v>0</v>
      </c>
      <c r="N77" s="127">
        <f>+Actuals!K319</f>
        <v>0</v>
      </c>
      <c r="O77" s="128">
        <f>+Actuals!L319</f>
        <v>0</v>
      </c>
      <c r="P77" s="60">
        <f>+Actuals!M319</f>
        <v>0</v>
      </c>
      <c r="Q77" s="3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30">
        <f>+Actuals!I120</f>
        <v>0</v>
      </c>
      <c r="M78" s="131">
        <f>+Actuals!J120</f>
        <v>0</v>
      </c>
      <c r="N78" s="127">
        <f>+Actuals!K320</f>
        <v>0</v>
      </c>
      <c r="O78" s="128">
        <f>+Actuals!L320</f>
        <v>0</v>
      </c>
      <c r="P78" s="60">
        <f>+Actuals!M320</f>
        <v>0</v>
      </c>
      <c r="Q78" s="3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30">
        <f>+Actuals!I121</f>
        <v>0</v>
      </c>
      <c r="M79" s="131">
        <f>+Actuals!J121</f>
        <v>0</v>
      </c>
      <c r="N79" s="127">
        <f>+Actuals!K321</f>
        <v>0</v>
      </c>
      <c r="O79" s="128">
        <f>+Actuals!L321</f>
        <v>0</v>
      </c>
      <c r="P79" s="60">
        <f>+Actuals!M321</f>
        <v>0</v>
      </c>
      <c r="Q79" s="3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30">
        <f>+Actuals!I122</f>
        <v>0</v>
      </c>
      <c r="M80" s="131">
        <f>+Actuals!J122</f>
        <v>0</v>
      </c>
      <c r="N80" s="127">
        <f>+Actuals!K322</f>
        <v>0</v>
      </c>
      <c r="O80" s="128">
        <f>+Actuals!L322</f>
        <v>0</v>
      </c>
      <c r="P80" s="60">
        <f>+Actuals!M322</f>
        <v>0</v>
      </c>
      <c r="Q80" s="3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67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0</v>
      </c>
      <c r="L81" s="130">
        <f>+Actuals!I123</f>
        <v>0</v>
      </c>
      <c r="M81" s="131">
        <f>+Actuals!J123</f>
        <v>0</v>
      </c>
      <c r="N81" s="127">
        <f>+Actuals!K323</f>
        <v>0</v>
      </c>
      <c r="O81" s="128">
        <f>+Actuals!L323</f>
        <v>0</v>
      </c>
      <c r="P81" s="60">
        <f>+Actuals!M323</f>
        <v>0</v>
      </c>
      <c r="Q81" s="3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6585982.2099999823</v>
      </c>
      <c r="F82" s="91">
        <f>F16+F24+F29+F36+F43+F45+F47+F49</f>
        <v>0</v>
      </c>
      <c r="G82" s="92">
        <f>SUM(G72:G81)+G16+G24+G29+G36+G43+G45+G47+G49+G51+G56+G61+G66</f>
        <v>-6974614.7600000007</v>
      </c>
      <c r="H82" s="91">
        <f>H16+H24+H29+H36+H43+H45+H47+H49</f>
        <v>0</v>
      </c>
      <c r="I82" s="92">
        <f>SUM(I72:I81)+I16+I24+I29+I36+I43+I45+I47+I49+I51+I56+I61+I66</f>
        <v>4580116</v>
      </c>
      <c r="J82" s="91">
        <f>J16+J24+J29+J36+J43+J45+J47+J49</f>
        <v>0</v>
      </c>
      <c r="K82" s="161">
        <f>SUM(K72:K81)+K16+K24+K29+K36+K43+K45+K47+K49+K51+K56+K61+K66</f>
        <v>1240399.3900000001</v>
      </c>
      <c r="L82" s="91">
        <f>L16+L24+L29+L36+L43+L45+L47+L49</f>
        <v>0</v>
      </c>
      <c r="M82" s="92">
        <f>SUM(M72:M81)+M16+M24+M29+M36+M43+M45+M47+M49+M51+M56+M61+M66</f>
        <v>1018485</v>
      </c>
      <c r="N82" s="91">
        <f>N16+N24+N29+N36+N43+N45+N47+N49</f>
        <v>0</v>
      </c>
      <c r="O82" s="92">
        <f>SUM(O72:O81)+O16+O24+O29+O36+O43+O45+O47+O49+O51+O56+O61+O66</f>
        <v>157391.00999999978</v>
      </c>
      <c r="P82" s="91">
        <f>P16+P24+P29+P36+P43+P45+P47+P49</f>
        <v>0</v>
      </c>
      <c r="Q82" s="92">
        <f>SUM(Q72:Q81)+Q16+Q24+Q29+Q36+Q43+Q45+Q47+Q49+Q51+Q56+Q61+Q66</f>
        <v>-2930.8599999999997</v>
      </c>
      <c r="R82" s="91">
        <f>R16+R24+R29+R36+R43+R45+R47+R49</f>
        <v>0</v>
      </c>
      <c r="S82" s="92">
        <f>SUM(S72:S81)+S16+S24+S29+S36+S43+S45+S47+S49+S51+S56+S61+S66</f>
        <v>6509799.290000001</v>
      </c>
      <c r="T82" s="91">
        <f>T16+T24+T29+T36+T43+T45+T47+T49</f>
        <v>0</v>
      </c>
      <c r="U82" s="92">
        <f>SUM(U72:U81)+U16+U24+U29+U36+U43+U45+U47+U49+U51+U56+U61+U66</f>
        <v>57337.14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163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35123</v>
      </c>
      <c r="F86" s="169">
        <f>'TIE-OUT'!Z86+RECLASS!X86</f>
        <v>0</v>
      </c>
      <c r="G86" s="169">
        <f>'TIE-OUT'!AA86+RECLASS!Y86</f>
        <v>276757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-241634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5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5">
      <c r="A88" s="168"/>
      <c r="C88" s="10" t="s">
        <v>72</v>
      </c>
      <c r="D88" s="171">
        <f t="shared" si="35"/>
        <v>0</v>
      </c>
      <c r="E88" s="171">
        <f t="shared" si="35"/>
        <v>-14123</v>
      </c>
      <c r="F88" s="171">
        <f>'TIE-OUT'!Z88+RECLASS!X88</f>
        <v>0</v>
      </c>
      <c r="G88" s="171">
        <f>'TIE-OUT'!AA88+RECLASS!Y88</f>
        <v>-14123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5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21000</v>
      </c>
      <c r="F89" s="179">
        <f t="shared" si="36"/>
        <v>0</v>
      </c>
      <c r="G89" s="179">
        <f t="shared" si="36"/>
        <v>262634</v>
      </c>
      <c r="H89" s="179">
        <f t="shared" si="36"/>
        <v>0</v>
      </c>
      <c r="I89" s="179">
        <f t="shared" si="36"/>
        <v>0</v>
      </c>
      <c r="J89" s="179">
        <f t="shared" si="36"/>
        <v>0</v>
      </c>
      <c r="K89" s="179">
        <f t="shared" si="36"/>
        <v>0</v>
      </c>
      <c r="L89" s="179">
        <f t="shared" si="36"/>
        <v>0</v>
      </c>
      <c r="M89" s="179">
        <f t="shared" si="36"/>
        <v>-241634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6606982.2099999823</v>
      </c>
      <c r="F91" s="179">
        <f t="shared" si="38"/>
        <v>0</v>
      </c>
      <c r="G91" s="179">
        <f t="shared" si="38"/>
        <v>-6711980.7600000007</v>
      </c>
      <c r="H91" s="179">
        <f t="shared" si="38"/>
        <v>0</v>
      </c>
      <c r="I91" s="179">
        <f t="shared" si="38"/>
        <v>4580116</v>
      </c>
      <c r="J91" s="179">
        <f t="shared" si="38"/>
        <v>0</v>
      </c>
      <c r="K91" s="179">
        <f t="shared" si="38"/>
        <v>1240399.3900000001</v>
      </c>
      <c r="L91" s="179">
        <f t="shared" si="38"/>
        <v>0</v>
      </c>
      <c r="M91" s="179">
        <f t="shared" si="38"/>
        <v>776851</v>
      </c>
      <c r="N91" s="179">
        <f t="shared" ref="N91:AE91" si="39">+N82+N89</f>
        <v>0</v>
      </c>
      <c r="O91" s="179">
        <f t="shared" si="39"/>
        <v>157391.00999999978</v>
      </c>
      <c r="P91" s="179">
        <f t="shared" si="39"/>
        <v>0</v>
      </c>
      <c r="Q91" s="179">
        <f t="shared" si="39"/>
        <v>-2930.8599999999997</v>
      </c>
      <c r="R91" s="179">
        <f t="shared" si="39"/>
        <v>0</v>
      </c>
      <c r="S91" s="179">
        <f t="shared" si="39"/>
        <v>6509799.290000001</v>
      </c>
      <c r="T91" s="179">
        <f t="shared" si="39"/>
        <v>0</v>
      </c>
      <c r="U91" s="179">
        <f t="shared" si="39"/>
        <v>57337.14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M38" sqref="M38"/>
      <selection pane="topRight" activeCell="M38" sqref="M38"/>
      <selection pane="bottomLeft" activeCell="M38" sqref="M38"/>
      <selection pane="bottomRight" activeCell="M38" sqref="M3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'CE-FLSH'!L11</f>
        <v>51207324</v>
      </c>
      <c r="E11" s="66">
        <f>'CE-FLSH'!M11</f>
        <v>131723366</v>
      </c>
      <c r="F11" s="60">
        <f>CE_GL!D11</f>
        <v>50766027</v>
      </c>
      <c r="G11" s="38">
        <f>CE_GL!E11</f>
        <v>131917428.63000001</v>
      </c>
      <c r="H11" s="60">
        <f>F11-D11</f>
        <v>-441297</v>
      </c>
      <c r="I11" s="38">
        <f>G11-E11</f>
        <v>194062.63000001013</v>
      </c>
    </row>
    <row r="12" spans="1:22" x14ac:dyDescent="0.25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-1710295.2</v>
      </c>
      <c r="H12" s="60">
        <f>F12-D12</f>
        <v>0</v>
      </c>
      <c r="I12" s="38">
        <f>G12-E12</f>
        <v>-1710295.2</v>
      </c>
    </row>
    <row r="13" spans="1:22" x14ac:dyDescent="0.25">
      <c r="A13" s="9">
        <v>3</v>
      </c>
      <c r="B13" s="7"/>
      <c r="C13" s="18" t="s">
        <v>27</v>
      </c>
      <c r="D13" s="65">
        <f>'CE-FLSH'!L13</f>
        <v>29029832</v>
      </c>
      <c r="E13" s="66">
        <f>'CE-FLSH'!M13</f>
        <v>78440698</v>
      </c>
      <c r="F13" s="60">
        <f>CE_GL!D13</f>
        <v>8716146</v>
      </c>
      <c r="G13" s="38">
        <f>CE_GL!E13</f>
        <v>23315535</v>
      </c>
      <c r="H13" s="60">
        <f t="shared" ref="H13:I15" si="0">F13-D13</f>
        <v>-20313686</v>
      </c>
      <c r="I13" s="38">
        <f t="shared" si="0"/>
        <v>-55125163</v>
      </c>
    </row>
    <row r="14" spans="1:22" x14ac:dyDescent="0.25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1711484.02</v>
      </c>
      <c r="H15" s="60">
        <f t="shared" si="0"/>
        <v>0</v>
      </c>
      <c r="I15" s="38">
        <f t="shared" si="0"/>
        <v>1711484.02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80237156</v>
      </c>
      <c r="E16" s="39">
        <f t="shared" si="1"/>
        <v>210164064</v>
      </c>
      <c r="F16" s="61">
        <f t="shared" si="1"/>
        <v>59482173</v>
      </c>
      <c r="G16" s="39">
        <f t="shared" si="1"/>
        <v>155234152.45000002</v>
      </c>
      <c r="H16" s="61">
        <f t="shared" si="1"/>
        <v>-20754983</v>
      </c>
      <c r="I16" s="39">
        <f t="shared" si="1"/>
        <v>-54929911.54999999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'CE-FLSH'!L19</f>
        <v>-55509583</v>
      </c>
      <c r="E19" s="66">
        <f>'CE-FLSH'!M19</f>
        <v>-139474176</v>
      </c>
      <c r="F19" s="60">
        <f>CE_GL!D19</f>
        <v>-54782749</v>
      </c>
      <c r="G19" s="38">
        <f>CE_GL!E19</f>
        <v>-135429011.12</v>
      </c>
      <c r="H19" s="60">
        <f>F19-D19</f>
        <v>726834</v>
      </c>
      <c r="I19" s="38">
        <f>G19-E19</f>
        <v>4045164.8799999952</v>
      </c>
    </row>
    <row r="20" spans="1:9" x14ac:dyDescent="0.25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-1793105.3499999999</v>
      </c>
      <c r="H20" s="60">
        <f>F20-D20</f>
        <v>0</v>
      </c>
      <c r="I20" s="38">
        <f>G20-E20</f>
        <v>-1793105.3499999999</v>
      </c>
    </row>
    <row r="21" spans="1:9" x14ac:dyDescent="0.25">
      <c r="A21" s="9">
        <v>8</v>
      </c>
      <c r="B21" s="7"/>
      <c r="C21" s="18" t="s">
        <v>27</v>
      </c>
      <c r="D21" s="65">
        <f>'CE-FLSH'!L21</f>
        <v>-25269342</v>
      </c>
      <c r="E21" s="66">
        <f>'CE-FLSH'!M21</f>
        <v>-68604375</v>
      </c>
      <c r="F21" s="60">
        <f>CE_GL!D21</f>
        <v>-5190039</v>
      </c>
      <c r="G21" s="38">
        <f>CE_GL!E21</f>
        <v>-13596709</v>
      </c>
      <c r="H21" s="60">
        <f t="shared" ref="H21:I23" si="2">F21-D21</f>
        <v>20079303</v>
      </c>
      <c r="I21" s="38">
        <f t="shared" si="2"/>
        <v>55007666</v>
      </c>
    </row>
    <row r="22" spans="1:9" x14ac:dyDescent="0.25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'CE-FLSH'!L23</f>
        <v>371199</v>
      </c>
      <c r="E23" s="66">
        <f>'CE-FLSH'!M23</f>
        <v>993431</v>
      </c>
      <c r="F23" s="60">
        <f>CE_GL!D23</f>
        <v>518368</v>
      </c>
      <c r="G23" s="38">
        <f>CE_GL!E23</f>
        <v>1104510.1920000003</v>
      </c>
      <c r="H23" s="60">
        <f t="shared" si="2"/>
        <v>147169</v>
      </c>
      <c r="I23" s="38">
        <f t="shared" si="2"/>
        <v>111079.19200000027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-80407726</v>
      </c>
      <c r="E24" s="39">
        <f t="shared" si="3"/>
        <v>-207085120</v>
      </c>
      <c r="F24" s="61">
        <f t="shared" si="3"/>
        <v>-59454420</v>
      </c>
      <c r="G24" s="39">
        <f t="shared" si="3"/>
        <v>-149714315.278</v>
      </c>
      <c r="H24" s="61">
        <f t="shared" si="3"/>
        <v>20953306</v>
      </c>
      <c r="I24" s="39">
        <f t="shared" si="3"/>
        <v>57370804.721999995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266722</v>
      </c>
      <c r="G27" s="38">
        <f>CE_GL!E27</f>
        <v>675104.87</v>
      </c>
      <c r="H27" s="60">
        <f>F27-D27</f>
        <v>266722</v>
      </c>
      <c r="I27" s="38">
        <f>G27-E27</f>
        <v>675104.87</v>
      </c>
    </row>
    <row r="28" spans="1:9" x14ac:dyDescent="0.25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-470956</v>
      </c>
      <c r="G28" s="38">
        <f>CE_GL!E28</f>
        <v>-1343213.03</v>
      </c>
      <c r="H28" s="60">
        <f>F28-D28</f>
        <v>-470956</v>
      </c>
      <c r="I28" s="38">
        <f>G28-E28</f>
        <v>-1343213.03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-204234</v>
      </c>
      <c r="G29" s="70">
        <f t="shared" si="4"/>
        <v>-668108.16</v>
      </c>
      <c r="H29" s="69">
        <f t="shared" si="4"/>
        <v>-204234</v>
      </c>
      <c r="I29" s="70">
        <f t="shared" si="4"/>
        <v>-668108.16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'CE-FLSH'!L32</f>
        <v>9273</v>
      </c>
      <c r="E32" s="66">
        <f>'CE-FLSH'!M32</f>
        <v>219253</v>
      </c>
      <c r="F32" s="60">
        <f>CE_GL!D32</f>
        <v>-294407</v>
      </c>
      <c r="G32" s="38">
        <f>CE_GL!E32</f>
        <v>-687105.48600000003</v>
      </c>
      <c r="H32" s="60">
        <f>F32-D32</f>
        <v>-303680</v>
      </c>
      <c r="I32" s="38">
        <f>G32-E32</f>
        <v>-906358.48600000003</v>
      </c>
    </row>
    <row r="33" spans="1:9" x14ac:dyDescent="0.25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-30906</v>
      </c>
      <c r="G33" s="38">
        <f>CE_GL!E33</f>
        <v>-98911.42</v>
      </c>
      <c r="H33" s="60">
        <f t="shared" ref="H33:I35" si="5">F33-D33</f>
        <v>-30906</v>
      </c>
      <c r="I33" s="38">
        <f t="shared" si="5"/>
        <v>-98911.42</v>
      </c>
    </row>
    <row r="34" spans="1:9" x14ac:dyDescent="0.25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5127</v>
      </c>
      <c r="G34" s="38">
        <f>CE_GL!E34</f>
        <v>13508.13</v>
      </c>
      <c r="H34" s="60">
        <f t="shared" si="5"/>
        <v>5127</v>
      </c>
      <c r="I34" s="38">
        <f t="shared" si="5"/>
        <v>13508.13</v>
      </c>
    </row>
    <row r="35" spans="1:9" x14ac:dyDescent="0.25">
      <c r="A35" s="9">
        <v>16</v>
      </c>
      <c r="B35" s="7"/>
      <c r="C35" s="18" t="s">
        <v>42</v>
      </c>
      <c r="D35" s="65">
        <f>'CE-FLSH'!L35</f>
        <v>266542</v>
      </c>
      <c r="E35" s="66">
        <f>'CE-FLSH'!M35</f>
        <v>669285</v>
      </c>
      <c r="F35" s="60">
        <f>CE_GL!D35</f>
        <v>0</v>
      </c>
      <c r="G35" s="38">
        <f>CE_GL!E35</f>
        <v>0</v>
      </c>
      <c r="H35" s="60">
        <f t="shared" si="5"/>
        <v>-266542</v>
      </c>
      <c r="I35" s="38">
        <f t="shared" si="5"/>
        <v>-669285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275815</v>
      </c>
      <c r="E36" s="39">
        <f t="shared" si="6"/>
        <v>888538</v>
      </c>
      <c r="F36" s="61">
        <f t="shared" si="6"/>
        <v>-320186</v>
      </c>
      <c r="G36" s="39">
        <f t="shared" si="6"/>
        <v>-772508.77600000007</v>
      </c>
      <c r="H36" s="61">
        <f t="shared" si="6"/>
        <v>-596001</v>
      </c>
      <c r="I36" s="39">
        <f t="shared" si="6"/>
        <v>-1661046.7760000001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'CE-FLSH'!L39</f>
        <v>285000</v>
      </c>
      <c r="E39" s="66">
        <f>'CE-FLSH'!M39</f>
        <v>699675</v>
      </c>
      <c r="F39" s="60">
        <f>CE_GL!D39</f>
        <v>277088</v>
      </c>
      <c r="G39" s="38">
        <f>CE_GL!E39</f>
        <v>616797.89</v>
      </c>
      <c r="H39" s="60">
        <f t="shared" ref="H39:I41" si="7">F39-D39</f>
        <v>-7912</v>
      </c>
      <c r="I39" s="38">
        <f t="shared" si="7"/>
        <v>-82877.109999999986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'CE-FLSH'!L40</f>
        <v>-285000</v>
      </c>
      <c r="E40" s="66">
        <f>'CE-FLSH'!M40</f>
        <v>-699675</v>
      </c>
      <c r="F40" s="60">
        <f>CE_GL!D40</f>
        <v>-27717</v>
      </c>
      <c r="G40" s="38">
        <f>CE_GL!E40</f>
        <v>-74520.06</v>
      </c>
      <c r="H40" s="60">
        <f t="shared" si="7"/>
        <v>257283</v>
      </c>
      <c r="I40" s="38">
        <f t="shared" si="7"/>
        <v>625154.93999999994</v>
      </c>
    </row>
    <row r="41" spans="1:9" x14ac:dyDescent="0.25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-285000</v>
      </c>
      <c r="E42" s="70">
        <f t="shared" si="8"/>
        <v>-699675</v>
      </c>
      <c r="F42" s="69">
        <f t="shared" si="8"/>
        <v>-27717</v>
      </c>
      <c r="G42" s="70">
        <f t="shared" si="8"/>
        <v>-74520.06</v>
      </c>
      <c r="H42" s="69">
        <f t="shared" si="8"/>
        <v>257283</v>
      </c>
      <c r="I42" s="70">
        <f t="shared" si="8"/>
        <v>625154.93999999994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249371</v>
      </c>
      <c r="G43" s="39">
        <f t="shared" si="9"/>
        <v>542277.83000000007</v>
      </c>
      <c r="H43" s="61">
        <f t="shared" si="9"/>
        <v>249371</v>
      </c>
      <c r="I43" s="39">
        <f t="shared" si="9"/>
        <v>542277.82999999996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'CE-FLSH'!L49</f>
        <v>-105245</v>
      </c>
      <c r="E49" s="66">
        <f>'CE-FLSH'!M49</f>
        <v>-262060.05</v>
      </c>
      <c r="F49" s="60">
        <f>CE_GL!D49</f>
        <v>247296</v>
      </c>
      <c r="G49" s="38">
        <f>CE_GL!E49</f>
        <v>550480.89599999983</v>
      </c>
      <c r="H49" s="60">
        <f>F49-D49</f>
        <v>352541</v>
      </c>
      <c r="I49" s="38">
        <f>G49-E49</f>
        <v>812540.94599999976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'CE-FLSH'!L51</f>
        <v>-371199</v>
      </c>
      <c r="E51" s="66">
        <f>'CE-FLSH'!M51</f>
        <v>-993431</v>
      </c>
      <c r="F51" s="60">
        <f>CE_GL!D51</f>
        <v>-518368</v>
      </c>
      <c r="G51" s="38">
        <f>CE_GL!E51</f>
        <v>-1104510.1920000003</v>
      </c>
      <c r="H51" s="60">
        <f>F51-D51</f>
        <v>-147169</v>
      </c>
      <c r="I51" s="38">
        <f>G51-E51</f>
        <v>-111079.19200000027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-79286</v>
      </c>
      <c r="F54" s="60">
        <f>CE_GL!D54</f>
        <v>-37223230</v>
      </c>
      <c r="G54" s="38">
        <f>CE_GL!E54</f>
        <v>-324752.98</v>
      </c>
      <c r="H54" s="60">
        <f>F54-D54</f>
        <v>-37223230</v>
      </c>
      <c r="I54" s="38">
        <f>G54-E54</f>
        <v>-245466.97999999998</v>
      </c>
    </row>
    <row r="55" spans="1:9" x14ac:dyDescent="0.25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-2197064</v>
      </c>
      <c r="F55" s="60">
        <f>CE_GL!D55</f>
        <v>0</v>
      </c>
      <c r="G55" s="38">
        <f>CE_GL!E55</f>
        <v>-2106622.7200000002</v>
      </c>
      <c r="H55" s="60">
        <f>F55-D55</f>
        <v>0</v>
      </c>
      <c r="I55" s="38">
        <f>G55-E55</f>
        <v>90441.279999999795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-2276350</v>
      </c>
      <c r="F56" s="61">
        <f t="shared" si="10"/>
        <v>-37223230</v>
      </c>
      <c r="G56" s="39">
        <f t="shared" si="10"/>
        <v>-2431375.7000000002</v>
      </c>
      <c r="H56" s="61">
        <f t="shared" si="10"/>
        <v>-37223230</v>
      </c>
      <c r="I56" s="39">
        <f t="shared" si="10"/>
        <v>-155025.70000000019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2723828.8823529407</v>
      </c>
      <c r="F70" s="60">
        <f>CE_GL!D70</f>
        <v>0</v>
      </c>
      <c r="G70" s="38">
        <f>CE_GL!E70</f>
        <v>2723828.88</v>
      </c>
      <c r="H70" s="60">
        <f>F70-D70</f>
        <v>0</v>
      </c>
      <c r="I70" s="38">
        <f>G70-E70</f>
        <v>-2.3529408499598503E-3</v>
      </c>
    </row>
    <row r="71" spans="1:9" x14ac:dyDescent="0.25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-845380</v>
      </c>
      <c r="F71" s="60">
        <f>CE_GL!D71</f>
        <v>0</v>
      </c>
      <c r="G71" s="38">
        <f>CE_GL!E71</f>
        <v>-845380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1878448.8823529407</v>
      </c>
      <c r="F72" s="69">
        <f t="shared" si="13"/>
        <v>0</v>
      </c>
      <c r="G72" s="70">
        <f t="shared" si="13"/>
        <v>1878448.88</v>
      </c>
      <c r="H72" s="69">
        <f t="shared" si="13"/>
        <v>0</v>
      </c>
      <c r="I72" s="70">
        <f t="shared" si="13"/>
        <v>-2.3529408499598503E-3</v>
      </c>
    </row>
    <row r="73" spans="1:9" x14ac:dyDescent="0.25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-1546915</v>
      </c>
      <c r="F74" s="60">
        <f>CE_GL!D74</f>
        <v>0</v>
      </c>
      <c r="G74" s="38">
        <f>CE_GL!E74</f>
        <v>-921800</v>
      </c>
      <c r="H74" s="60">
        <f t="shared" ref="H74:I79" si="14">F74-D74</f>
        <v>0</v>
      </c>
      <c r="I74" s="38">
        <f t="shared" si="14"/>
        <v>625115</v>
      </c>
    </row>
    <row r="75" spans="1:9" x14ac:dyDescent="0.25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96430</v>
      </c>
      <c r="F75" s="60">
        <f>CE_GL!D75</f>
        <v>0</v>
      </c>
      <c r="G75" s="38">
        <f>CE_GL!E75</f>
        <v>96400</v>
      </c>
      <c r="H75" s="60">
        <f t="shared" si="14"/>
        <v>0</v>
      </c>
      <c r="I75" s="38">
        <f t="shared" si="14"/>
        <v>-30</v>
      </c>
    </row>
    <row r="76" spans="1:9" x14ac:dyDescent="0.25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-26216</v>
      </c>
      <c r="F76" s="60">
        <f>CE_GL!D76</f>
        <v>0</v>
      </c>
      <c r="G76" s="38">
        <f>CE_GL!E76</f>
        <v>-26661.89</v>
      </c>
      <c r="H76" s="60">
        <f t="shared" si="14"/>
        <v>0</v>
      </c>
      <c r="I76" s="38">
        <f t="shared" si="14"/>
        <v>-445.88999999999942</v>
      </c>
    </row>
    <row r="77" spans="1:9" x14ac:dyDescent="0.25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1581329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-1581329</v>
      </c>
    </row>
    <row r="80" spans="1:9" x14ac:dyDescent="0.25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109410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-109410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2528127.8323529484</v>
      </c>
      <c r="F82" s="71">
        <f>F16+F24+F29+F36+F43+F45+F47+F49</f>
        <v>0</v>
      </c>
      <c r="G82" s="72">
        <f>SUM(G72:G81)+G16+G24+G29+G36+G43+G45+G47+G49+G51+G56+G61+G66</f>
        <v>2662480.0600000294</v>
      </c>
      <c r="H82" s="71">
        <f>H16+H24+H29+H36+H43+H45+H47+H49</f>
        <v>0</v>
      </c>
      <c r="I82" s="72">
        <f>SUM(I72:I81)+I16+I24+I29+I36+I43+I45+I47+I49+I51+I56+I61+I66</f>
        <v>134352.22764706635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M641" sqref="M641:M64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193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'ARUBA-FLSH'!L11</f>
        <v>11157705</v>
      </c>
      <c r="E11" s="66">
        <f>'ARUBA-FLSH'!M11</f>
        <v>30241414</v>
      </c>
      <c r="F11" s="60">
        <f>ARUBA_GL!D11</f>
        <v>11160749</v>
      </c>
      <c r="G11" s="38">
        <f>ARUBA_GL!E11</f>
        <v>30866324.390000001</v>
      </c>
      <c r="H11" s="60">
        <f>F11-D11</f>
        <v>3044</v>
      </c>
      <c r="I11" s="38">
        <f>G11-E11</f>
        <v>624910.3900000006</v>
      </c>
    </row>
    <row r="12" spans="1:22" x14ac:dyDescent="0.25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'ARUBA-FLSH'!L13</f>
        <v>15023972</v>
      </c>
      <c r="E13" s="66">
        <f>'ARUBA-FLSH'!M13</f>
        <v>41429551</v>
      </c>
      <c r="F13" s="60">
        <f>ARUBA_GL!D13</f>
        <v>4504441</v>
      </c>
      <c r="G13" s="38">
        <f>ARUBA_GL!E13</f>
        <v>11834952</v>
      </c>
      <c r="H13" s="60">
        <f t="shared" ref="H13:I15" si="0">F13-D13</f>
        <v>-10519531</v>
      </c>
      <c r="I13" s="38">
        <f t="shared" si="0"/>
        <v>-29594599</v>
      </c>
    </row>
    <row r="14" spans="1:22" x14ac:dyDescent="0.25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842769</v>
      </c>
      <c r="H15" s="60">
        <f t="shared" si="0"/>
        <v>0</v>
      </c>
      <c r="I15" s="38">
        <f t="shared" si="0"/>
        <v>842769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26181677</v>
      </c>
      <c r="E16" s="39">
        <f t="shared" si="1"/>
        <v>71670965</v>
      </c>
      <c r="F16" s="61">
        <f t="shared" si="1"/>
        <v>15665190</v>
      </c>
      <c r="G16" s="39">
        <f t="shared" si="1"/>
        <v>43544045.390000001</v>
      </c>
      <c r="H16" s="61">
        <f t="shared" si="1"/>
        <v>-10516487</v>
      </c>
      <c r="I16" s="39">
        <f t="shared" si="1"/>
        <v>-28126919.609999999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'ARUBA-FLSH'!L19</f>
        <v>-5555437</v>
      </c>
      <c r="E19" s="66">
        <f>'ARUBA-FLSH'!M19</f>
        <v>-14169741</v>
      </c>
      <c r="F19" s="60">
        <f>ARUBA_GL!D19</f>
        <v>-5557302</v>
      </c>
      <c r="G19" s="38">
        <f>ARUBA_GL!E19</f>
        <v>-13984409</v>
      </c>
      <c r="H19" s="60">
        <f>F19-D19</f>
        <v>-1865</v>
      </c>
      <c r="I19" s="38">
        <f>G19-E19</f>
        <v>185332</v>
      </c>
    </row>
    <row r="20" spans="1:9" x14ac:dyDescent="0.25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'ARUBA-FLSH'!L21</f>
        <v>-20887121</v>
      </c>
      <c r="E21" s="66">
        <f>'ARUBA-FLSH'!M21</f>
        <v>-56681162</v>
      </c>
      <c r="F21" s="60">
        <f>ARUBA_GL!D21</f>
        <v>-7266258</v>
      </c>
      <c r="G21" s="38">
        <f>ARUBA_GL!E21</f>
        <v>-19419693</v>
      </c>
      <c r="H21" s="60">
        <f t="shared" ref="H21:I23" si="2">F21-D21</f>
        <v>13620863</v>
      </c>
      <c r="I21" s="38">
        <f t="shared" si="2"/>
        <v>37261469</v>
      </c>
    </row>
    <row r="22" spans="1:9" x14ac:dyDescent="0.25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'ARUBA-FLSH'!L23</f>
        <v>184885</v>
      </c>
      <c r="E23" s="66">
        <f>'ARUBA-FLSH'!M23</f>
        <v>501619</v>
      </c>
      <c r="F23" s="60">
        <f>ARUBA_GL!D23</f>
        <v>188229</v>
      </c>
      <c r="G23" s="38">
        <f>ARUBA_GL!E23</f>
        <v>494101.13</v>
      </c>
      <c r="H23" s="60">
        <f t="shared" si="2"/>
        <v>3344</v>
      </c>
      <c r="I23" s="38">
        <f t="shared" si="2"/>
        <v>-7517.8699999999953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-26257673</v>
      </c>
      <c r="E24" s="39">
        <f t="shared" si="3"/>
        <v>-70349284</v>
      </c>
      <c r="F24" s="61">
        <f t="shared" si="3"/>
        <v>-12635331</v>
      </c>
      <c r="G24" s="39">
        <f t="shared" si="3"/>
        <v>-32910000.870000001</v>
      </c>
      <c r="H24" s="61">
        <f t="shared" si="3"/>
        <v>13622342</v>
      </c>
      <c r="I24" s="39">
        <f t="shared" si="3"/>
        <v>37439283.130000003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'ARUBA-FLSH'!L49</f>
        <v>75996</v>
      </c>
      <c r="E49" s="66">
        <f>'ARUBA-FLSH'!M49</f>
        <v>199508.48086115014</v>
      </c>
      <c r="F49" s="60">
        <f>ARUBA_GL!D49</f>
        <v>-3029859</v>
      </c>
      <c r="G49" s="38">
        <f>ARUBA_GL!E49</f>
        <v>-7953379.875</v>
      </c>
      <c r="H49" s="60">
        <f>F49-D49</f>
        <v>-3105855</v>
      </c>
      <c r="I49" s="38">
        <f>G49-E49</f>
        <v>-8152888.3558611497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'ARUBA-FLSH'!L51</f>
        <v>-184885</v>
      </c>
      <c r="E51" s="66">
        <f>'ARUBA-FLSH'!M51</f>
        <v>-501619</v>
      </c>
      <c r="F51" s="60">
        <f>ARUBA_GL!D51</f>
        <v>-188229</v>
      </c>
      <c r="G51" s="38">
        <f>ARUBA_GL!E51</f>
        <v>-494101.13</v>
      </c>
      <c r="H51" s="60">
        <f>F51-D51</f>
        <v>-3344</v>
      </c>
      <c r="I51" s="38">
        <f>G51-E51</f>
        <v>7517.8699999999953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-77006</v>
      </c>
      <c r="F54" s="60">
        <f>ARUBA_GL!D54</f>
        <v>-5138371</v>
      </c>
      <c r="G54" s="38">
        <f>ARUBA_GL!E54</f>
        <v>-84523.99</v>
      </c>
      <c r="H54" s="60">
        <f>F54-D54</f>
        <v>-5138371</v>
      </c>
      <c r="I54" s="38">
        <f>G54-E54</f>
        <v>-7517.9900000000052</v>
      </c>
    </row>
    <row r="55" spans="1:9" x14ac:dyDescent="0.25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-1429768</v>
      </c>
      <c r="H55" s="60">
        <f>F55-D55</f>
        <v>0</v>
      </c>
      <c r="I55" s="38">
        <f>G55-E55</f>
        <v>-1429768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-77006</v>
      </c>
      <c r="F56" s="61">
        <f t="shared" si="10"/>
        <v>-5138371</v>
      </c>
      <c r="G56" s="39">
        <f t="shared" si="10"/>
        <v>-1514291.99</v>
      </c>
      <c r="H56" s="61">
        <f t="shared" si="10"/>
        <v>-5138371</v>
      </c>
      <c r="I56" s="39">
        <f t="shared" si="10"/>
        <v>-1437285.99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16562230</v>
      </c>
      <c r="F70" s="60">
        <f>ARUBA_GL!D70</f>
        <v>0</v>
      </c>
      <c r="G70" s="38">
        <f>ARUBA_GL!E70</f>
        <v>16562230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-22061170</v>
      </c>
      <c r="F71" s="60">
        <f>ARUBA_GL!D71</f>
        <v>0</v>
      </c>
      <c r="G71" s="38">
        <f>ARUBA_GL!E71</f>
        <v>-22061170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-5498940</v>
      </c>
      <c r="F72" s="69">
        <f t="shared" si="13"/>
        <v>0</v>
      </c>
      <c r="G72" s="70">
        <f t="shared" si="13"/>
        <v>-5498940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4852414</v>
      </c>
      <c r="F74" s="60">
        <f>ARUBA_GL!D74</f>
        <v>0</v>
      </c>
      <c r="G74" s="38">
        <f>ARUBA_GL!E74</f>
        <v>3945884</v>
      </c>
      <c r="H74" s="60">
        <f t="shared" ref="H74:I79" si="14">F74-D74</f>
        <v>0</v>
      </c>
      <c r="I74" s="38">
        <f t="shared" si="14"/>
        <v>-906530</v>
      </c>
    </row>
    <row r="75" spans="1:9" x14ac:dyDescent="0.25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-390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390</v>
      </c>
    </row>
    <row r="77" spans="1:9" x14ac:dyDescent="0.25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295648.48086115019</v>
      </c>
      <c r="F82" s="71">
        <f>F16+F24+F29+F36+F43+F45+F47+F49</f>
        <v>0</v>
      </c>
      <c r="G82" s="72">
        <f>SUM(G72:G81)+G16+G24+G29+G36+G43+G45+G47+G49+G51+G56+G61+G66</f>
        <v>-880784.47500000044</v>
      </c>
      <c r="H82" s="71">
        <f>H16+H24+H29+H36+H43+H45+H47+H49</f>
        <v>0</v>
      </c>
      <c r="I82" s="72">
        <f>SUM(I72:I81)+I16+I24+I29+I36+I43+I45+I47+I49+I51+I56+I61+I66</f>
        <v>-1176432.9558611466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'EAST-EGM-FLSH'!L11</f>
        <v>90834313</v>
      </c>
      <c r="E11" s="66">
        <f>'EAST-EGM-FLSH'!M11</f>
        <v>239055671.84823635</v>
      </c>
      <c r="F11" s="60">
        <f>'EAST-EGM-GL'!D11</f>
        <v>84902660</v>
      </c>
      <c r="G11" s="38">
        <f>'EAST-EGM-GL'!E11</f>
        <v>222547773.00000003</v>
      </c>
      <c r="H11" s="60">
        <f>F11-D11</f>
        <v>-5931653</v>
      </c>
      <c r="I11" s="38">
        <f>G11-E11</f>
        <v>-16507898.848236322</v>
      </c>
    </row>
    <row r="12" spans="1:22" x14ac:dyDescent="0.25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-1127619.3</v>
      </c>
      <c r="H12" s="60">
        <f>F12-D12</f>
        <v>0</v>
      </c>
      <c r="I12" s="38">
        <f>G12-E12</f>
        <v>-1127619.3</v>
      </c>
    </row>
    <row r="13" spans="1:22" x14ac:dyDescent="0.25">
      <c r="A13" s="9">
        <v>3</v>
      </c>
      <c r="B13" s="7"/>
      <c r="C13" s="18" t="s">
        <v>27</v>
      </c>
      <c r="D13" s="65">
        <f>'EAST-EGM-FLSH'!L13</f>
        <v>33152422</v>
      </c>
      <c r="E13" s="66">
        <f>'EAST-EGM-FLSH'!M13</f>
        <v>89903041</v>
      </c>
      <c r="F13" s="60">
        <f>'EAST-EGM-GL'!D13</f>
        <v>6809439</v>
      </c>
      <c r="G13" s="38">
        <f>'EAST-EGM-GL'!E13</f>
        <v>17968977</v>
      </c>
      <c r="H13" s="60">
        <f t="shared" ref="H13:I15" si="0">F13-D13</f>
        <v>-26342983</v>
      </c>
      <c r="I13" s="38">
        <f t="shared" si="0"/>
        <v>-71934064</v>
      </c>
    </row>
    <row r="14" spans="1:22" x14ac:dyDescent="0.25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-48849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48849</v>
      </c>
    </row>
    <row r="15" spans="1:22" x14ac:dyDescent="0.25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1141174.75</v>
      </c>
      <c r="H15" s="60">
        <f t="shared" si="0"/>
        <v>0</v>
      </c>
      <c r="I15" s="38">
        <f t="shared" si="0"/>
        <v>1141174.75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123986735</v>
      </c>
      <c r="E16" s="39">
        <f t="shared" si="1"/>
        <v>328909863.84823632</v>
      </c>
      <c r="F16" s="61">
        <f t="shared" si="1"/>
        <v>91712099</v>
      </c>
      <c r="G16" s="39">
        <f t="shared" si="1"/>
        <v>240530305.45000002</v>
      </c>
      <c r="H16" s="61">
        <f t="shared" si="1"/>
        <v>-32274636</v>
      </c>
      <c r="I16" s="39">
        <f t="shared" si="1"/>
        <v>-88379558.398236319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'EAST-EGM-FLSH'!L19</f>
        <v>-95846492</v>
      </c>
      <c r="E19" s="66">
        <f>'EAST-EGM-FLSH'!M19</f>
        <v>-247241369</v>
      </c>
      <c r="F19" s="60">
        <f>'EAST-EGM-GL'!D19</f>
        <v>-96362177</v>
      </c>
      <c r="G19" s="38">
        <f>'EAST-EGM-GL'!E19</f>
        <v>-248797273.50999999</v>
      </c>
      <c r="H19" s="60">
        <f>F19-D19</f>
        <v>-515685</v>
      </c>
      <c r="I19" s="38">
        <f>G19-E19</f>
        <v>-1555904.5099999905</v>
      </c>
    </row>
    <row r="20" spans="1:9" x14ac:dyDescent="0.25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5">
      <c r="A21" s="9">
        <v>8</v>
      </c>
      <c r="B21" s="7"/>
      <c r="C21" s="18" t="s">
        <v>27</v>
      </c>
      <c r="D21" s="65">
        <f>'EAST-EGM-FLSH'!L21</f>
        <v>-28969984</v>
      </c>
      <c r="E21" s="66">
        <f>'EAST-EGM-FLSH'!M21</f>
        <v>-79302833</v>
      </c>
      <c r="F21" s="60">
        <f>'EAST-EGM-GL'!D21</f>
        <v>-2656950</v>
      </c>
      <c r="G21" s="38">
        <f>'EAST-EGM-GL'!E21</f>
        <v>-7303370</v>
      </c>
      <c r="H21" s="60">
        <f t="shared" ref="H21:I23" si="2">F21-D21</f>
        <v>26313034</v>
      </c>
      <c r="I21" s="38">
        <f t="shared" si="2"/>
        <v>71999463</v>
      </c>
    </row>
    <row r="22" spans="1:9" x14ac:dyDescent="0.25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'EAST-EGM-FLSH'!L23</f>
        <v>196509</v>
      </c>
      <c r="E23" s="66">
        <f>'EAST-EGM-FLSH'!M23</f>
        <v>522991</v>
      </c>
      <c r="F23" s="60">
        <f>'EAST-EGM-GL'!D23</f>
        <v>195185</v>
      </c>
      <c r="G23" s="38">
        <f>'EAST-EGM-GL'!E23</f>
        <v>1712496.7859999998</v>
      </c>
      <c r="H23" s="60">
        <f t="shared" si="2"/>
        <v>-1324</v>
      </c>
      <c r="I23" s="38">
        <f t="shared" si="2"/>
        <v>1189505.7859999998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-124619967</v>
      </c>
      <c r="E24" s="39">
        <f t="shared" si="3"/>
        <v>-326021211</v>
      </c>
      <c r="F24" s="61">
        <f t="shared" si="3"/>
        <v>-98823942</v>
      </c>
      <c r="G24" s="39">
        <f t="shared" si="3"/>
        <v>-254553155.61399996</v>
      </c>
      <c r="H24" s="61">
        <f t="shared" si="3"/>
        <v>25796025</v>
      </c>
      <c r="I24" s="39">
        <f t="shared" si="3"/>
        <v>71468055.386000007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8813174</v>
      </c>
      <c r="G27" s="38">
        <f>'EAST-EGM-GL'!E27</f>
        <v>23535097.510000002</v>
      </c>
      <c r="H27" s="60">
        <f>F27-D27</f>
        <v>8813174</v>
      </c>
      <c r="I27" s="38">
        <f>G27-E27</f>
        <v>23535097.510000002</v>
      </c>
    </row>
    <row r="28" spans="1:9" x14ac:dyDescent="0.25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-2182030</v>
      </c>
      <c r="G28" s="38">
        <f>'EAST-EGM-GL'!E28</f>
        <v>-5895083.3100000005</v>
      </c>
      <c r="H28" s="60">
        <f>F28-D28</f>
        <v>-2182030</v>
      </c>
      <c r="I28" s="38">
        <f>G28-E28</f>
        <v>-5895083.3100000005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6631144</v>
      </c>
      <c r="G29" s="70">
        <f t="shared" si="4"/>
        <v>17640014.200000003</v>
      </c>
      <c r="H29" s="69">
        <f t="shared" si="4"/>
        <v>6631144</v>
      </c>
      <c r="I29" s="70">
        <f t="shared" si="4"/>
        <v>17640014.200000003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'EAST-EGM-FLSH'!L32</f>
        <v>-4834</v>
      </c>
      <c r="E32" s="66">
        <f>'EAST-EGM-FLSH'!M32</f>
        <v>-39152</v>
      </c>
      <c r="F32" s="60">
        <f>'EAST-EGM-GL'!D32</f>
        <v>226077</v>
      </c>
      <c r="G32" s="38">
        <f>'EAST-EGM-GL'!E32</f>
        <v>574461.65699999931</v>
      </c>
      <c r="H32" s="60">
        <f>F32-D32</f>
        <v>230911</v>
      </c>
      <c r="I32" s="38">
        <f>G32-E32</f>
        <v>613613.65699999931</v>
      </c>
    </row>
    <row r="33" spans="1:9" x14ac:dyDescent="0.25">
      <c r="A33" s="9">
        <v>14</v>
      </c>
      <c r="B33" s="7"/>
      <c r="C33" s="18" t="s">
        <v>40</v>
      </c>
      <c r="D33" s="65">
        <f>'EAST-EGM-FLSH'!L33</f>
        <v>466620</v>
      </c>
      <c r="E33" s="66">
        <f>'EAST-EGM-FLSH'!M33</f>
        <v>1139339</v>
      </c>
      <c r="F33" s="60">
        <f>'EAST-EGM-GL'!D33</f>
        <v>-289662</v>
      </c>
      <c r="G33" s="38">
        <f>'EAST-EGM-GL'!E33</f>
        <v>-813186.58999999985</v>
      </c>
      <c r="H33" s="60">
        <f t="shared" ref="H33:I35" si="5">F33-D33</f>
        <v>-756282</v>
      </c>
      <c r="I33" s="38">
        <f t="shared" si="5"/>
        <v>-1952525.5899999999</v>
      </c>
    </row>
    <row r="34" spans="1:9" x14ac:dyDescent="0.25">
      <c r="A34" s="9">
        <v>15</v>
      </c>
      <c r="B34" s="7"/>
      <c r="C34" s="18" t="s">
        <v>41</v>
      </c>
      <c r="D34" s="65">
        <f>'EAST-EGM-FLSH'!L34</f>
        <v>-600495</v>
      </c>
      <c r="E34" s="66">
        <f>'EAST-EGM-FLSH'!M34</f>
        <v>-1463229</v>
      </c>
      <c r="F34" s="60">
        <f>'EAST-EGM-GL'!D34</f>
        <v>63281</v>
      </c>
      <c r="G34" s="38">
        <f>'EAST-EGM-GL'!E34</f>
        <v>169730.25999999998</v>
      </c>
      <c r="H34" s="60">
        <f t="shared" si="5"/>
        <v>663776</v>
      </c>
      <c r="I34" s="38">
        <f t="shared" si="5"/>
        <v>1632959.26</v>
      </c>
    </row>
    <row r="35" spans="1:9" x14ac:dyDescent="0.25">
      <c r="A35" s="9">
        <v>16</v>
      </c>
      <c r="B35" s="7"/>
      <c r="C35" s="18" t="s">
        <v>42</v>
      </c>
      <c r="D35" s="65">
        <f>'EAST-EGM-FLSH'!L35</f>
        <v>643159</v>
      </c>
      <c r="E35" s="66">
        <f>'EAST-EGM-FLSH'!M35</f>
        <v>159553</v>
      </c>
      <c r="F35" s="60">
        <f>'EAST-EGM-GL'!D35</f>
        <v>643159</v>
      </c>
      <c r="G35" s="38">
        <f>'EAST-EGM-GL'!E35</f>
        <v>-126950</v>
      </c>
      <c r="H35" s="60">
        <f t="shared" si="5"/>
        <v>0</v>
      </c>
      <c r="I35" s="38">
        <f t="shared" si="5"/>
        <v>-286503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642855</v>
      </c>
      <c r="G36" s="39">
        <f t="shared" si="6"/>
        <v>-195944.67300000056</v>
      </c>
      <c r="H36" s="61">
        <f t="shared" si="6"/>
        <v>138405</v>
      </c>
      <c r="I36" s="39">
        <f t="shared" si="6"/>
        <v>7544.3269999993499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'EAST-EGM-FLSH'!L39</f>
        <v>-203653</v>
      </c>
      <c r="E39" s="66">
        <f>'EAST-EGM-FLSH'!M39</f>
        <v>-519315</v>
      </c>
      <c r="F39" s="60">
        <f>'EAST-EGM-GL'!D39</f>
        <v>-599281</v>
      </c>
      <c r="G39" s="38">
        <f>'EAST-EGM-GL'!E39</f>
        <v>-1732900</v>
      </c>
      <c r="H39" s="60">
        <f t="shared" ref="H39:I41" si="7">F39-D39</f>
        <v>-395628</v>
      </c>
      <c r="I39" s="38">
        <f t="shared" si="7"/>
        <v>-1213585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-4052</v>
      </c>
      <c r="G40" s="38">
        <f>'EAST-EGM-GL'!E40</f>
        <v>-0.01</v>
      </c>
      <c r="H40" s="60">
        <f t="shared" si="7"/>
        <v>-4052</v>
      </c>
      <c r="I40" s="38">
        <f t="shared" si="7"/>
        <v>-0.01</v>
      </c>
    </row>
    <row r="41" spans="1:9" x14ac:dyDescent="0.25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-4052</v>
      </c>
      <c r="G42" s="70">
        <f t="shared" si="8"/>
        <v>-0.01</v>
      </c>
      <c r="H42" s="69">
        <f t="shared" si="8"/>
        <v>-4052</v>
      </c>
      <c r="I42" s="70">
        <f t="shared" si="8"/>
        <v>-0.01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-203653</v>
      </c>
      <c r="E43" s="39">
        <f t="shared" si="9"/>
        <v>-519315</v>
      </c>
      <c r="F43" s="61">
        <f t="shared" si="9"/>
        <v>-603333</v>
      </c>
      <c r="G43" s="39">
        <f t="shared" si="9"/>
        <v>-1732900.01</v>
      </c>
      <c r="H43" s="61">
        <f t="shared" si="9"/>
        <v>-399680</v>
      </c>
      <c r="I43" s="39">
        <f t="shared" si="9"/>
        <v>-1213585.01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'EAST-EGM-FLSH'!L49</f>
        <v>392435</v>
      </c>
      <c r="E49" s="66">
        <f>'EAST-EGM-FLSH'!M49</f>
        <v>1000296.3572346799</v>
      </c>
      <c r="F49" s="60">
        <f>'EAST-EGM-GL'!D49</f>
        <v>441177</v>
      </c>
      <c r="G49" s="38">
        <f>'EAST-EGM-GL'!E49</f>
        <v>1121030.7570000002</v>
      </c>
      <c r="H49" s="60">
        <f>F49-D49</f>
        <v>48742</v>
      </c>
      <c r="I49" s="38">
        <f>G49-E49</f>
        <v>120734.39976532036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'EAST-EGM-FLSH'!L51</f>
        <v>-196509</v>
      </c>
      <c r="E51" s="66">
        <f>'EAST-EGM-FLSH'!M51</f>
        <v>-522991</v>
      </c>
      <c r="F51" s="60">
        <f>'EAST-EGM-GL'!D51</f>
        <v>-673946</v>
      </c>
      <c r="G51" s="38">
        <f>'EAST-EGM-GL'!E51</f>
        <v>-1712496.7859999998</v>
      </c>
      <c r="H51" s="60">
        <f>F51-D51</f>
        <v>-477437</v>
      </c>
      <c r="I51" s="38">
        <f>G51-E51</f>
        <v>-1189505.7859999998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-585583</v>
      </c>
      <c r="F54" s="60">
        <f>'EAST-EGM-GL'!D54</f>
        <v>-66816869</v>
      </c>
      <c r="G54" s="38">
        <f>'EAST-EGM-GL'!E54</f>
        <v>-672644.65999999992</v>
      </c>
      <c r="H54" s="60">
        <f>F54-D54</f>
        <v>-66816869</v>
      </c>
      <c r="I54" s="38">
        <f>G54-E54</f>
        <v>-87061.659999999916</v>
      </c>
    </row>
    <row r="55" spans="1:9" x14ac:dyDescent="0.25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-554171</v>
      </c>
      <c r="F55" s="60">
        <f>'EAST-EGM-GL'!D55</f>
        <v>0</v>
      </c>
      <c r="G55" s="38">
        <f>'EAST-EGM-GL'!E55</f>
        <v>-1182485.1499999997</v>
      </c>
      <c r="H55" s="60">
        <f>F55-D55</f>
        <v>0</v>
      </c>
      <c r="I55" s="38">
        <f>G55-E55</f>
        <v>-628314.14999999967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-66816869</v>
      </c>
      <c r="G56" s="39">
        <f t="shared" si="10"/>
        <v>-1855129.8099999996</v>
      </c>
      <c r="H56" s="61">
        <f t="shared" si="10"/>
        <v>-66816869</v>
      </c>
      <c r="I56" s="39">
        <f t="shared" si="10"/>
        <v>-715375.80999999959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49498.14</v>
      </c>
      <c r="H59" s="60">
        <f>F59-D59</f>
        <v>0</v>
      </c>
      <c r="I59" s="38">
        <f>G59-E59</f>
        <v>49498.14</v>
      </c>
    </row>
    <row r="60" spans="1:9" x14ac:dyDescent="0.25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-82694.345000000001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82694.345000000001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-82694.345000000001</v>
      </c>
      <c r="F61" s="69">
        <f t="shared" si="11"/>
        <v>0</v>
      </c>
      <c r="G61" s="70">
        <f t="shared" si="11"/>
        <v>49498.14</v>
      </c>
      <c r="H61" s="69">
        <f t="shared" si="11"/>
        <v>0</v>
      </c>
      <c r="I61" s="70">
        <f t="shared" si="11"/>
        <v>132192.48499999999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5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6851832</v>
      </c>
      <c r="F70" s="60">
        <f>'EAST-EGM-GL'!D70</f>
        <v>0</v>
      </c>
      <c r="G70" s="38">
        <f>'EAST-EGM-GL'!E70</f>
        <v>6851832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-7144979.9500000002</v>
      </c>
      <c r="F71" s="60">
        <f>'EAST-EGM-GL'!D71</f>
        <v>0</v>
      </c>
      <c r="G71" s="38">
        <f>'EAST-EGM-GL'!E71</f>
        <v>-7144978.9500000002</v>
      </c>
      <c r="H71" s="60">
        <f>F71-D71</f>
        <v>0</v>
      </c>
      <c r="I71" s="38">
        <f>G71-E71</f>
        <v>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5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2808598</v>
      </c>
      <c r="F74" s="60">
        <f>'EAST-EGM-GL'!D74</f>
        <v>0</v>
      </c>
      <c r="G74" s="38">
        <f>'EAST-EGM-GL'!E74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5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8103</v>
      </c>
      <c r="F75" s="60">
        <f>'EAST-EGM-GL'!D75</f>
        <v>0</v>
      </c>
      <c r="G75" s="38">
        <f>'EAST-EGM-GL'!E75</f>
        <v>8100</v>
      </c>
      <c r="H75" s="60">
        <f t="shared" si="14"/>
        <v>0</v>
      </c>
      <c r="I75" s="38">
        <f t="shared" si="14"/>
        <v>-3</v>
      </c>
    </row>
    <row r="76" spans="1:9" x14ac:dyDescent="0.25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-15088</v>
      </c>
      <c r="F76" s="60">
        <f>'EAST-EGM-GL'!D76</f>
        <v>0</v>
      </c>
      <c r="G76" s="38">
        <f>'EAST-EGM-GL'!E76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5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5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5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36312</v>
      </c>
      <c r="F81" s="60">
        <f>'EAST-EGM-GL'!D81</f>
        <v>0</v>
      </c>
      <c r="G81" s="38">
        <f>'EAST-EGM-GL'!E81</f>
        <v>-9.9999999983992893E-2</v>
      </c>
      <c r="H81" s="60">
        <f>F81-D81</f>
        <v>0</v>
      </c>
      <c r="I81" s="38">
        <f>G81-E81</f>
        <v>-36312.099999999984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3996141.8554710071</v>
      </c>
      <c r="F82" s="71">
        <f>F16+F24+F29+F36+F43+F45+F47+F49</f>
        <v>0</v>
      </c>
      <c r="G82" s="72">
        <f>SUM(G72:G81)+G16+G24+G29+G36+G43+G45+G47+G49+G51+G56+G61+G66</f>
        <v>-1567224.5959999417</v>
      </c>
      <c r="H82" s="71">
        <f>H16+H24+H29+H36+H43+H45+H47+H49</f>
        <v>-60000</v>
      </c>
      <c r="I82" s="72">
        <f>SUM(I72:I81)+I16+I24+I29+I36+I43+I45+I47+I49+I51+I56+I61+I66</f>
        <v>-5563366.4514709935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'EAST-EGM-FLSH'!L86</f>
        <v>0</v>
      </c>
      <c r="E86" s="169">
        <f>'EAST-EGM-FLSH'!M86</f>
        <v>206810</v>
      </c>
      <c r="F86" s="169">
        <f>'EAST-EGM-GL'!D86</f>
        <v>0</v>
      </c>
      <c r="G86" s="169">
        <f>'EAST-EGM-GL'!E86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5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'EAST-EGM-FLSH'!L88</f>
        <v>0</v>
      </c>
      <c r="E88" s="171">
        <f>'EAST-EGM-FLSH'!M88</f>
        <v>0</v>
      </c>
      <c r="F88" s="171">
        <f>'EAST-EGM-GL'!D88</f>
        <v>0</v>
      </c>
      <c r="G88" s="171">
        <f>'EAST-EGM-GL'!E88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5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206810</v>
      </c>
      <c r="F89" s="184">
        <f t="shared" si="16"/>
        <v>0</v>
      </c>
      <c r="G89" s="184">
        <f t="shared" si="16"/>
        <v>206809</v>
      </c>
      <c r="H89" s="184">
        <f t="shared" si="16"/>
        <v>0</v>
      </c>
      <c r="I89" s="184">
        <f t="shared" si="16"/>
        <v>-1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172</v>
      </c>
      <c r="D91" s="184">
        <f t="shared" ref="D91:I91" si="17">+D82+D89</f>
        <v>60000</v>
      </c>
      <c r="E91" s="184">
        <f t="shared" si="17"/>
        <v>4202951.8554710075</v>
      </c>
      <c r="F91" s="184">
        <f t="shared" si="17"/>
        <v>0</v>
      </c>
      <c r="G91" s="184">
        <f t="shared" si="17"/>
        <v>-1360415.5959999417</v>
      </c>
      <c r="H91" s="184">
        <f t="shared" si="17"/>
        <v>-60000</v>
      </c>
      <c r="I91" s="184">
        <f t="shared" si="17"/>
        <v>-5563367.4514709935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'EAST-LRC-FLSH'!L11</f>
        <v>10593770</v>
      </c>
      <c r="E11" s="66">
        <f>'EAST-LRC-FLSH'!M11</f>
        <v>27923512.151763637</v>
      </c>
      <c r="F11" s="60">
        <f>'EAST-LRC-GL'!D11</f>
        <v>7934185</v>
      </c>
      <c r="G11" s="38">
        <f>'EAST-LRC-GL'!E11</f>
        <v>20571151.129999999</v>
      </c>
      <c r="H11" s="60">
        <f>F11-D11</f>
        <v>-2659585</v>
      </c>
      <c r="I11" s="38">
        <f>G11-E11</f>
        <v>-7352361.0217636377</v>
      </c>
    </row>
    <row r="12" spans="1:22" x14ac:dyDescent="0.25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110653.6</v>
      </c>
      <c r="H12" s="60">
        <f>F12-D12</f>
        <v>0</v>
      </c>
      <c r="I12" s="38">
        <f>G12-E12</f>
        <v>110653.6</v>
      </c>
    </row>
    <row r="13" spans="1:22" x14ac:dyDescent="0.25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10593770</v>
      </c>
      <c r="E16" s="39">
        <f t="shared" si="1"/>
        <v>27923512.151763637</v>
      </c>
      <c r="F16" s="61">
        <f t="shared" si="1"/>
        <v>7934185</v>
      </c>
      <c r="G16" s="39">
        <f t="shared" si="1"/>
        <v>20681804.73</v>
      </c>
      <c r="H16" s="61">
        <f t="shared" si="1"/>
        <v>-2659585</v>
      </c>
      <c r="I16" s="39">
        <f t="shared" si="1"/>
        <v>-7241707.421763638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'EAST-LRC-FLSH'!L19</f>
        <v>-10491343</v>
      </c>
      <c r="E19" s="66">
        <f>'EAST-LRC-FLSH'!M19</f>
        <v>-28142158</v>
      </c>
      <c r="F19" s="60">
        <f>'EAST-LRC-GL'!D19</f>
        <v>-950452</v>
      </c>
      <c r="G19" s="38">
        <f>'EAST-LRC-GL'!E19</f>
        <v>-2439930.5100000002</v>
      </c>
      <c r="H19" s="60">
        <f>F19-D19</f>
        <v>9540891</v>
      </c>
      <c r="I19" s="38">
        <f>G19-E19</f>
        <v>25702227.489999998</v>
      </c>
    </row>
    <row r="20" spans="1:9" x14ac:dyDescent="0.25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-22270</v>
      </c>
      <c r="G23" s="38">
        <f>'EAST-LRC-GL'!E23</f>
        <v>-55827.47</v>
      </c>
      <c r="H23" s="60">
        <f t="shared" si="2"/>
        <v>-22270</v>
      </c>
      <c r="I23" s="38">
        <f t="shared" si="2"/>
        <v>-55827.47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-10491343</v>
      </c>
      <c r="E24" s="39">
        <f t="shared" si="3"/>
        <v>-28142158</v>
      </c>
      <c r="F24" s="61">
        <f t="shared" si="3"/>
        <v>-972722</v>
      </c>
      <c r="G24" s="39">
        <f t="shared" si="3"/>
        <v>-2495757.9800000004</v>
      </c>
      <c r="H24" s="61">
        <f t="shared" si="3"/>
        <v>9518621</v>
      </c>
      <c r="I24" s="39">
        <f t="shared" si="3"/>
        <v>25646400.02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1568953</v>
      </c>
      <c r="G27" s="38">
        <f>'EAST-LRC-GL'!E27</f>
        <v>4204110.8000000007</v>
      </c>
      <c r="H27" s="60">
        <f>F27-D27</f>
        <v>1568953</v>
      </c>
      <c r="I27" s="38">
        <f>G27-E27</f>
        <v>4204110.8000000007</v>
      </c>
    </row>
    <row r="28" spans="1:9" x14ac:dyDescent="0.25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-8502753</v>
      </c>
      <c r="G28" s="38">
        <f>'EAST-LRC-GL'!E28</f>
        <v>-22729234.569999997</v>
      </c>
      <c r="H28" s="60">
        <f>F28-D28</f>
        <v>-8502753</v>
      </c>
      <c r="I28" s="38">
        <f>G28-E28</f>
        <v>-22729234.569999997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-6933800</v>
      </c>
      <c r="G29" s="70">
        <f t="shared" si="4"/>
        <v>-18525123.769999996</v>
      </c>
      <c r="H29" s="69">
        <f t="shared" si="4"/>
        <v>-6933800</v>
      </c>
      <c r="I29" s="70">
        <f t="shared" si="4"/>
        <v>-18525123.769999996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13742</v>
      </c>
      <c r="G32" s="38">
        <f>'EAST-LRC-GL'!E32</f>
        <v>34918.422000000006</v>
      </c>
      <c r="H32" s="60">
        <f>F32-D32</f>
        <v>13742</v>
      </c>
      <c r="I32" s="38">
        <f>G32-E32</f>
        <v>34918.422000000006</v>
      </c>
    </row>
    <row r="33" spans="1:9" x14ac:dyDescent="0.25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13742</v>
      </c>
      <c r="G36" s="39">
        <f t="shared" si="6"/>
        <v>34918.422000000006</v>
      </c>
      <c r="H36" s="61">
        <f t="shared" si="6"/>
        <v>13742</v>
      </c>
      <c r="I36" s="39">
        <f t="shared" si="6"/>
        <v>34918.422000000006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'EAST-LRC-FLSH'!L39</f>
        <v>564309</v>
      </c>
      <c r="E39" s="66">
        <f>'EAST-LRC-FLSH'!M39</f>
        <v>1438989</v>
      </c>
      <c r="F39" s="60">
        <f>'EAST-LRC-GL'!D39</f>
        <v>613129</v>
      </c>
      <c r="G39" s="38">
        <f>'EAST-LRC-GL'!E39</f>
        <v>1186588.56</v>
      </c>
      <c r="H39" s="60">
        <f t="shared" ref="H39:I41" si="7">F39-D39</f>
        <v>48820</v>
      </c>
      <c r="I39" s="38">
        <f t="shared" si="7"/>
        <v>-252400.43999999994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'EAST-LRC-FLSH'!L40</f>
        <v>-622365</v>
      </c>
      <c r="E40" s="66">
        <f>'EAST-LRC-FLSH'!M40</f>
        <v>-1587032</v>
      </c>
      <c r="F40" s="60">
        <f>'EAST-LRC-GL'!D40</f>
        <v>-679064</v>
      </c>
      <c r="G40" s="38">
        <f>'EAST-LRC-GL'!E40</f>
        <v>-1314192.56</v>
      </c>
      <c r="H40" s="60">
        <f t="shared" si="7"/>
        <v>-56699</v>
      </c>
      <c r="I40" s="38">
        <f t="shared" si="7"/>
        <v>272839.43999999994</v>
      </c>
    </row>
    <row r="41" spans="1:9" x14ac:dyDescent="0.25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-679064</v>
      </c>
      <c r="G42" s="70">
        <f t="shared" si="8"/>
        <v>-1314192.56</v>
      </c>
      <c r="H42" s="69">
        <f t="shared" si="8"/>
        <v>-56699</v>
      </c>
      <c r="I42" s="70">
        <f t="shared" si="8"/>
        <v>272839.43999999994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-58056</v>
      </c>
      <c r="E43" s="39">
        <f t="shared" si="9"/>
        <v>-148043</v>
      </c>
      <c r="F43" s="61">
        <f t="shared" si="9"/>
        <v>-65935</v>
      </c>
      <c r="G43" s="39">
        <f t="shared" si="9"/>
        <v>-127604</v>
      </c>
      <c r="H43" s="61">
        <f t="shared" si="9"/>
        <v>-7879</v>
      </c>
      <c r="I43" s="39">
        <f t="shared" si="9"/>
        <v>20439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168</v>
      </c>
      <c r="G45" s="38">
        <f>'EAST-LRC-GL'!E45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'EAST-LRC-FLSH'!L49</f>
        <v>-104371</v>
      </c>
      <c r="E49" s="66">
        <f>'EAST-LRC-FLSH'!M49</f>
        <v>-268316.65830134944</v>
      </c>
      <c r="F49" s="60">
        <f>'EAST-LRC-GL'!D49</f>
        <v>24362</v>
      </c>
      <c r="G49" s="38">
        <f>'EAST-LRC-GL'!E49</f>
        <v>61903.837000000007</v>
      </c>
      <c r="H49" s="60">
        <f>F49-D49</f>
        <v>128733</v>
      </c>
      <c r="I49" s="38">
        <f>G49-E49</f>
        <v>330220.49530134944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-12046</v>
      </c>
      <c r="G51" s="38">
        <f>'EAST-LRC-GL'!E51</f>
        <v>-49258.86</v>
      </c>
      <c r="H51" s="60">
        <f>F51-D51</f>
        <v>-12046</v>
      </c>
      <c r="I51" s="38">
        <f>G51-E51</f>
        <v>-49258.86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-197508</v>
      </c>
      <c r="G54" s="38">
        <f>'EAST-LRC-GL'!E54</f>
        <v>-925.23999999999978</v>
      </c>
      <c r="H54" s="60">
        <f>F54-D54</f>
        <v>-197508</v>
      </c>
      <c r="I54" s="38">
        <f>G54-E54</f>
        <v>-925.23999999999978</v>
      </c>
    </row>
    <row r="55" spans="1:9" x14ac:dyDescent="0.25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37935</v>
      </c>
      <c r="G55" s="38">
        <f>'EAST-LRC-GL'!E55</f>
        <v>0</v>
      </c>
      <c r="H55" s="60">
        <f>F55-D55</f>
        <v>37935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-159573</v>
      </c>
      <c r="G56" s="39">
        <f t="shared" si="10"/>
        <v>-925.23999999999978</v>
      </c>
      <c r="H56" s="61">
        <f t="shared" si="10"/>
        <v>-159573</v>
      </c>
      <c r="I56" s="39">
        <f t="shared" si="10"/>
        <v>-925.23999999999978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3174494</v>
      </c>
      <c r="G59" s="38">
        <f>'EAST-LRC-GL'!E59</f>
        <v>67388.78</v>
      </c>
      <c r="H59" s="60">
        <f>F59-D59</f>
        <v>3174494</v>
      </c>
      <c r="I59" s="38">
        <f>G59-E59</f>
        <v>67388.78</v>
      </c>
    </row>
    <row r="60" spans="1:9" x14ac:dyDescent="0.25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82694.345000000001</v>
      </c>
      <c r="F60" s="60">
        <f>'EAST-LRC-GL'!D60</f>
        <v>32427</v>
      </c>
      <c r="G60" s="38">
        <f>'EAST-LRC-GL'!E60</f>
        <v>170000</v>
      </c>
      <c r="H60" s="60">
        <f>F60-D60</f>
        <v>32427</v>
      </c>
      <c r="I60" s="38">
        <f>G60-E60</f>
        <v>87305.654999999999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82694.345000000001</v>
      </c>
      <c r="F61" s="69">
        <f t="shared" si="11"/>
        <v>3206921</v>
      </c>
      <c r="G61" s="70">
        <f t="shared" si="11"/>
        <v>237388.78</v>
      </c>
      <c r="H61" s="69">
        <f t="shared" si="11"/>
        <v>3206921</v>
      </c>
      <c r="I61" s="70">
        <f t="shared" si="11"/>
        <v>154694.435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-18492818</v>
      </c>
      <c r="G64" s="38">
        <f>'EAST-LRC-GL'!E64</f>
        <v>-2364200.5</v>
      </c>
      <c r="H64" s="60">
        <f>F64-D64</f>
        <v>-18492818</v>
      </c>
      <c r="I64" s="38">
        <f>G64-E64</f>
        <v>-2364200.5</v>
      </c>
    </row>
    <row r="65" spans="1:9" x14ac:dyDescent="0.25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18633111</v>
      </c>
      <c r="G65" s="38">
        <f>'EAST-LRC-GL'!E65</f>
        <v>2363076.84</v>
      </c>
      <c r="H65" s="60">
        <f>F65-D65</f>
        <v>18633111</v>
      </c>
      <c r="I65" s="38">
        <f>G65-E65</f>
        <v>2363076.84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140293</v>
      </c>
      <c r="G66" s="39">
        <f t="shared" si="12"/>
        <v>-1123.660000000149</v>
      </c>
      <c r="H66" s="61">
        <f t="shared" si="12"/>
        <v>140293</v>
      </c>
      <c r="I66" s="39">
        <f t="shared" si="12"/>
        <v>-1123.660000000149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-4449311.1615377134</v>
      </c>
      <c r="F82" s="71">
        <f>F16+F24+F29+F36+F43+F45+F47+F49</f>
        <v>0</v>
      </c>
      <c r="G82" s="72">
        <f>SUM(G72:G81)+G16+G24+G29+G36+G43+G45+G47+G49+G51+G56+G61+G66</f>
        <v>-186220.63099999595</v>
      </c>
      <c r="H82" s="71">
        <f>H16+H24+H29+H36+H43+H45+H47+H49</f>
        <v>60000</v>
      </c>
      <c r="I82" s="72">
        <f>SUM(I72:I81)+I16+I24+I29+I36+I43+I45+I47+I49+I51+I56+I61+I66</f>
        <v>4263090.5305377124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'EAST-CON-FLSH'!L11</f>
        <v>101428083</v>
      </c>
      <c r="E11" s="66">
        <f>'EAST-CON-FLSH'!M11</f>
        <v>266979184</v>
      </c>
      <c r="F11" s="60">
        <f>'EAST-CON-GL '!D11</f>
        <v>92836845</v>
      </c>
      <c r="G11" s="38">
        <f>'EAST-CON-GL '!E11</f>
        <v>243118924.13000003</v>
      </c>
      <c r="H11" s="60">
        <f>F11-D11</f>
        <v>-8591238</v>
      </c>
      <c r="I11" s="38">
        <f>G11-E11</f>
        <v>-23860259.869999975</v>
      </c>
    </row>
    <row r="12" spans="1:22" x14ac:dyDescent="0.25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-1016965.7</v>
      </c>
      <c r="H12" s="60">
        <f>F12-D12</f>
        <v>0</v>
      </c>
      <c r="I12" s="38">
        <f>G12-E12</f>
        <v>-1016965.7</v>
      </c>
    </row>
    <row r="13" spans="1:22" x14ac:dyDescent="0.25">
      <c r="A13" s="9">
        <v>3</v>
      </c>
      <c r="B13" s="7"/>
      <c r="C13" s="18" t="s">
        <v>27</v>
      </c>
      <c r="D13" s="65">
        <f>'EAST-CON-FLSH'!L13</f>
        <v>33152422</v>
      </c>
      <c r="E13" s="66">
        <f>'EAST-CON-FLSH'!M13</f>
        <v>89903041</v>
      </c>
      <c r="F13" s="60">
        <f>'EAST-CON-GL '!D13</f>
        <v>6809439</v>
      </c>
      <c r="G13" s="38">
        <f>'EAST-CON-GL '!E13</f>
        <v>17968977</v>
      </c>
      <c r="H13" s="60">
        <f t="shared" ref="H13:I15" si="0">F13-D13</f>
        <v>-26342983</v>
      </c>
      <c r="I13" s="38">
        <f t="shared" si="0"/>
        <v>-71934064</v>
      </c>
    </row>
    <row r="14" spans="1:22" x14ac:dyDescent="0.25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-48849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48849</v>
      </c>
    </row>
    <row r="15" spans="1:22" x14ac:dyDescent="0.25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1141174.75</v>
      </c>
      <c r="H15" s="60">
        <f t="shared" si="0"/>
        <v>0</v>
      </c>
      <c r="I15" s="38">
        <f t="shared" si="0"/>
        <v>1141174.75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134580505</v>
      </c>
      <c r="E16" s="39">
        <f t="shared" si="1"/>
        <v>356833376</v>
      </c>
      <c r="F16" s="61">
        <f t="shared" si="1"/>
        <v>99646284</v>
      </c>
      <c r="G16" s="39">
        <f t="shared" si="1"/>
        <v>261212110.18000004</v>
      </c>
      <c r="H16" s="61">
        <f t="shared" si="1"/>
        <v>-34934221</v>
      </c>
      <c r="I16" s="39">
        <f t="shared" si="1"/>
        <v>-95621265.819999978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'EAST-CON-FLSH'!L19</f>
        <v>-106337835</v>
      </c>
      <c r="E19" s="66">
        <f>'EAST-CON-FLSH'!M19</f>
        <v>-275383527</v>
      </c>
      <c r="F19" s="60">
        <f>'EAST-CON-GL '!D19</f>
        <v>-97312629</v>
      </c>
      <c r="G19" s="38">
        <f>'EAST-CON-GL '!E19</f>
        <v>-251237204.01999998</v>
      </c>
      <c r="H19" s="60">
        <f>F19-D19</f>
        <v>9025206</v>
      </c>
      <c r="I19" s="38">
        <f>G19-E19</f>
        <v>24146322.980000019</v>
      </c>
    </row>
    <row r="20" spans="1:9" x14ac:dyDescent="0.25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5">
      <c r="A21" s="9">
        <v>8</v>
      </c>
      <c r="B21" s="7"/>
      <c r="C21" s="18" t="s">
        <v>27</v>
      </c>
      <c r="D21" s="65">
        <f>'EAST-CON-FLSH'!L21</f>
        <v>-28969984</v>
      </c>
      <c r="E21" s="66">
        <f>'EAST-CON-FLSH'!M21</f>
        <v>-79302833</v>
      </c>
      <c r="F21" s="60">
        <f>'EAST-CON-GL '!D21</f>
        <v>-2656950</v>
      </c>
      <c r="G21" s="38">
        <f>'EAST-CON-GL '!E21</f>
        <v>-7303370</v>
      </c>
      <c r="H21" s="60">
        <f t="shared" ref="H21:I23" si="2">F21-D21</f>
        <v>26313034</v>
      </c>
      <c r="I21" s="38">
        <f t="shared" si="2"/>
        <v>71999463</v>
      </c>
    </row>
    <row r="22" spans="1:9" x14ac:dyDescent="0.25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'EAST-CON-FLSH'!L23</f>
        <v>196509</v>
      </c>
      <c r="E23" s="66">
        <f>'EAST-CON-FLSH'!M23</f>
        <v>522991</v>
      </c>
      <c r="F23" s="60">
        <f>'EAST-CON-GL '!D23</f>
        <v>172915</v>
      </c>
      <c r="G23" s="38">
        <f>'EAST-CON-GL '!E23</f>
        <v>1656669.3160000001</v>
      </c>
      <c r="H23" s="60">
        <f t="shared" si="2"/>
        <v>-23594</v>
      </c>
      <c r="I23" s="38">
        <f t="shared" si="2"/>
        <v>1133678.3160000001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-135111310</v>
      </c>
      <c r="E24" s="39">
        <f t="shared" si="3"/>
        <v>-354163369</v>
      </c>
      <c r="F24" s="61">
        <f t="shared" si="3"/>
        <v>-99796664</v>
      </c>
      <c r="G24" s="39">
        <f t="shared" si="3"/>
        <v>-257048913.59399995</v>
      </c>
      <c r="H24" s="61">
        <f t="shared" si="3"/>
        <v>35314646</v>
      </c>
      <c r="I24" s="39">
        <f t="shared" si="3"/>
        <v>97114455.406000018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10382127</v>
      </c>
      <c r="G27" s="38">
        <f>'EAST-CON-GL '!E27</f>
        <v>27739208.309999999</v>
      </c>
      <c r="H27" s="60">
        <f>F27-D27</f>
        <v>10382127</v>
      </c>
      <c r="I27" s="38">
        <f>G27-E27</f>
        <v>27739208.309999999</v>
      </c>
    </row>
    <row r="28" spans="1:9" x14ac:dyDescent="0.25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-10684783</v>
      </c>
      <c r="G28" s="38">
        <f>'EAST-CON-GL '!E28</f>
        <v>-28624317.879999999</v>
      </c>
      <c r="H28" s="60">
        <f>F28-D28</f>
        <v>-10684783</v>
      </c>
      <c r="I28" s="38">
        <f>G28-E28</f>
        <v>-28624317.879999999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-302656</v>
      </c>
      <c r="G29" s="70">
        <f t="shared" si="4"/>
        <v>-885109.5700000003</v>
      </c>
      <c r="H29" s="69">
        <f t="shared" si="4"/>
        <v>-302656</v>
      </c>
      <c r="I29" s="70">
        <f t="shared" si="4"/>
        <v>-885109.5700000003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'EAST-CON-FLSH'!L32</f>
        <v>-4834</v>
      </c>
      <c r="E32" s="66">
        <f>'EAST-CON-FLSH'!M32</f>
        <v>-39152</v>
      </c>
      <c r="F32" s="60">
        <f>'EAST-CON-GL '!D32</f>
        <v>239819</v>
      </c>
      <c r="G32" s="38">
        <f>'EAST-CON-GL '!E32</f>
        <v>609380.07899999933</v>
      </c>
      <c r="H32" s="60">
        <f>F32-D32</f>
        <v>244653</v>
      </c>
      <c r="I32" s="38">
        <f>G32-E32</f>
        <v>648532.07899999933</v>
      </c>
    </row>
    <row r="33" spans="1:9" x14ac:dyDescent="0.25">
      <c r="A33" s="9">
        <v>14</v>
      </c>
      <c r="B33" s="7"/>
      <c r="C33" s="18" t="s">
        <v>40</v>
      </c>
      <c r="D33" s="65">
        <f>'EAST-CON-FLSH'!L33</f>
        <v>466620</v>
      </c>
      <c r="E33" s="66">
        <f>'EAST-CON-FLSH'!M33</f>
        <v>1139339</v>
      </c>
      <c r="F33" s="60">
        <f>'EAST-CON-GL '!D33</f>
        <v>-289662</v>
      </c>
      <c r="G33" s="38">
        <f>'EAST-CON-GL '!E33</f>
        <v>-813186.58999999985</v>
      </c>
      <c r="H33" s="60">
        <f t="shared" ref="H33:I35" si="5">F33-D33</f>
        <v>-756282</v>
      </c>
      <c r="I33" s="38">
        <f t="shared" si="5"/>
        <v>-1952525.5899999999</v>
      </c>
    </row>
    <row r="34" spans="1:9" x14ac:dyDescent="0.25">
      <c r="A34" s="9">
        <v>15</v>
      </c>
      <c r="B34" s="7"/>
      <c r="C34" s="18" t="s">
        <v>41</v>
      </c>
      <c r="D34" s="65">
        <f>'EAST-CON-FLSH'!L34</f>
        <v>-600495</v>
      </c>
      <c r="E34" s="66">
        <f>'EAST-CON-FLSH'!M34</f>
        <v>-1463229</v>
      </c>
      <c r="F34" s="60">
        <f>'EAST-CON-GL '!D34</f>
        <v>63281</v>
      </c>
      <c r="G34" s="38">
        <f>'EAST-CON-GL '!E34</f>
        <v>169730.25999999998</v>
      </c>
      <c r="H34" s="60">
        <f t="shared" si="5"/>
        <v>663776</v>
      </c>
      <c r="I34" s="38">
        <f t="shared" si="5"/>
        <v>1632959.26</v>
      </c>
    </row>
    <row r="35" spans="1:9" x14ac:dyDescent="0.25">
      <c r="A35" s="9">
        <v>16</v>
      </c>
      <c r="B35" s="7"/>
      <c r="C35" s="18" t="s">
        <v>42</v>
      </c>
      <c r="D35" s="65">
        <f>'EAST-CON-FLSH'!L35</f>
        <v>643159</v>
      </c>
      <c r="E35" s="66">
        <f>'EAST-CON-FLSH'!M35</f>
        <v>159553</v>
      </c>
      <c r="F35" s="60">
        <f>'EAST-CON-GL '!D35</f>
        <v>643159</v>
      </c>
      <c r="G35" s="38">
        <f>'EAST-CON-GL '!E35</f>
        <v>-126950</v>
      </c>
      <c r="H35" s="60">
        <f t="shared" si="5"/>
        <v>0</v>
      </c>
      <c r="I35" s="38">
        <f t="shared" si="5"/>
        <v>-286503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656597</v>
      </c>
      <c r="G36" s="39">
        <f t="shared" si="6"/>
        <v>-161026.25100000054</v>
      </c>
      <c r="H36" s="61">
        <f t="shared" si="6"/>
        <v>152147</v>
      </c>
      <c r="I36" s="39">
        <f t="shared" si="6"/>
        <v>42462.748999999603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'EAST-CON-FLSH'!L39</f>
        <v>360656</v>
      </c>
      <c r="E39" s="66">
        <f>'EAST-CON-FLSH'!M39</f>
        <v>919674</v>
      </c>
      <c r="F39" s="60">
        <f>'EAST-CON-GL '!D39</f>
        <v>13848</v>
      </c>
      <c r="G39" s="38">
        <f>'EAST-CON-GL '!E39</f>
        <v>-546311.43999999994</v>
      </c>
      <c r="H39" s="60">
        <f t="shared" ref="H39:I41" si="7">F39-D39</f>
        <v>-346808</v>
      </c>
      <c r="I39" s="38">
        <f t="shared" si="7"/>
        <v>-1465985.44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'EAST-CON-FLSH'!L40</f>
        <v>-622365</v>
      </c>
      <c r="E40" s="66">
        <f>'EAST-CON-FLSH'!M40</f>
        <v>-1587032</v>
      </c>
      <c r="F40" s="60">
        <f>'EAST-CON-GL '!D40</f>
        <v>-683116</v>
      </c>
      <c r="G40" s="38">
        <f>'EAST-CON-GL '!E40</f>
        <v>-1314192.57</v>
      </c>
      <c r="H40" s="60">
        <f t="shared" si="7"/>
        <v>-60751</v>
      </c>
      <c r="I40" s="38">
        <f t="shared" si="7"/>
        <v>272839.42999999993</v>
      </c>
    </row>
    <row r="41" spans="1:9" x14ac:dyDescent="0.25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-683116</v>
      </c>
      <c r="G42" s="70">
        <f t="shared" si="8"/>
        <v>-1314192.57</v>
      </c>
      <c r="H42" s="69">
        <f t="shared" si="8"/>
        <v>-60751</v>
      </c>
      <c r="I42" s="70">
        <f t="shared" si="8"/>
        <v>272839.42999999993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-261709</v>
      </c>
      <c r="E43" s="39">
        <f t="shared" si="9"/>
        <v>-667358</v>
      </c>
      <c r="F43" s="61">
        <f t="shared" si="9"/>
        <v>-669268</v>
      </c>
      <c r="G43" s="39">
        <f t="shared" si="9"/>
        <v>-1860504.01</v>
      </c>
      <c r="H43" s="61">
        <f t="shared" si="9"/>
        <v>-407559</v>
      </c>
      <c r="I43" s="39">
        <f t="shared" si="9"/>
        <v>-1193146.01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168</v>
      </c>
      <c r="G45" s="38">
        <f>'EAST-CON-GL 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'EAST-CON-FLSH'!L49</f>
        <v>288064</v>
      </c>
      <c r="E49" s="66">
        <f>'EAST-CON-FLSH'!M49</f>
        <v>731979.69893333036</v>
      </c>
      <c r="F49" s="60">
        <f>'EAST-CON-GL '!D49</f>
        <v>465539</v>
      </c>
      <c r="G49" s="38">
        <f>'EAST-CON-GL '!E49</f>
        <v>1182934.5939999986</v>
      </c>
      <c r="H49" s="60">
        <f>F49-D49</f>
        <v>177475</v>
      </c>
      <c r="I49" s="38">
        <f>G49-E49</f>
        <v>450954.89506666828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'EAST-CON-FLSH'!L51</f>
        <v>-196509</v>
      </c>
      <c r="E51" s="66">
        <f>'EAST-CON-FLSH'!M51</f>
        <v>-522991</v>
      </c>
      <c r="F51" s="60">
        <f>'EAST-CON-GL '!D51</f>
        <v>-685992</v>
      </c>
      <c r="G51" s="38">
        <f>'EAST-CON-GL '!E51</f>
        <v>-1761755.6460000002</v>
      </c>
      <c r="H51" s="60">
        <f>F51-D51</f>
        <v>-489483</v>
      </c>
      <c r="I51" s="38">
        <f>G51-E51</f>
        <v>-1238764.6460000002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-585583</v>
      </c>
      <c r="F54" s="60">
        <f>'EAST-CON-GL '!D54</f>
        <v>-67014377</v>
      </c>
      <c r="G54" s="38">
        <f>'EAST-CON-GL '!E54</f>
        <v>-673569.89999999991</v>
      </c>
      <c r="H54" s="60">
        <f>F54-D54</f>
        <v>-67014377</v>
      </c>
      <c r="I54" s="38">
        <f>G54-E54</f>
        <v>-87986.899999999907</v>
      </c>
    </row>
    <row r="55" spans="1:9" x14ac:dyDescent="0.25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-554171</v>
      </c>
      <c r="F55" s="60">
        <f>'EAST-CON-GL '!D55</f>
        <v>37935</v>
      </c>
      <c r="G55" s="38">
        <f>'EAST-CON-GL '!E55</f>
        <v>-1182485.1499999997</v>
      </c>
      <c r="H55" s="60">
        <f>F55-D55</f>
        <v>37935</v>
      </c>
      <c r="I55" s="38">
        <f>G55-E55</f>
        <v>-628314.14999999967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-66976442</v>
      </c>
      <c r="G56" s="39">
        <f t="shared" si="10"/>
        <v>-1856055.0499999996</v>
      </c>
      <c r="H56" s="61">
        <f t="shared" si="10"/>
        <v>-66976442</v>
      </c>
      <c r="I56" s="39">
        <f t="shared" si="10"/>
        <v>-716301.04999999958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3174494</v>
      </c>
      <c r="G59" s="38">
        <f>'EAST-CON-GL '!E59</f>
        <v>116886.92000000001</v>
      </c>
      <c r="H59" s="60">
        <f>F59-D59</f>
        <v>3174494</v>
      </c>
      <c r="I59" s="38">
        <f>G59-E59</f>
        <v>116886.92000000001</v>
      </c>
    </row>
    <row r="60" spans="1:9" x14ac:dyDescent="0.25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32427</v>
      </c>
      <c r="G60" s="38">
        <f>'EAST-CON-GL '!E60</f>
        <v>170000</v>
      </c>
      <c r="H60" s="60">
        <f>F60-D60</f>
        <v>32427</v>
      </c>
      <c r="I60" s="38">
        <f>G60-E60</f>
        <v>170000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3206921</v>
      </c>
      <c r="G61" s="70">
        <f t="shared" si="11"/>
        <v>286886.92000000004</v>
      </c>
      <c r="H61" s="69">
        <f t="shared" si="11"/>
        <v>3206921</v>
      </c>
      <c r="I61" s="70">
        <f t="shared" si="11"/>
        <v>286886.92000000004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-18472144</v>
      </c>
      <c r="G64" s="38">
        <f>'EAST-CON-GL '!E64</f>
        <v>-2361014.1799999997</v>
      </c>
      <c r="H64" s="60">
        <f>F64-D64</f>
        <v>-18472144</v>
      </c>
      <c r="I64" s="38">
        <f>G64-E64</f>
        <v>-2403958.1799999997</v>
      </c>
    </row>
    <row r="65" spans="1:9" x14ac:dyDescent="0.25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18612437</v>
      </c>
      <c r="G65" s="38">
        <f>'EAST-CON-GL '!E65</f>
        <v>2361014.17</v>
      </c>
      <c r="H65" s="60">
        <f>F65-D65</f>
        <v>18612437</v>
      </c>
      <c r="I65" s="38">
        <f>G65-E65</f>
        <v>2361014.17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-9.9999997764825821E-3</v>
      </c>
      <c r="H66" s="61">
        <f t="shared" si="12"/>
        <v>140293</v>
      </c>
      <c r="I66" s="39">
        <f t="shared" si="12"/>
        <v>-42944.009999999776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6851832</v>
      </c>
      <c r="F70" s="60">
        <f>'EAST-CON-GL '!D70</f>
        <v>0</v>
      </c>
      <c r="G70" s="38">
        <f>'EAST-CON-GL '!E70</f>
        <v>6851832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-7144979.9500000002</v>
      </c>
      <c r="F71" s="60">
        <f>'EAST-CON-GL '!D71</f>
        <v>0</v>
      </c>
      <c r="G71" s="38">
        <f>'EAST-CON-GL '!E71</f>
        <v>-7144978.9500000002</v>
      </c>
      <c r="H71" s="60">
        <f>F71-D71</f>
        <v>0</v>
      </c>
      <c r="I71" s="38">
        <f>G71-E71</f>
        <v>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5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2808598</v>
      </c>
      <c r="F74" s="60">
        <f>'EAST-CON-GL '!D74</f>
        <v>0</v>
      </c>
      <c r="G74" s="38">
        <f>'EAST-CON-GL 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5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8103</v>
      </c>
      <c r="F75" s="60">
        <f>'EAST-CON-GL '!D75</f>
        <v>0</v>
      </c>
      <c r="G75" s="38">
        <f>'EAST-CON-GL '!E75</f>
        <v>8100</v>
      </c>
      <c r="H75" s="60">
        <f t="shared" si="14"/>
        <v>0</v>
      </c>
      <c r="I75" s="38">
        <f t="shared" si="14"/>
        <v>-3</v>
      </c>
    </row>
    <row r="76" spans="1:9" x14ac:dyDescent="0.25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-15088</v>
      </c>
      <c r="F76" s="60">
        <f>'EAST-CON-GL '!D76</f>
        <v>0</v>
      </c>
      <c r="G76" s="38">
        <f>'EAST-CON-GL 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5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5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36312</v>
      </c>
      <c r="F81" s="60">
        <f>'EAST-CON-GL '!D81</f>
        <v>0</v>
      </c>
      <c r="G81" s="38">
        <f>'EAST-CON-GL '!E81</f>
        <v>-9.9999999983992893E-2</v>
      </c>
      <c r="H81" s="60">
        <f>F81-D81</f>
        <v>0</v>
      </c>
      <c r="I81" s="38">
        <f>G81-E81</f>
        <v>-36312.099999999984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-453169.30606666487</v>
      </c>
      <c r="F82" s="109">
        <f>F16+F24+F29+F36+F43+F45+F47+F49</f>
        <v>0</v>
      </c>
      <c r="G82" s="110">
        <f>SUM(G72:G81)+G16+G24+G29+G36+G43+G45+G47+G49+G51+G56+G61+G66</f>
        <v>-1752321.5769999167</v>
      </c>
      <c r="H82" s="109">
        <f>H16+H24+H29+H36+H43+H45+H47+H49</f>
        <v>0</v>
      </c>
      <c r="I82" s="110">
        <f>SUM(I72:I81)+I16+I24+I29+I36+I43+I45+I47+I49+I51+I56+I61+I66</f>
        <v>-1299152.2709332965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'EAST-CON-FLSH'!L86</f>
        <v>0</v>
      </c>
      <c r="E86" s="169">
        <f>'EAST-CON-FLSH'!M86</f>
        <v>206810</v>
      </c>
      <c r="F86" s="169">
        <f>'EAST-CON-GL '!D86</f>
        <v>0</v>
      </c>
      <c r="G86" s="169">
        <f>'EAST-CON-GL 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5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'EAST-CON-FLSH'!L88</f>
        <v>0</v>
      </c>
      <c r="E88" s="171">
        <f>'EAST-CON-FLSH'!M88</f>
        <v>0</v>
      </c>
      <c r="F88" s="171">
        <f>'EAST-CON-GL '!D88</f>
        <v>0</v>
      </c>
      <c r="G88" s="171">
        <f>'EAST-CON-GL '!E88</f>
        <v>0</v>
      </c>
      <c r="H88" s="171">
        <f t="shared" si="15"/>
        <v>0</v>
      </c>
      <c r="I88" s="171">
        <f t="shared" si="15"/>
        <v>0</v>
      </c>
    </row>
    <row r="89" spans="1:63" ht="15" x14ac:dyDescent="0.25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206810</v>
      </c>
      <c r="F89" s="179">
        <f t="shared" si="16"/>
        <v>0</v>
      </c>
      <c r="G89" s="179">
        <f t="shared" si="16"/>
        <v>206809</v>
      </c>
      <c r="H89" s="179">
        <f t="shared" si="16"/>
        <v>0</v>
      </c>
      <c r="I89" s="179">
        <f t="shared" si="16"/>
        <v>-1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-246359.30606666487</v>
      </c>
      <c r="F91" s="184">
        <f t="shared" si="17"/>
        <v>0</v>
      </c>
      <c r="G91" s="184">
        <f t="shared" si="17"/>
        <v>-1545512.5769999167</v>
      </c>
      <c r="H91" s="184">
        <f t="shared" si="17"/>
        <v>0</v>
      </c>
      <c r="I91" s="184">
        <f t="shared" si="17"/>
        <v>-1299153.2709332965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88"/>
      <c r="B94" s="189"/>
      <c r="D94" s="31"/>
      <c r="E94" s="14">
        <f>+'EAST-EGM-VAR'!E91+'EAST-LRC-VAR'!E82</f>
        <v>-246359.30606670585</v>
      </c>
      <c r="G94" s="14">
        <f>+'EAST-EGM-VAR'!G91+'EAST-LRC-VAR'!G82</f>
        <v>-1546636.2269999376</v>
      </c>
      <c r="I94" s="14">
        <f>+'EAST-EGM-VAR'!I91+'EAST-LRC-VAR'!I82</f>
        <v>-1300276.9209332811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U10" activePane="bottomRight" state="frozen"/>
      <selection activeCell="G20" sqref="G20"/>
      <selection pane="topRight" activeCell="G20" sqref="G20"/>
      <selection pane="bottomLeft" activeCell="G20" sqref="G20"/>
      <selection pane="bottomRight" activeCell="C4" sqref="C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9" width="15" customWidth="1"/>
  </cols>
  <sheetData>
    <row r="1" spans="1:29" x14ac:dyDescent="0.25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5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5">
      <c r="A5" s="48" t="str">
        <f>Check!A5</f>
        <v>PRODUCTION MONTH: 9910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5">
      <c r="A7" s="4"/>
      <c r="B7" s="19"/>
      <c r="C7" s="19"/>
    </row>
    <row r="8" spans="1:29" x14ac:dyDescent="0.25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182</v>
      </c>
      <c r="Q8" s="27"/>
      <c r="R8" s="26" t="s">
        <v>16</v>
      </c>
      <c r="S8" s="27"/>
      <c r="T8" s="26" t="s">
        <v>183</v>
      </c>
      <c r="U8" s="27"/>
      <c r="V8" s="26" t="s">
        <v>18</v>
      </c>
      <c r="W8" s="27"/>
      <c r="X8" s="26" t="s">
        <v>158</v>
      </c>
      <c r="Y8" s="27"/>
      <c r="Z8" s="26" t="s">
        <v>190</v>
      </c>
      <c r="AA8" s="27"/>
      <c r="AB8" s="26" t="s">
        <v>113</v>
      </c>
      <c r="AC8" s="27"/>
    </row>
    <row r="9" spans="1:29" s="80" customFormat="1" x14ac:dyDescent="0.25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5">
      <c r="A11" s="9">
        <v>1</v>
      </c>
      <c r="B11" s="7"/>
      <c r="C11" s="18" t="s">
        <v>25</v>
      </c>
      <c r="D11" s="66">
        <f t="shared" ref="D11:E15" si="0">F11+H11+J11+L11+N11+P11+R11+V11+X11+AB11+Z11+T11</f>
        <v>0</v>
      </c>
      <c r="E11" s="66">
        <f t="shared" si="0"/>
        <v>-506461</v>
      </c>
      <c r="F11" s="60"/>
      <c r="G11" s="38">
        <v>0</v>
      </c>
      <c r="H11" s="60"/>
      <c r="I11" s="38">
        <f>-698599+1322539-1732900-55909</f>
        <v>-1164869</v>
      </c>
      <c r="J11" s="60"/>
      <c r="K11" s="38"/>
      <c r="L11" s="60"/>
      <c r="M11" s="38"/>
      <c r="N11" s="60"/>
      <c r="O11" s="38">
        <f>-1230743+791434</f>
        <v>-439309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v>698599</v>
      </c>
      <c r="AB11" s="60"/>
      <c r="AC11" s="38">
        <f>-10401862+14184173-3707170+352119-28142</f>
        <v>399118</v>
      </c>
    </row>
    <row r="12" spans="1:29" x14ac:dyDescent="0.25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-3995688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0</v>
      </c>
      <c r="V12" s="60"/>
      <c r="W12" s="38">
        <v>-71058</v>
      </c>
      <c r="X12" s="60"/>
      <c r="Y12" s="38"/>
      <c r="Z12" s="60"/>
      <c r="AA12" s="38">
        <v>-3924630</v>
      </c>
      <c r="AB12" s="60"/>
      <c r="AC12" s="38"/>
    </row>
    <row r="13" spans="1:29" x14ac:dyDescent="0.25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5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5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-4933609</v>
      </c>
      <c r="F15" s="60"/>
      <c r="G15" s="38">
        <v>0</v>
      </c>
      <c r="H15" s="60"/>
      <c r="I15" s="38">
        <f>698599-1322539+55909</f>
        <v>-568031</v>
      </c>
      <c r="J15" s="60"/>
      <c r="K15" s="38"/>
      <c r="L15" s="60"/>
      <c r="M15" s="38"/>
      <c r="N15" s="60"/>
      <c r="O15" s="38">
        <f>1230743-791434</f>
        <v>439309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v>-698599</v>
      </c>
      <c r="AB15" s="60"/>
      <c r="AC15" s="38">
        <f>10401862-14184173-352119+28142</f>
        <v>-4106288</v>
      </c>
    </row>
    <row r="16" spans="1:29" x14ac:dyDescent="0.25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-9435758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-1732900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 t="shared" si="2"/>
        <v>0</v>
      </c>
      <c r="W16" s="39">
        <f t="shared" si="2"/>
        <v>-71058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-3924630</v>
      </c>
      <c r="AB16" s="61">
        <f t="shared" si="2"/>
        <v>0</v>
      </c>
      <c r="AC16" s="39">
        <f t="shared" si="2"/>
        <v>-3707170</v>
      </c>
    </row>
    <row r="17" spans="1:2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5">
      <c r="A19" s="9">
        <v>6</v>
      </c>
      <c r="B19" s="7"/>
      <c r="C19" s="18" t="s">
        <v>25</v>
      </c>
      <c r="D19" s="66">
        <f t="shared" ref="D19:E23" si="3">F19+H19+J19+L19+N19+P19+R19+V19+X19+AB19+Z19+T19</f>
        <v>0</v>
      </c>
      <c r="E19" s="66">
        <f t="shared" si="3"/>
        <v>4079104</v>
      </c>
      <c r="F19" s="60"/>
      <c r="G19" s="38">
        <v>0</v>
      </c>
      <c r="H19" s="60"/>
      <c r="I19" s="38">
        <f>-562-13425-42192</f>
        <v>-56179</v>
      </c>
      <c r="J19" s="60"/>
      <c r="K19" s="38"/>
      <c r="L19" s="60"/>
      <c r="M19" s="38"/>
      <c r="N19" s="60"/>
      <c r="O19" s="38">
        <f>914611-486498</f>
        <v>428113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3707170</f>
        <v>3707170</v>
      </c>
    </row>
    <row r="20" spans="1:29" x14ac:dyDescent="0.25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5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5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5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5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4079104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-56179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428113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3707170</v>
      </c>
    </row>
    <row r="25" spans="1:2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5">
      <c r="A27" s="9">
        <v>11</v>
      </c>
      <c r="B27" s="7"/>
      <c r="C27" s="18" t="s">
        <v>35</v>
      </c>
      <c r="D27" s="66">
        <f>F27+H27+J27+L27+N27+P27+R27+V27+X27+AB27+Z27+T27</f>
        <v>0</v>
      </c>
      <c r="E27" s="66">
        <f>G27+I27+K27+M27+O27+Q27+S27+W27+Y27+AC27+AA27+U27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5">
      <c r="A28" s="9">
        <v>12</v>
      </c>
      <c r="B28" s="7"/>
      <c r="C28" s="18" t="s">
        <v>36</v>
      </c>
      <c r="D28" s="66">
        <f>F28+H28+J28+L28+N28+P28+R28+V28+X28+AB28+Z28+T28</f>
        <v>0</v>
      </c>
      <c r="E28" s="66">
        <f>G28+I28+K28+M28+O28+Q28+S28+W28+Y28+AC28+AA28+U28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5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5">
      <c r="A32" s="9">
        <v>13</v>
      </c>
      <c r="B32" s="7"/>
      <c r="C32" s="18" t="s">
        <v>39</v>
      </c>
      <c r="D32" s="66">
        <f t="shared" ref="D32:E35" si="8">F32+H32+J32+L32+N32+P32+R32+V32+X32+AB32+Z32+T32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5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5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5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1605950</v>
      </c>
      <c r="F35" s="60"/>
      <c r="G35" s="38"/>
      <c r="H35" s="60"/>
      <c r="I35" s="38">
        <v>-126950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>
        <v>1732900</v>
      </c>
    </row>
    <row r="36" spans="1:29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1605950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5">
      <c r="A39" s="9">
        <v>17</v>
      </c>
      <c r="B39" s="7"/>
      <c r="C39" s="18" t="s">
        <v>45</v>
      </c>
      <c r="D39" s="66">
        <f t="shared" ref="D39:E41" si="11">F39+H39+J39+L39+N39+P39+R39+V39+X39+AB39+Z39+T39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5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5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</row>
    <row r="42" spans="1:29" x14ac:dyDescent="0.25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5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5">
      <c r="A45" s="9">
        <v>20</v>
      </c>
      <c r="B45" s="11" t="s">
        <v>50</v>
      </c>
      <c r="C45" s="6"/>
      <c r="D45" s="66">
        <f>F45+H45+J45+L45+N45+P45+R45+V45+X45+AB45+Z45+T45</f>
        <v>0</v>
      </c>
      <c r="E45" s="66">
        <f>G45+I45+K45+M45+O45+Q45+S45+W45+Y45+AC45+AA45+U45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5">
      <c r="A47" s="9">
        <v>21</v>
      </c>
      <c r="B47" s="11" t="s">
        <v>51</v>
      </c>
      <c r="C47" s="6"/>
      <c r="D47" s="66">
        <f>F47+H47+J47+L47+N47+P47+R47+V47+X47+AB47+Z47+T47</f>
        <v>0</v>
      </c>
      <c r="E47" s="66">
        <f>G47+I47+K47+M47+O47+Q47+S47+W47+Y47+AC47+AA47+U47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5">
      <c r="A49" s="9">
        <v>22</v>
      </c>
      <c r="B49" s="11" t="s">
        <v>52</v>
      </c>
      <c r="C49" s="6"/>
      <c r="D49" s="66">
        <f>F49+H49+J49+L49+N49+P49+R49+V49+X49+AB49+Z49+T49</f>
        <v>0</v>
      </c>
      <c r="E49" s="66">
        <f>G49+I49+K49+M49+O49+Q49+S49+W49+Y49+AC49+AA49+U49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5">
      <c r="A51" s="9">
        <v>23</v>
      </c>
      <c r="B51" s="11" t="s">
        <v>53</v>
      </c>
      <c r="C51" s="6"/>
      <c r="D51" s="66">
        <f>F51+H51+J51+L51+N51+P51+R51+V51+X51+AB51+Z51+T51</f>
        <v>0</v>
      </c>
      <c r="E51" s="66">
        <f>G51+I51+K51+M51+O51+Q51+S51+W51+Y51+AC51+AA51+U51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5">
      <c r="A54" s="9">
        <v>24</v>
      </c>
      <c r="B54" s="7"/>
      <c r="C54" s="18" t="s">
        <v>55</v>
      </c>
      <c r="D54" s="66">
        <f>F54+H54+J54+L54+N54+P54+R54+V54+X54+AB54+Z54+T54</f>
        <v>0</v>
      </c>
      <c r="E54" s="66">
        <f>G54+I54+K54+M54+O54+Q54+S54+W54+Y54+AC54+AA54+U54</f>
        <v>307632</v>
      </c>
      <c r="F54" s="60"/>
      <c r="G54" s="38">
        <f>31074-573899</f>
        <v>-542825</v>
      </c>
      <c r="H54" s="60"/>
      <c r="I54" s="38">
        <f>562+91612+13425+10568+5339+5134+2358+1713+126950+42192+4072</f>
        <v>303925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573899</v>
      </c>
      <c r="Z54" s="60"/>
      <c r="AA54" s="38"/>
      <c r="AB54" s="60"/>
      <c r="AC54" s="38">
        <f>-10568-5134-3522-2358-1713-4072</f>
        <v>-27367</v>
      </c>
    </row>
    <row r="55" spans="1:29" x14ac:dyDescent="0.25">
      <c r="A55" s="9">
        <v>25</v>
      </c>
      <c r="B55" s="7"/>
      <c r="C55" s="18" t="s">
        <v>56</v>
      </c>
      <c r="D55" s="66">
        <f>F55+H55+J55+L55+N55+P55+R55+V55+X55+AB55+Z55+T55</f>
        <v>0</v>
      </c>
      <c r="E55" s="66">
        <f>G55+I55+K55+M55+O55+Q55+S55+W55+Y55+AC55+AA55+U55</f>
        <v>15978</v>
      </c>
      <c r="F55" s="60"/>
      <c r="G55" s="38">
        <v>12456</v>
      </c>
      <c r="H55" s="60"/>
      <c r="I55" s="38">
        <f>1615+35136</f>
        <v>36751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-1615+3522-35136</f>
        <v>-33229</v>
      </c>
    </row>
    <row r="56" spans="1:29" x14ac:dyDescent="0.25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323610</v>
      </c>
      <c r="F56" s="61">
        <f t="shared" si="16"/>
        <v>0</v>
      </c>
      <c r="G56" s="39">
        <f t="shared" si="16"/>
        <v>-530369</v>
      </c>
      <c r="H56" s="61">
        <f t="shared" si="16"/>
        <v>0</v>
      </c>
      <c r="I56" s="39">
        <f t="shared" si="16"/>
        <v>340676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573899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-60596</v>
      </c>
    </row>
    <row r="57" spans="1:2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5">
      <c r="A59" s="9">
        <v>26</v>
      </c>
      <c r="B59" s="11"/>
      <c r="C59" s="18" t="s">
        <v>59</v>
      </c>
      <c r="D59" s="66">
        <f>F59+H59+J59+L59+N59+P59+R59+V59+X59+AB59+Z59+T59</f>
        <v>0</v>
      </c>
      <c r="E59" s="66">
        <f>G59+I59+K59+M59+O59+Q59+S59+W59+Y59+AC59+AA59+U59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5">
      <c r="A60" s="9">
        <v>27</v>
      </c>
      <c r="B60" s="11"/>
      <c r="C60" s="18" t="s">
        <v>60</v>
      </c>
      <c r="D60" s="66">
        <f>F60+H60+J60+L60+N60+P60+R60+V60+X60+AB60+Z60+T60</f>
        <v>0</v>
      </c>
      <c r="E60" s="66">
        <f>G60+I60+K60+M60+O60+Q60+S60+W60+Y60+AC60+AA60+U60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5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5">
      <c r="A64" s="9">
        <v>28</v>
      </c>
      <c r="B64" s="7"/>
      <c r="C64" s="18" t="s">
        <v>62</v>
      </c>
      <c r="D64" s="66">
        <f>F64+H64+J64+L64+N64+P64+R64+V64+X64+AB64+Z64+T64</f>
        <v>0</v>
      </c>
      <c r="E64" s="66">
        <f>G64+I64+K64+M64+O64+Q64+S64+W64+Y64+AC64+AA64+U64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5">
      <c r="A65" s="9">
        <v>29</v>
      </c>
      <c r="B65" s="11"/>
      <c r="C65" s="18" t="s">
        <v>63</v>
      </c>
      <c r="D65" s="66">
        <f>F65+H65+J65+L65+N65+P65+R65+V65+X65+AB65+Z65+T65</f>
        <v>0</v>
      </c>
      <c r="E65" s="66">
        <f>G65+I65+K65+M65+O65+Q65+S65+W65+Y65+AC65+AA65+U65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5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5">
      <c r="A70" s="9">
        <v>30</v>
      </c>
      <c r="B70" s="3"/>
      <c r="C70" s="10" t="s">
        <v>67</v>
      </c>
      <c r="D70" s="66">
        <f>F70+H70+J70+L70+N70+P70+R70+V70+X70+AB70+Z70+T70</f>
        <v>0</v>
      </c>
      <c r="E70" s="66">
        <f>G70+I70+K70+M70+O70+Q70+S70+W70+Y70+AC70+AA70+U70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5">
      <c r="A71" s="9">
        <v>31</v>
      </c>
      <c r="B71" s="3"/>
      <c r="C71" s="10" t="s">
        <v>68</v>
      </c>
      <c r="D71" s="66">
        <f>F71+H71+J71+L71+N71+P71+R71+V71+X71+AB71+Z71+T71</f>
        <v>0</v>
      </c>
      <c r="E71" s="66">
        <f>G71+I71+K71+M71+O71+Q71+S71+W71+Y71+AC71+AA71+U71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5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5">
      <c r="A73" s="9">
        <v>32</v>
      </c>
      <c r="B73" s="3"/>
      <c r="C73" s="10" t="s">
        <v>70</v>
      </c>
      <c r="D73" s="66">
        <f t="shared" ref="D73:D80" si="24">F73+H73+J73+L73+N73+P73+R73+V73+X73+AB73+Z73+T73</f>
        <v>0</v>
      </c>
      <c r="E73" s="66">
        <f t="shared" ref="E73:E80" si="25">G73+I73+K73+M73+O73+Q73+S73+W73+Y73+AC73+AA73+U73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5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3783347</v>
      </c>
      <c r="F74" s="60"/>
      <c r="G74" s="38">
        <f>-100000-31074-12456-98250-200000+1432925</f>
        <v>991145</v>
      </c>
      <c r="H74" s="60"/>
      <c r="I74" s="38">
        <f>-857300+348091-5339</f>
        <v>-514548</v>
      </c>
      <c r="J74" s="60"/>
      <c r="K74" s="38"/>
      <c r="L74" s="60"/>
      <c r="M74" s="38"/>
      <c r="N74" s="60"/>
      <c r="O74" s="38">
        <f>-914611+486498+90000</f>
        <v>-338113</v>
      </c>
      <c r="P74" s="60"/>
      <c r="Q74" s="38"/>
      <c r="R74" s="60"/>
      <c r="S74" s="38">
        <v>0</v>
      </c>
      <c r="T74" s="60"/>
      <c r="U74" s="38">
        <f>100000-90000</f>
        <v>10000</v>
      </c>
      <c r="V74" s="60"/>
      <c r="W74" s="38">
        <f>8162+98250+71058</f>
        <v>177470</v>
      </c>
      <c r="X74" s="60"/>
      <c r="Y74" s="38">
        <f>200000-1432925</f>
        <v>-1232925</v>
      </c>
      <c r="Z74" s="60"/>
      <c r="AA74" s="38">
        <v>3924630</v>
      </c>
      <c r="AB74" s="60"/>
      <c r="AC74" s="38">
        <f>857300-91612</f>
        <v>765688</v>
      </c>
    </row>
    <row r="75" spans="1:29" x14ac:dyDescent="0.25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5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5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-8162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-8162</v>
      </c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5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25724</v>
      </c>
      <c r="F78" s="60"/>
      <c r="G78" s="38"/>
      <c r="H78" s="60"/>
      <c r="I78" s="38">
        <v>25724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5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5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5">
      <c r="A81" s="9">
        <v>40</v>
      </c>
      <c r="B81" s="3"/>
      <c r="C81" s="10" t="s">
        <v>78</v>
      </c>
      <c r="D81" s="66">
        <f>F81+H81+J81+L81+N81+P81+R81+V81+X81+AB81+Z81+T81</f>
        <v>0</v>
      </c>
      <c r="E81" s="66">
        <f>G81+I81+K81+M81+O81+Q81+S81+W81+Y81+AC81+AA81+U81</f>
        <v>-373815</v>
      </c>
      <c r="F81" s="60"/>
      <c r="G81" s="38"/>
      <c r="H81" s="60"/>
      <c r="I81" s="38">
        <f>-348091-25724</f>
        <v>-373815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460776</v>
      </c>
      <c r="H82" s="91">
        <f>H16+H24+H29+H36+H43+H45+H47+H49</f>
        <v>0</v>
      </c>
      <c r="I82" s="92">
        <f>SUM(I72:I81)+I16+I24+I29+I36+I43+I45+I47+I49+I51+I56+I61+I66</f>
        <v>-2311042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90000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1838</v>
      </c>
      <c r="V82" s="91">
        <f>V16+V24+V29+V36+V43+V45+V47+V49</f>
        <v>0</v>
      </c>
      <c r="W82" s="92">
        <f>SUM(W72:W81)+W16+W24+W29+W36+W43+W45+W47+W49+W51+W56+W61+W66</f>
        <v>106412</v>
      </c>
      <c r="X82" s="91">
        <f>X16+X24+X29+X36+X43+X45+X47+X49</f>
        <v>0</v>
      </c>
      <c r="Y82" s="92">
        <f>SUM(Y72:Y81)+Y16+Y24+Y29+Y36+Y43+Y45+Y47+Y49+Y51+Y56+Y61+Y66</f>
        <v>-659026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705092</v>
      </c>
      <c r="AD82" s="96"/>
    </row>
    <row r="83" spans="1:30" ht="13.8" thickTop="1" x14ac:dyDescent="0.25">
      <c r="A83" s="4" t="s">
        <v>2</v>
      </c>
      <c r="B83" s="3"/>
    </row>
    <row r="84" spans="1:30" x14ac:dyDescent="0.25">
      <c r="A84" s="4"/>
      <c r="B84" s="3"/>
      <c r="M84" s="45"/>
    </row>
    <row r="85" spans="1:30" x14ac:dyDescent="0.25">
      <c r="A85" s="4"/>
      <c r="B85" s="3"/>
      <c r="S85" s="45"/>
      <c r="U85" s="45"/>
    </row>
    <row r="86" spans="1:30" x14ac:dyDescent="0.25">
      <c r="A86" s="4"/>
      <c r="B86" s="3"/>
    </row>
    <row r="87" spans="1:30" x14ac:dyDescent="0.25">
      <c r="A87" s="4"/>
      <c r="B87" s="3"/>
    </row>
    <row r="88" spans="1:30" x14ac:dyDescent="0.25">
      <c r="A88" s="4"/>
      <c r="B88" s="3"/>
    </row>
    <row r="89" spans="1:30" x14ac:dyDescent="0.25">
      <c r="A89" s="4"/>
      <c r="B89" s="3"/>
    </row>
    <row r="90" spans="1:30" x14ac:dyDescent="0.25">
      <c r="A90" s="4"/>
      <c r="B90" s="3"/>
    </row>
    <row r="91" spans="1:30" x14ac:dyDescent="0.25">
      <c r="A91" s="4"/>
      <c r="B91" s="3"/>
    </row>
    <row r="92" spans="1:30" x14ac:dyDescent="0.25">
      <c r="A92" s="4"/>
      <c r="B92" s="3"/>
    </row>
    <row r="93" spans="1:30" x14ac:dyDescent="0.25">
      <c r="A93" s="4"/>
      <c r="B93" s="3"/>
    </row>
    <row r="94" spans="1:30" x14ac:dyDescent="0.25">
      <c r="A94" s="4"/>
      <c r="B94" s="3"/>
    </row>
    <row r="95" spans="1:30" x14ac:dyDescent="0.25">
      <c r="A95" s="4"/>
      <c r="B95" s="3"/>
    </row>
    <row r="96" spans="1:30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'TX-EGM-FLSH'!L11</f>
        <v>12767378</v>
      </c>
      <c r="E11" s="66">
        <f>'TX-EGM-FLSH'!M11</f>
        <v>33255264.359999999</v>
      </c>
      <c r="F11" s="60">
        <f>'TX-EGM-GL'!D11</f>
        <v>9671515</v>
      </c>
      <c r="G11" s="38">
        <f>'TX-EGM-GL'!E11</f>
        <v>27166434.360000003</v>
      </c>
      <c r="H11" s="60">
        <f>F11-D11</f>
        <v>-3095863</v>
      </c>
      <c r="I11" s="38">
        <f>G11-E11</f>
        <v>-6088829.9999999963</v>
      </c>
    </row>
    <row r="12" spans="1:22" x14ac:dyDescent="0.25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-842088.81</v>
      </c>
      <c r="H12" s="60">
        <f>F12-D12</f>
        <v>0</v>
      </c>
      <c r="I12" s="38">
        <f>G12-E12</f>
        <v>-842088.81</v>
      </c>
    </row>
    <row r="13" spans="1:22" x14ac:dyDescent="0.25">
      <c r="A13" s="9">
        <v>3</v>
      </c>
      <c r="B13" s="7"/>
      <c r="C13" s="18" t="s">
        <v>27</v>
      </c>
      <c r="D13" s="65">
        <f>'TX-EGM-FLSH'!L13</f>
        <v>15000</v>
      </c>
      <c r="E13" s="66">
        <f>'TX-EGM-FLSH'!M13</f>
        <v>44650</v>
      </c>
      <c r="F13" s="60">
        <f>'TX-EGM-GL'!D13</f>
        <v>15000</v>
      </c>
      <c r="G13" s="38">
        <f>'TX-EGM-GL'!E13</f>
        <v>44650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12782378</v>
      </c>
      <c r="E16" s="39">
        <f t="shared" si="1"/>
        <v>33299914.359999999</v>
      </c>
      <c r="F16" s="61">
        <f t="shared" si="1"/>
        <v>9686515</v>
      </c>
      <c r="G16" s="39">
        <f t="shared" si="1"/>
        <v>26368995.550000004</v>
      </c>
      <c r="H16" s="61">
        <f t="shared" si="1"/>
        <v>-3095863</v>
      </c>
      <c r="I16" s="39">
        <f t="shared" si="1"/>
        <v>-6930918.8099999968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'TX-EGM-FLSH'!L19</f>
        <v>-7612939</v>
      </c>
      <c r="E19" s="66">
        <f>'TX-EGM-FLSH'!M19</f>
        <v>-20225697.999999996</v>
      </c>
      <c r="F19" s="60">
        <f>'TX-EGM-GL'!D19</f>
        <v>-323160</v>
      </c>
      <c r="G19" s="38">
        <f>'TX-EGM-GL'!E19</f>
        <v>-827566.54</v>
      </c>
      <c r="H19" s="60">
        <f>F19-D19</f>
        <v>7289779</v>
      </c>
      <c r="I19" s="38">
        <f>G19-E19</f>
        <v>19398131.459999997</v>
      </c>
    </row>
    <row r="20" spans="1:9" x14ac:dyDescent="0.25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121326.17</v>
      </c>
      <c r="H20" s="60">
        <f>F20-D20</f>
        <v>0</v>
      </c>
      <c r="I20" s="38">
        <f>G20-E20</f>
        <v>121326.17</v>
      </c>
    </row>
    <row r="21" spans="1:9" x14ac:dyDescent="0.25">
      <c r="A21" s="9">
        <v>8</v>
      </c>
      <c r="B21" s="7"/>
      <c r="C21" s="18" t="s">
        <v>27</v>
      </c>
      <c r="D21" s="65">
        <f>'TX-EGM-FLSH'!L21</f>
        <v>-11290</v>
      </c>
      <c r="E21" s="66">
        <f>'TX-EGM-FLSH'!M21</f>
        <v>-27847.599999999999</v>
      </c>
      <c r="F21" s="60">
        <f>'TX-EGM-GL'!D21</f>
        <v>-11017</v>
      </c>
      <c r="G21" s="38">
        <f>'TX-EGM-GL'!E21</f>
        <v>-27173</v>
      </c>
      <c r="H21" s="60">
        <f t="shared" ref="H21:I23" si="2">F21-D21</f>
        <v>273</v>
      </c>
      <c r="I21" s="38">
        <f t="shared" si="2"/>
        <v>674.59999999999854</v>
      </c>
    </row>
    <row r="22" spans="1:9" x14ac:dyDescent="0.25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'TX-EGM-FLSH'!L23</f>
        <v>80</v>
      </c>
      <c r="E23" s="66">
        <f>'TX-EGM-FLSH'!M23</f>
        <v>198.29</v>
      </c>
      <c r="F23" s="60">
        <f>'TX-EGM-GL'!D23</f>
        <v>8102</v>
      </c>
      <c r="G23" s="38">
        <f>'TX-EGM-GL'!E23</f>
        <v>19809.390000000003</v>
      </c>
      <c r="H23" s="60">
        <f t="shared" si="2"/>
        <v>8022</v>
      </c>
      <c r="I23" s="38">
        <f t="shared" si="2"/>
        <v>19611.100000000002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-7624149</v>
      </c>
      <c r="E24" s="39">
        <f t="shared" si="3"/>
        <v>-20253347.309999999</v>
      </c>
      <c r="F24" s="61">
        <f t="shared" si="3"/>
        <v>-326075</v>
      </c>
      <c r="G24" s="39">
        <f t="shared" si="3"/>
        <v>-713603.98</v>
      </c>
      <c r="H24" s="61">
        <f t="shared" si="3"/>
        <v>7298074</v>
      </c>
      <c r="I24" s="39">
        <f t="shared" si="3"/>
        <v>19539743.330000002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'TX-EGM-FLSH'!L27</f>
        <v>9692997</v>
      </c>
      <c r="E27" s="66">
        <f>'TX-EGM-FLSH'!M27</f>
        <v>25871132.780000001</v>
      </c>
      <c r="F27" s="60">
        <f>'TX-EGM-GL'!D27</f>
        <v>2688332</v>
      </c>
      <c r="G27" s="38">
        <f>'TX-EGM-GL'!E27</f>
        <v>7238650.6300000008</v>
      </c>
      <c r="H27" s="60">
        <f>F27-D27</f>
        <v>-7004665</v>
      </c>
      <c r="I27" s="38">
        <f>G27-E27</f>
        <v>-18632482.149999999</v>
      </c>
    </row>
    <row r="28" spans="1:9" x14ac:dyDescent="0.25">
      <c r="A28" s="9">
        <v>12</v>
      </c>
      <c r="B28" s="7"/>
      <c r="C28" s="18" t="s">
        <v>36</v>
      </c>
      <c r="D28" s="65">
        <f>'TX-EGM-FLSH'!L28</f>
        <v>-9692997</v>
      </c>
      <c r="E28" s="66">
        <f>'TX-EGM-FLSH'!M28</f>
        <v>-25871134.699999999</v>
      </c>
      <c r="F28" s="60">
        <f>'TX-EGM-GL'!D28</f>
        <v>-12066538</v>
      </c>
      <c r="G28" s="38">
        <f>'TX-EGM-GL'!E28</f>
        <v>-32311004.900000002</v>
      </c>
      <c r="H28" s="60">
        <f>F28-D28</f>
        <v>-2373541</v>
      </c>
      <c r="I28" s="38">
        <f>G28-E28</f>
        <v>-6439870.200000003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-1.919999998062849</v>
      </c>
      <c r="F29" s="69">
        <f t="shared" si="4"/>
        <v>-9378206</v>
      </c>
      <c r="G29" s="70">
        <f t="shared" si="4"/>
        <v>-25072354.270000003</v>
      </c>
      <c r="H29" s="69">
        <f t="shared" si="4"/>
        <v>-9378206</v>
      </c>
      <c r="I29" s="70">
        <f t="shared" si="4"/>
        <v>-25072352.350000001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19263</v>
      </c>
      <c r="G32" s="38">
        <f>'TX-EGM-GL'!E32</f>
        <v>47098.035000000891</v>
      </c>
      <c r="H32" s="60">
        <f>F32-D32</f>
        <v>19263</v>
      </c>
      <c r="I32" s="38">
        <f>G32-E32</f>
        <v>47098.035000000891</v>
      </c>
    </row>
    <row r="33" spans="1:9" x14ac:dyDescent="0.25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19263</v>
      </c>
      <c r="G36" s="39">
        <f t="shared" si="6"/>
        <v>47098.035000000891</v>
      </c>
      <c r="H36" s="61">
        <f t="shared" si="6"/>
        <v>19263</v>
      </c>
      <c r="I36" s="39">
        <f t="shared" si="6"/>
        <v>47098.035000000891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'TX-EGM-FLSH'!L49</f>
        <v>-5158229</v>
      </c>
      <c r="E49" s="66">
        <f>'TX-EGM-FLSH'!M49</f>
        <v>-12611857.351232354</v>
      </c>
      <c r="F49" s="60">
        <f>'TX-EGM-GL'!D49</f>
        <v>-1497</v>
      </c>
      <c r="G49" s="38">
        <f>'TX-EGM-GL'!E49</f>
        <v>-3660.165</v>
      </c>
      <c r="H49" s="60">
        <f>F49-D49</f>
        <v>5156732</v>
      </c>
      <c r="I49" s="38">
        <f>G49-E49</f>
        <v>12608197.186232354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'TX-EGM-FLSH'!L51</f>
        <v>-80</v>
      </c>
      <c r="E51" s="66">
        <f>'TX-EGM-FLSH'!M51</f>
        <v>0</v>
      </c>
      <c r="F51" s="60">
        <f>'TX-EGM-GL'!D51</f>
        <v>-8102</v>
      </c>
      <c r="G51" s="38">
        <f>'TX-EGM-GL'!E51</f>
        <v>-19809.390000000003</v>
      </c>
      <c r="H51" s="60">
        <f>F51-D51</f>
        <v>-8022</v>
      </c>
      <c r="I51" s="38">
        <f>G51-E51</f>
        <v>-19809.390000000003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-296703</v>
      </c>
      <c r="F54" s="60">
        <f>'TX-EGM-GL'!D54</f>
        <v>-10393487</v>
      </c>
      <c r="G54" s="38">
        <f>'TX-EGM-GL'!E54</f>
        <v>-356743.61000000004</v>
      </c>
      <c r="H54" s="60">
        <f>F54-D54</f>
        <v>-10393487</v>
      </c>
      <c r="I54" s="38">
        <f>G54-E54</f>
        <v>-60040.610000000044</v>
      </c>
    </row>
    <row r="55" spans="1:9" x14ac:dyDescent="0.25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-71504.119999999981</v>
      </c>
      <c r="H55" s="60">
        <f>F55-D55</f>
        <v>0</v>
      </c>
      <c r="I55" s="38">
        <f>G55-E55</f>
        <v>-71504.119999999981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-296703</v>
      </c>
      <c r="F56" s="61">
        <f t="shared" si="10"/>
        <v>-10393487</v>
      </c>
      <c r="G56" s="39">
        <f t="shared" si="10"/>
        <v>-428247.73000000004</v>
      </c>
      <c r="H56" s="61">
        <f t="shared" si="10"/>
        <v>-10393487</v>
      </c>
      <c r="I56" s="39">
        <f t="shared" si="10"/>
        <v>-131544.73000000004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-60657.24</v>
      </c>
      <c r="H64" s="60">
        <f>F64-D64</f>
        <v>0</v>
      </c>
      <c r="I64" s="38">
        <f>G64-E64</f>
        <v>-60657.24</v>
      </c>
    </row>
    <row r="65" spans="1:9" x14ac:dyDescent="0.25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-60657.24</v>
      </c>
      <c r="H66" s="61">
        <f t="shared" si="12"/>
        <v>0</v>
      </c>
      <c r="I66" s="39">
        <f t="shared" si="12"/>
        <v>-60657.24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-876739.35</v>
      </c>
      <c r="F70" s="60">
        <f>'TX-EGM-GL'!D70</f>
        <v>0</v>
      </c>
      <c r="G70" s="38">
        <f>'TX-EGM-GL'!E70</f>
        <v>-840822.35</v>
      </c>
      <c r="H70" s="60">
        <f>F70-D70</f>
        <v>0</v>
      </c>
      <c r="I70" s="38">
        <f>G70-E70</f>
        <v>35917</v>
      </c>
    </row>
    <row r="71" spans="1:9" x14ac:dyDescent="0.25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1503217.93</v>
      </c>
      <c r="F71" s="60">
        <f>'TX-EGM-GL'!D71</f>
        <v>0</v>
      </c>
      <c r="G71" s="38">
        <f>'TX-EGM-GL'!E71</f>
        <v>1489400.93</v>
      </c>
      <c r="H71" s="60">
        <f>F71-D71</f>
        <v>0</v>
      </c>
      <c r="I71" s="38">
        <f>G71-E71</f>
        <v>-13817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5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160256.74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-160256.74</v>
      </c>
    </row>
    <row r="75" spans="1:9" x14ac:dyDescent="0.25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-1967.5</v>
      </c>
      <c r="H76" s="60">
        <f t="shared" si="14"/>
        <v>0</v>
      </c>
      <c r="I76" s="38">
        <f t="shared" si="14"/>
        <v>-1967.5</v>
      </c>
    </row>
    <row r="77" spans="1:9" x14ac:dyDescent="0.25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-11770</v>
      </c>
      <c r="F81" s="60">
        <f>'TX-EGM-GL'!D81</f>
        <v>0</v>
      </c>
      <c r="G81" s="38">
        <f>'TX-EGM-GL'!E81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912970.09876764938</v>
      </c>
      <c r="F82" s="109">
        <f>F16+F24+F29+F36+F43+F45+F47+F49</f>
        <v>0</v>
      </c>
      <c r="G82" s="110">
        <f>SUM(G72:G81)+G16+G24+G29+G36+G43+G45+G47+G49+G51+G56+G61+G66</f>
        <v>781168.8899999999</v>
      </c>
      <c r="H82" s="109">
        <f>H16+H24+H29+H36+H43+H45+H47+H49</f>
        <v>0</v>
      </c>
      <c r="I82" s="110">
        <f>SUM(I72:I81)+I16+I24+I29+I36+I43+I45+I47+I49+I51+I56+I61+I66</f>
        <v>-131801.20876764198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'TX-EGM-FLSH'!L86</f>
        <v>0</v>
      </c>
      <c r="E86" s="169">
        <f>'TX-EGM-FLSH'!M86</f>
        <v>165000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-165000</v>
      </c>
    </row>
    <row r="87" spans="1:63" x14ac:dyDescent="0.25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'TX-EGM-FLSH'!L88</f>
        <v>0</v>
      </c>
      <c r="E88" s="171">
        <f>'TX-EGM-FLSH'!M88</f>
        <v>0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5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165000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-165000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1077970.0987676494</v>
      </c>
      <c r="F91" s="184">
        <f t="shared" si="17"/>
        <v>0</v>
      </c>
      <c r="G91" s="184">
        <f t="shared" si="17"/>
        <v>781168.8899999999</v>
      </c>
      <c r="H91" s="184">
        <f t="shared" si="17"/>
        <v>0</v>
      </c>
      <c r="I91" s="184">
        <f t="shared" si="17"/>
        <v>-296801.20876764198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'TX-HPLR-FLSH'!L11</f>
        <v>114948</v>
      </c>
      <c r="E11" s="66">
        <f>'TX-HPLR-FLSH'!M11</f>
        <v>291393.63999998569</v>
      </c>
      <c r="F11" s="60">
        <f>'TX-HPLR-GL '!D11</f>
        <v>115439</v>
      </c>
      <c r="G11" s="38">
        <f>'TX-HPLR-GL '!E11</f>
        <v>295639.28000000003</v>
      </c>
      <c r="H11" s="60">
        <f>F11-D11</f>
        <v>491</v>
      </c>
      <c r="I11" s="38">
        <f>G11-E11</f>
        <v>4245.6400000143331</v>
      </c>
    </row>
    <row r="12" spans="1:22" x14ac:dyDescent="0.25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5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114948</v>
      </c>
      <c r="E16" s="39">
        <f t="shared" si="1"/>
        <v>291393.63999998569</v>
      </c>
      <c r="F16" s="61">
        <f t="shared" si="1"/>
        <v>115439</v>
      </c>
      <c r="G16" s="39">
        <f t="shared" si="1"/>
        <v>292737.68000000005</v>
      </c>
      <c r="H16" s="61">
        <f t="shared" si="1"/>
        <v>491</v>
      </c>
      <c r="I16" s="39">
        <f t="shared" si="1"/>
        <v>1344.0400000143331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'TX-HPLR-FLSH'!L19</f>
        <v>-114948</v>
      </c>
      <c r="E19" s="66">
        <f>'TX-HPLR-FLSH'!M19</f>
        <v>-291970</v>
      </c>
      <c r="F19" s="60">
        <f>'TX-HPLR-GL '!D19</f>
        <v>0</v>
      </c>
      <c r="G19" s="38">
        <f>'TX-HPLR-GL '!E19</f>
        <v>0</v>
      </c>
      <c r="H19" s="60">
        <f>F19-D19</f>
        <v>114948</v>
      </c>
      <c r="I19" s="38">
        <f>G19-E19</f>
        <v>291970</v>
      </c>
    </row>
    <row r="20" spans="1:9" x14ac:dyDescent="0.25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-0.39999999990686774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0.39999999990686774</v>
      </c>
    </row>
    <row r="22" spans="1:9" x14ac:dyDescent="0.25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-3332.29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3332.29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-114948</v>
      </c>
      <c r="E24" s="39">
        <f t="shared" si="3"/>
        <v>-295302.68999999989</v>
      </c>
      <c r="F24" s="61">
        <f t="shared" si="3"/>
        <v>0</v>
      </c>
      <c r="G24" s="39">
        <f t="shared" si="3"/>
        <v>0</v>
      </c>
      <c r="H24" s="61">
        <f t="shared" si="3"/>
        <v>114948</v>
      </c>
      <c r="I24" s="39">
        <f t="shared" si="3"/>
        <v>295302.68999999989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2.2199999988079071</v>
      </c>
      <c r="F27" s="60">
        <f>'TX-HPLR-GL '!D27</f>
        <v>0</v>
      </c>
      <c r="G27" s="38">
        <f>'TX-HPLR-GL '!E27</f>
        <v>2364084.0499999998</v>
      </c>
      <c r="H27" s="60">
        <f>F27-D27</f>
        <v>0</v>
      </c>
      <c r="I27" s="38">
        <f>G27-E27</f>
        <v>2364081.830000001</v>
      </c>
    </row>
    <row r="28" spans="1:9" x14ac:dyDescent="0.25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-3.3000000007450581</v>
      </c>
      <c r="F28" s="60">
        <f>'TX-HPLR-GL '!D28</f>
        <v>-115439</v>
      </c>
      <c r="G28" s="38">
        <f>'TX-HPLR-GL '!E28</f>
        <v>-2657299.11</v>
      </c>
      <c r="H28" s="60">
        <f>F28-D28</f>
        <v>-115439</v>
      </c>
      <c r="I28" s="38">
        <f>G28-E28</f>
        <v>-2657295.8099999991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-1.080000001937151</v>
      </c>
      <c r="F29" s="69">
        <f t="shared" si="4"/>
        <v>-115439</v>
      </c>
      <c r="G29" s="70">
        <f t="shared" si="4"/>
        <v>-293215.06000000006</v>
      </c>
      <c r="H29" s="69">
        <f t="shared" si="4"/>
        <v>-115439</v>
      </c>
      <c r="I29" s="70">
        <f t="shared" si="4"/>
        <v>-293213.97999999812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'TX-HPLR-FLSH'!L51</f>
        <v>80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-80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822.38</v>
      </c>
      <c r="H64" s="60">
        <f>F64-D64</f>
        <v>0</v>
      </c>
      <c r="I64" s="38">
        <f>G64-E64</f>
        <v>822.38</v>
      </c>
    </row>
    <row r="65" spans="1:9" x14ac:dyDescent="0.25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822.38</v>
      </c>
      <c r="H66" s="61">
        <f t="shared" si="12"/>
        <v>0</v>
      </c>
      <c r="I66" s="39">
        <f t="shared" si="12"/>
        <v>822.38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-3910.1300000161282</v>
      </c>
      <c r="F82" s="109">
        <f>F16+F24+F29+F36+F43+F45+F47+F49</f>
        <v>0</v>
      </c>
      <c r="G82" s="110">
        <f>SUM(G72:G81)+G16+G24+G29+G36+G43+G45+G47+G49+G51+G56+G61+G66</f>
        <v>344.55999999999483</v>
      </c>
      <c r="H82" s="109">
        <f>H16+H24+H29+H36+H43+H45+H47+H49</f>
        <v>0</v>
      </c>
      <c r="I82" s="110">
        <f>SUM(I72:I81)+I16+I24+I29+I36+I43+I45+I47+I49+I51+I56+I61+I66</f>
        <v>4254.6900000161231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50" zoomScale="75" workbookViewId="0">
      <selection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'TX-HPLC-FLSH'!L11</f>
        <v>67075453</v>
      </c>
      <c r="E11" s="66">
        <f>'TX-HPLC-FLSH'!M11</f>
        <v>175730114</v>
      </c>
      <c r="F11" s="60">
        <f>'TX-HPLC-GL'!D11</f>
        <v>35178769</v>
      </c>
      <c r="G11" s="38">
        <f>'TX-HPLC-GL'!E11</f>
        <v>90172216</v>
      </c>
      <c r="H11" s="60">
        <f>F11-D11</f>
        <v>-31896684</v>
      </c>
      <c r="I11" s="38">
        <f>G11-E11</f>
        <v>-85557898</v>
      </c>
    </row>
    <row r="12" spans="1:22" x14ac:dyDescent="0.25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-1703198</v>
      </c>
      <c r="H12" s="60">
        <f>F12-D12</f>
        <v>0</v>
      </c>
      <c r="I12" s="38">
        <f>G12-E12</f>
        <v>-1703198</v>
      </c>
    </row>
    <row r="13" spans="1:22" x14ac:dyDescent="0.25">
      <c r="A13" s="9">
        <v>3</v>
      </c>
      <c r="B13" s="7"/>
      <c r="C13" s="18" t="s">
        <v>27</v>
      </c>
      <c r="D13" s="65">
        <f>'TX-HPLC-FLSH'!L13</f>
        <v>1199519</v>
      </c>
      <c r="E13" s="66">
        <f>'TX-HPLC-FLSH'!M13</f>
        <v>3338543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-1199519</v>
      </c>
      <c r="I13" s="38">
        <f t="shared" si="0"/>
        <v>-3338543</v>
      </c>
    </row>
    <row r="14" spans="1:22" x14ac:dyDescent="0.25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68274972</v>
      </c>
      <c r="E16" s="39">
        <f t="shared" si="1"/>
        <v>179068657</v>
      </c>
      <c r="F16" s="61">
        <f t="shared" si="1"/>
        <v>35178769</v>
      </c>
      <c r="G16" s="39">
        <f t="shared" si="1"/>
        <v>88469018</v>
      </c>
      <c r="H16" s="61">
        <f t="shared" si="1"/>
        <v>-33096203</v>
      </c>
      <c r="I16" s="39">
        <f t="shared" si="1"/>
        <v>-90599639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'TX-HPLC-FLSH'!L19</f>
        <v>-80129202</v>
      </c>
      <c r="E19" s="66">
        <f>'TX-HPLC-FLSH'!M19</f>
        <v>-206477219</v>
      </c>
      <c r="F19" s="60">
        <f>'TX-HPLC-GL'!D19</f>
        <v>-47772054</v>
      </c>
      <c r="G19" s="38">
        <f>'TX-HPLC-GL'!E19</f>
        <v>-118029189</v>
      </c>
      <c r="H19" s="60">
        <f>F19-D19</f>
        <v>32357148</v>
      </c>
      <c r="I19" s="38">
        <f>G19-E19</f>
        <v>88448030</v>
      </c>
    </row>
    <row r="20" spans="1:9" x14ac:dyDescent="0.25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-3633160.93</v>
      </c>
      <c r="H20" s="60">
        <f>F20-D20</f>
        <v>0</v>
      </c>
      <c r="I20" s="38">
        <f>G20-E20</f>
        <v>-3633160.93</v>
      </c>
    </row>
    <row r="21" spans="1:9" x14ac:dyDescent="0.25">
      <c r="A21" s="9">
        <v>8</v>
      </c>
      <c r="B21" s="7"/>
      <c r="C21" s="18" t="s">
        <v>27</v>
      </c>
      <c r="D21" s="65">
        <f>'TX-HPLC-FLSH'!L21</f>
        <v>-1368718</v>
      </c>
      <c r="E21" s="66">
        <f>'TX-HPLC-FLSH'!M21</f>
        <v>-3423231</v>
      </c>
      <c r="F21" s="60">
        <f>'TX-HPLC-GL'!D21</f>
        <v>0</v>
      </c>
      <c r="G21" s="38">
        <f>'TX-HPLC-GL'!E21</f>
        <v>0</v>
      </c>
      <c r="H21" s="60">
        <f t="shared" ref="H21:I23" si="2">F21-D21</f>
        <v>1368718</v>
      </c>
      <c r="I21" s="38">
        <f t="shared" si="2"/>
        <v>3423231</v>
      </c>
    </row>
    <row r="22" spans="1:9" x14ac:dyDescent="0.25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'TX-HPLC-FLSH'!L23</f>
        <v>707</v>
      </c>
      <c r="E23" s="66">
        <f>'TX-HPLC-FLSH'!M23</f>
        <v>1667</v>
      </c>
      <c r="F23" s="60">
        <f>'TX-HPLC-GL'!D23</f>
        <v>0</v>
      </c>
      <c r="G23" s="38">
        <f>'TX-HPLC-GL'!E23</f>
        <v>0</v>
      </c>
      <c r="H23" s="60">
        <f t="shared" si="2"/>
        <v>-707</v>
      </c>
      <c r="I23" s="38">
        <f t="shared" si="2"/>
        <v>-1667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-81497213</v>
      </c>
      <c r="E24" s="39">
        <f t="shared" si="3"/>
        <v>-209898783</v>
      </c>
      <c r="F24" s="61">
        <f t="shared" si="3"/>
        <v>-47772054</v>
      </c>
      <c r="G24" s="39">
        <f t="shared" si="3"/>
        <v>-121662349.93000001</v>
      </c>
      <c r="H24" s="61">
        <f t="shared" si="3"/>
        <v>33725159</v>
      </c>
      <c r="I24" s="39">
        <f t="shared" si="3"/>
        <v>88236433.069999993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'TX-HPLC-FLSH'!L27</f>
        <v>7408594</v>
      </c>
      <c r="E27" s="66">
        <f>'TX-HPLC-FLSH'!M27</f>
        <v>19699847</v>
      </c>
      <c r="F27" s="60">
        <f>'TX-HPLC-GL'!D27</f>
        <v>13452761</v>
      </c>
      <c r="G27" s="38">
        <f>'TX-HPLC-GL'!E27</f>
        <v>36137901</v>
      </c>
      <c r="H27" s="60">
        <f>F27-D27</f>
        <v>6044167</v>
      </c>
      <c r="I27" s="38">
        <f>G27-E27</f>
        <v>16438054</v>
      </c>
    </row>
    <row r="28" spans="1:9" x14ac:dyDescent="0.25">
      <c r="A28" s="9">
        <v>12</v>
      </c>
      <c r="B28" s="7"/>
      <c r="C28" s="18" t="s">
        <v>36</v>
      </c>
      <c r="D28" s="65">
        <f>'TX-HPLC-FLSH'!L28</f>
        <v>-2563206</v>
      </c>
      <c r="E28" s="66">
        <f>'TX-HPLC-FLSH'!M28</f>
        <v>-6903664</v>
      </c>
      <c r="F28" s="60">
        <f>'TX-HPLC-GL'!D28</f>
        <v>-4170254</v>
      </c>
      <c r="G28" s="38">
        <f>'TX-HPLC-GL'!E28</f>
        <v>-10950197</v>
      </c>
      <c r="H28" s="60">
        <f>F28-D28</f>
        <v>-1607048</v>
      </c>
      <c r="I28" s="38">
        <f>G28-E28</f>
        <v>-4046533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12796183</v>
      </c>
      <c r="F29" s="69">
        <f t="shared" si="4"/>
        <v>9282507</v>
      </c>
      <c r="G29" s="70">
        <f t="shared" si="4"/>
        <v>25187704</v>
      </c>
      <c r="H29" s="69">
        <f t="shared" si="4"/>
        <v>4437119</v>
      </c>
      <c r="I29" s="70">
        <f t="shared" si="4"/>
        <v>12391521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-22734</v>
      </c>
      <c r="G32" s="38">
        <f>'TX-HPLC-GL'!E32</f>
        <v>-55586</v>
      </c>
      <c r="H32" s="60">
        <f>F32-D32</f>
        <v>-22734</v>
      </c>
      <c r="I32" s="38">
        <f>G32-E32</f>
        <v>-55586</v>
      </c>
    </row>
    <row r="33" spans="1:9" x14ac:dyDescent="0.25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-22734</v>
      </c>
      <c r="G36" s="39">
        <f t="shared" si="6"/>
        <v>-55586</v>
      </c>
      <c r="H36" s="61">
        <f t="shared" si="6"/>
        <v>-22734</v>
      </c>
      <c r="I36" s="39">
        <f t="shared" si="6"/>
        <v>-55586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'TX-HPLC-FLSH'!L39</f>
        <v>3360682</v>
      </c>
      <c r="E39" s="66">
        <f>'TX-HPLC-FLSH'!M39</f>
        <v>8502527</v>
      </c>
      <c r="F39" s="60">
        <f>'TX-HPLC-GL'!D39</f>
        <v>3184548</v>
      </c>
      <c r="G39" s="38">
        <f>'TX-HPLC-GL'!E39</f>
        <v>7882394</v>
      </c>
      <c r="H39" s="60">
        <f t="shared" ref="H39:I41" si="7">F39-D39</f>
        <v>-176134</v>
      </c>
      <c r="I39" s="38">
        <f t="shared" si="7"/>
        <v>-620133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'TX-HPLC-FLSH'!L40</f>
        <v>-76762</v>
      </c>
      <c r="E40" s="66">
        <f>'TX-HPLC-FLSH'!M40</f>
        <v>-194207</v>
      </c>
      <c r="F40" s="60">
        <f>'TX-HPLC-GL'!D40</f>
        <v>0</v>
      </c>
      <c r="G40" s="38">
        <f>'TX-HPLC-GL'!E40</f>
        <v>0</v>
      </c>
      <c r="H40" s="60">
        <f t="shared" si="7"/>
        <v>76762</v>
      </c>
      <c r="I40" s="38">
        <f t="shared" si="7"/>
        <v>194207</v>
      </c>
    </row>
    <row r="41" spans="1:9" x14ac:dyDescent="0.25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182951</v>
      </c>
      <c r="H41" s="60">
        <f t="shared" si="7"/>
        <v>0</v>
      </c>
      <c r="I41" s="38">
        <f t="shared" si="7"/>
        <v>182951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182951</v>
      </c>
      <c r="H42" s="69">
        <f t="shared" si="8"/>
        <v>76762</v>
      </c>
      <c r="I42" s="70">
        <f t="shared" si="8"/>
        <v>377158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3184548</v>
      </c>
      <c r="G43" s="39">
        <f t="shared" si="9"/>
        <v>8065345</v>
      </c>
      <c r="H43" s="61">
        <f t="shared" si="9"/>
        <v>-99372</v>
      </c>
      <c r="I43" s="39">
        <f t="shared" si="9"/>
        <v>-242975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'TX-HPLC-FLSH'!L49</f>
        <v>5092933</v>
      </c>
      <c r="E49" s="66">
        <f>'TX-HPLC-FLSH'!M49</f>
        <v>12613620.538620207</v>
      </c>
      <c r="F49" s="60">
        <f>'TX-HPLC-GL'!D49</f>
        <v>148964</v>
      </c>
      <c r="G49" s="38">
        <f>'TX-HPLC-GL'!E49</f>
        <v>369579</v>
      </c>
      <c r="H49" s="60">
        <f>F49-D49</f>
        <v>-4943969</v>
      </c>
      <c r="I49" s="38">
        <f>G49-E49</f>
        <v>-12244041.538620207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-1802239.18</v>
      </c>
      <c r="F54" s="60">
        <f>'TX-HPLC-GL'!D54</f>
        <v>0</v>
      </c>
      <c r="G54" s="38">
        <f>'TX-HPLC-GL'!E54</f>
        <v>-1393008</v>
      </c>
      <c r="H54" s="60">
        <f>F54-D54</f>
        <v>0</v>
      </c>
      <c r="I54" s="38">
        <f>G54-E54</f>
        <v>409231.17999999993</v>
      </c>
    </row>
    <row r="55" spans="1:9" x14ac:dyDescent="0.25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-1802239.18</v>
      </c>
      <c r="F56" s="61">
        <f t="shared" si="10"/>
        <v>0</v>
      </c>
      <c r="G56" s="39">
        <f t="shared" si="10"/>
        <v>-1393008</v>
      </c>
      <c r="H56" s="61">
        <f t="shared" si="10"/>
        <v>0</v>
      </c>
      <c r="I56" s="39">
        <f t="shared" si="10"/>
        <v>409231.17999999993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60000</v>
      </c>
      <c r="H66" s="61">
        <f t="shared" si="12"/>
        <v>0</v>
      </c>
      <c r="I66" s="39">
        <f t="shared" si="12"/>
        <v>60000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2667713</v>
      </c>
      <c r="H74" s="60">
        <f t="shared" ref="H74:I79" si="14">F74-D74</f>
        <v>0</v>
      </c>
      <c r="I74" s="38">
        <f t="shared" si="14"/>
        <v>2667713</v>
      </c>
    </row>
    <row r="75" spans="1:9" x14ac:dyDescent="0.25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-1740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1740</v>
      </c>
    </row>
    <row r="77" spans="1:9" x14ac:dyDescent="0.25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-8162</v>
      </c>
      <c r="H77" s="60">
        <f t="shared" si="14"/>
        <v>0</v>
      </c>
      <c r="I77" s="38">
        <f t="shared" si="14"/>
        <v>100138</v>
      </c>
    </row>
    <row r="78" spans="1:9" x14ac:dyDescent="0.25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975718.35862020752</v>
      </c>
      <c r="F82" s="109">
        <f>F16+F24+F29+F36+F43+F45+F47+F49</f>
        <v>0</v>
      </c>
      <c r="G82" s="110">
        <f>SUM(G72:G81)+G16+G24+G29+G36+G43+G45+G47+G49+G51+G56+G61+G66</f>
        <v>1700253.0699999928</v>
      </c>
      <c r="H82" s="109">
        <f>H16+H24+H29+H36+H43+H45+H47+H49</f>
        <v>0</v>
      </c>
      <c r="I82" s="110">
        <f>SUM(I72:I81)+I16+I24+I29+I36+I43+I45+I47+I49+I51+I56+I61+I66</f>
        <v>724534.71137978532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3339180.2</v>
      </c>
      <c r="H86" s="169">
        <f t="shared" ref="H86:I88" si="15">F86-D86</f>
        <v>0</v>
      </c>
      <c r="I86" s="169">
        <f t="shared" si="15"/>
        <v>3339180.2</v>
      </c>
    </row>
    <row r="87" spans="1:63" x14ac:dyDescent="0.25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-3174200</v>
      </c>
      <c r="H88" s="171">
        <f t="shared" si="15"/>
        <v>0</v>
      </c>
      <c r="I88" s="171">
        <f t="shared" si="15"/>
        <v>-3174200</v>
      </c>
    </row>
    <row r="89" spans="1:63" x14ac:dyDescent="0.25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164980.20000000019</v>
      </c>
      <c r="H89" s="184">
        <f t="shared" si="16"/>
        <v>0</v>
      </c>
      <c r="I89" s="184">
        <f t="shared" si="16"/>
        <v>164980.20000000019</v>
      </c>
    </row>
    <row r="90" spans="1:63" x14ac:dyDescent="0.25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5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975718.35862020752</v>
      </c>
      <c r="F91" s="184">
        <f t="shared" si="17"/>
        <v>0</v>
      </c>
      <c r="G91" s="184">
        <f t="shared" si="17"/>
        <v>1865233.269999993</v>
      </c>
      <c r="H91" s="184">
        <f t="shared" si="17"/>
        <v>0</v>
      </c>
      <c r="I91" s="184">
        <f t="shared" si="17"/>
        <v>889514.91137978551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'TX-CON-FLSH'!L11</f>
        <v>79957779</v>
      </c>
      <c r="E11" s="66">
        <f>'TX-CON-FLSH'!M11</f>
        <v>209276772</v>
      </c>
      <c r="F11" s="60">
        <f>'TX-CON-GL '!D11</f>
        <v>45061853</v>
      </c>
      <c r="G11" s="38">
        <f>'TX-CON-GL '!E11</f>
        <v>117484024.64</v>
      </c>
      <c r="H11" s="60">
        <f>F11-D11</f>
        <v>-34895926</v>
      </c>
      <c r="I11" s="38">
        <f>G11-E11</f>
        <v>-91792747.359999999</v>
      </c>
    </row>
    <row r="12" spans="1:22" x14ac:dyDescent="0.25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-2548188.41</v>
      </c>
      <c r="H12" s="60">
        <f>F12-D12</f>
        <v>0</v>
      </c>
      <c r="I12" s="38">
        <f>G12-E12</f>
        <v>-2548188.41</v>
      </c>
    </row>
    <row r="13" spans="1:22" x14ac:dyDescent="0.25">
      <c r="A13" s="9">
        <v>3</v>
      </c>
      <c r="B13" s="7"/>
      <c r="C13" s="18" t="s">
        <v>27</v>
      </c>
      <c r="D13" s="65">
        <f>'TX-CON-FLSH'!L13</f>
        <v>1214519</v>
      </c>
      <c r="E13" s="66">
        <f>'TX-CON-FLSH'!M13</f>
        <v>3383193</v>
      </c>
      <c r="F13" s="60">
        <f>'TX-CON-GL '!D13</f>
        <v>15000</v>
      </c>
      <c r="G13" s="38">
        <f>'TX-CON-GL '!E13</f>
        <v>44650</v>
      </c>
      <c r="H13" s="60">
        <f t="shared" ref="H13:I15" si="0">F13-D13</f>
        <v>-1199519</v>
      </c>
      <c r="I13" s="38">
        <f t="shared" si="0"/>
        <v>-3338543</v>
      </c>
    </row>
    <row r="14" spans="1:22" x14ac:dyDescent="0.25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81172298</v>
      </c>
      <c r="E16" s="39">
        <f t="shared" si="1"/>
        <v>212659965</v>
      </c>
      <c r="F16" s="61">
        <f t="shared" si="1"/>
        <v>45076853</v>
      </c>
      <c r="G16" s="39">
        <f t="shared" si="1"/>
        <v>114980486.23</v>
      </c>
      <c r="H16" s="61">
        <f t="shared" si="1"/>
        <v>-36095445</v>
      </c>
      <c r="I16" s="39">
        <f t="shared" si="1"/>
        <v>-97679478.769999996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'TX-CON-FLSH'!L19</f>
        <v>-87857089</v>
      </c>
      <c r="E19" s="66">
        <f>'TX-CON-FLSH'!M19</f>
        <v>-226994887</v>
      </c>
      <c r="F19" s="60">
        <f>'TX-CON-GL '!D19</f>
        <v>-48510103</v>
      </c>
      <c r="G19" s="38">
        <f>'TX-CON-GL '!E19</f>
        <v>-119839695.54000001</v>
      </c>
      <c r="H19" s="60">
        <f>F19-D19</f>
        <v>39346986</v>
      </c>
      <c r="I19" s="38">
        <f>G19-E19</f>
        <v>107155191.45999999</v>
      </c>
    </row>
    <row r="20" spans="1:9" x14ac:dyDescent="0.25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-3511834.7600000002</v>
      </c>
      <c r="H20" s="60">
        <f>F20-D20</f>
        <v>0</v>
      </c>
      <c r="I20" s="38">
        <f>G20-E20</f>
        <v>-3511834.7600000002</v>
      </c>
    </row>
    <row r="21" spans="1:9" x14ac:dyDescent="0.25">
      <c r="A21" s="9">
        <v>8</v>
      </c>
      <c r="B21" s="7"/>
      <c r="C21" s="18" t="s">
        <v>27</v>
      </c>
      <c r="D21" s="65">
        <f>'TX-CON-FLSH'!L21</f>
        <v>-1380008</v>
      </c>
      <c r="E21" s="66">
        <f>'TX-CON-FLSH'!M21</f>
        <v>-3451079</v>
      </c>
      <c r="F21" s="60">
        <f>'TX-CON-GL '!D21</f>
        <v>-11017</v>
      </c>
      <c r="G21" s="38">
        <f>'TX-CON-GL '!E21</f>
        <v>-27173</v>
      </c>
      <c r="H21" s="60">
        <f t="shared" ref="H21:I23" si="2">F21-D21</f>
        <v>1368991</v>
      </c>
      <c r="I21" s="38">
        <f t="shared" si="2"/>
        <v>3423906</v>
      </c>
    </row>
    <row r="22" spans="1:9" x14ac:dyDescent="0.25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'TX-CON-FLSH'!L23</f>
        <v>787</v>
      </c>
      <c r="E23" s="66">
        <f>'TX-CON-FLSH'!M23</f>
        <v>-1467</v>
      </c>
      <c r="F23" s="60">
        <f>'TX-CON-GL '!D23</f>
        <v>8102</v>
      </c>
      <c r="G23" s="38">
        <f>'TX-CON-GL '!E23</f>
        <v>19809.390000000003</v>
      </c>
      <c r="H23" s="60">
        <f t="shared" si="2"/>
        <v>7315</v>
      </c>
      <c r="I23" s="38">
        <f t="shared" si="2"/>
        <v>21276.390000000003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-89236310</v>
      </c>
      <c r="E24" s="39">
        <f t="shared" si="3"/>
        <v>-230447433</v>
      </c>
      <c r="F24" s="61">
        <f t="shared" si="3"/>
        <v>-48513018</v>
      </c>
      <c r="G24" s="39">
        <f t="shared" si="3"/>
        <v>-123358893.91000001</v>
      </c>
      <c r="H24" s="61">
        <f t="shared" si="3"/>
        <v>40723292</v>
      </c>
      <c r="I24" s="39">
        <f t="shared" si="3"/>
        <v>107088539.08999999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'TX-CON-FLSH'!L27</f>
        <v>17101591</v>
      </c>
      <c r="E27" s="66">
        <f>'TX-CON-FLSH'!M27</f>
        <v>45570982</v>
      </c>
      <c r="F27" s="60">
        <f>'TX-CON-GL '!D27</f>
        <v>16570023</v>
      </c>
      <c r="G27" s="38">
        <f>'TX-CON-GL '!E27</f>
        <v>47218309.68</v>
      </c>
      <c r="H27" s="60">
        <f>F27-D27</f>
        <v>-531568</v>
      </c>
      <c r="I27" s="38">
        <f>G27-E27</f>
        <v>1647327.6799999997</v>
      </c>
    </row>
    <row r="28" spans="1:9" x14ac:dyDescent="0.25">
      <c r="A28" s="9">
        <v>12</v>
      </c>
      <c r="B28" s="7"/>
      <c r="C28" s="18" t="s">
        <v>36</v>
      </c>
      <c r="D28" s="65">
        <f>'TX-CON-FLSH'!L28</f>
        <v>-12256203</v>
      </c>
      <c r="E28" s="66">
        <f>'TX-CON-FLSH'!M28</f>
        <v>-32774802</v>
      </c>
      <c r="F28" s="60">
        <f>'TX-CON-GL '!D28</f>
        <v>-16165511</v>
      </c>
      <c r="G28" s="38">
        <f>'TX-CON-GL '!E28</f>
        <v>-45416475.010000005</v>
      </c>
      <c r="H28" s="60">
        <f>F28-D28</f>
        <v>-3909308</v>
      </c>
      <c r="I28" s="38">
        <f>G28-E28</f>
        <v>-12641673.010000005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404512</v>
      </c>
      <c r="G29" s="70">
        <f t="shared" si="4"/>
        <v>1801834.6699999943</v>
      </c>
      <c r="H29" s="69">
        <f t="shared" si="4"/>
        <v>-4440876</v>
      </c>
      <c r="I29" s="70">
        <f t="shared" si="4"/>
        <v>-10994345.330000006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-297808</v>
      </c>
      <c r="G32" s="38">
        <f>'TX-CON-GL '!E32</f>
        <v>-739554.96499999915</v>
      </c>
      <c r="H32" s="60">
        <f>F32-D32</f>
        <v>-297808</v>
      </c>
      <c r="I32" s="38">
        <f>G32-E32</f>
        <v>-739554.96499999915</v>
      </c>
    </row>
    <row r="33" spans="1:9" x14ac:dyDescent="0.25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-297808</v>
      </c>
      <c r="G36" s="39">
        <f t="shared" si="6"/>
        <v>-739554.96499999915</v>
      </c>
      <c r="H36" s="61">
        <f t="shared" si="6"/>
        <v>-297808</v>
      </c>
      <c r="I36" s="39">
        <f t="shared" si="6"/>
        <v>-739554.96499999915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'TX-CON-FLSH'!L39</f>
        <v>3360682</v>
      </c>
      <c r="E39" s="66">
        <f>'TX-CON-FLSH'!M39</f>
        <v>8502527</v>
      </c>
      <c r="F39" s="60">
        <f>'TX-CON-GL '!D39</f>
        <v>3184889</v>
      </c>
      <c r="G39" s="38">
        <f>'TX-CON-GL '!E39</f>
        <v>7942158</v>
      </c>
      <c r="H39" s="60">
        <f t="shared" ref="H39:I41" si="7">F39-D39</f>
        <v>-175793</v>
      </c>
      <c r="I39" s="38">
        <f t="shared" si="7"/>
        <v>-560369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'TX-CON-FLSH'!L40</f>
        <v>-76762</v>
      </c>
      <c r="E40" s="66">
        <f>'TX-CON-FLSH'!M40</f>
        <v>-194207</v>
      </c>
      <c r="F40" s="60">
        <f>'TX-CON-GL '!D40</f>
        <v>0</v>
      </c>
      <c r="G40" s="38">
        <f>'TX-CON-GL '!E40</f>
        <v>0</v>
      </c>
      <c r="H40" s="60">
        <f t="shared" si="7"/>
        <v>76762</v>
      </c>
      <c r="I40" s="38">
        <f t="shared" si="7"/>
        <v>194207</v>
      </c>
    </row>
    <row r="41" spans="1:9" x14ac:dyDescent="0.25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0</v>
      </c>
      <c r="H42" s="69">
        <f t="shared" si="8"/>
        <v>76762</v>
      </c>
      <c r="I42" s="70">
        <f t="shared" si="8"/>
        <v>194207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3184889</v>
      </c>
      <c r="G43" s="39">
        <f t="shared" si="9"/>
        <v>7942158</v>
      </c>
      <c r="H43" s="61">
        <f t="shared" si="9"/>
        <v>-99031</v>
      </c>
      <c r="I43" s="39">
        <f t="shared" si="9"/>
        <v>-366162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'TX-CON-FLSH'!L49</f>
        <v>-65296</v>
      </c>
      <c r="E49" s="66">
        <f>'TX-CON-FLSH'!M49</f>
        <v>1763.1873878538609</v>
      </c>
      <c r="F49" s="60">
        <f>'TX-CON-GL '!D49</f>
        <v>144572</v>
      </c>
      <c r="G49" s="38">
        <f>'TX-CON-GL '!E49</f>
        <v>358737.8349999988</v>
      </c>
      <c r="H49" s="60">
        <f>F49-D49</f>
        <v>209868</v>
      </c>
      <c r="I49" s="38">
        <f>G49-E49</f>
        <v>356974.64761214494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-8102</v>
      </c>
      <c r="G51" s="38">
        <f>'TX-CON-GL '!E51</f>
        <v>-19809.390000000003</v>
      </c>
      <c r="H51" s="60">
        <f>F51-D51</f>
        <v>-8102</v>
      </c>
      <c r="I51" s="38">
        <f>G51-E51</f>
        <v>-19809.390000000003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-2098942.1799999997</v>
      </c>
      <c r="F54" s="60">
        <f>'TX-CON-GL '!D54</f>
        <v>-10393487</v>
      </c>
      <c r="G54" s="38">
        <f>'TX-CON-GL '!E54</f>
        <v>-2112768.61</v>
      </c>
      <c r="H54" s="60">
        <f>F54-D54</f>
        <v>-10393487</v>
      </c>
      <c r="I54" s="38">
        <f>G54-E54</f>
        <v>-13826.430000000168</v>
      </c>
    </row>
    <row r="55" spans="1:9" x14ac:dyDescent="0.25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-71504.119999999981</v>
      </c>
      <c r="H55" s="60">
        <f>F55-D55</f>
        <v>0</v>
      </c>
      <c r="I55" s="38">
        <f>G55-E55</f>
        <v>-71504.119999999981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-2098942.1799999997</v>
      </c>
      <c r="F56" s="61">
        <f t="shared" si="10"/>
        <v>-10393487</v>
      </c>
      <c r="G56" s="39">
        <f t="shared" si="10"/>
        <v>-2184272.73</v>
      </c>
      <c r="H56" s="61">
        <f t="shared" si="10"/>
        <v>-10393487</v>
      </c>
      <c r="I56" s="39">
        <f t="shared" si="10"/>
        <v>-85330.550000000148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-59834.86</v>
      </c>
      <c r="H64" s="60">
        <f>F64-D64</f>
        <v>0</v>
      </c>
      <c r="I64" s="38">
        <f>G64-E64</f>
        <v>-59834.86</v>
      </c>
    </row>
    <row r="65" spans="1:9" x14ac:dyDescent="0.25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165.13999999999942</v>
      </c>
      <c r="H66" s="61">
        <f t="shared" si="12"/>
        <v>0</v>
      </c>
      <c r="I66" s="39">
        <f t="shared" si="12"/>
        <v>165.13999999999942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-876739.35</v>
      </c>
      <c r="F70" s="60">
        <f>'TX-CON-GL '!D70</f>
        <v>0</v>
      </c>
      <c r="G70" s="38">
        <f>'TX-CON-GL '!E70</f>
        <v>-840822.35</v>
      </c>
      <c r="H70" s="60">
        <f>F70-D70</f>
        <v>0</v>
      </c>
      <c r="I70" s="38">
        <f>G70-E70</f>
        <v>35917</v>
      </c>
    </row>
    <row r="71" spans="1:9" x14ac:dyDescent="0.25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1503217.93</v>
      </c>
      <c r="F71" s="60">
        <f>'TX-CON-GL '!D71</f>
        <v>0</v>
      </c>
      <c r="G71" s="38">
        <f>'TX-CON-GL '!E71</f>
        <v>1489400.93</v>
      </c>
      <c r="H71" s="60">
        <f>F71-D71</f>
        <v>0</v>
      </c>
      <c r="I71" s="38">
        <f>G71-E71</f>
        <v>-13817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5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160256.74</v>
      </c>
      <c r="F74" s="60">
        <f>'TX-CON-GL '!D74</f>
        <v>0</v>
      </c>
      <c r="G74" s="38">
        <f>'TX-CON-GL '!E74</f>
        <v>2667713</v>
      </c>
      <c r="H74" s="60">
        <f t="shared" ref="H74:I79" si="14">F74-D74</f>
        <v>0</v>
      </c>
      <c r="I74" s="38">
        <f t="shared" si="14"/>
        <v>2507456.2599999998</v>
      </c>
    </row>
    <row r="75" spans="1:9" x14ac:dyDescent="0.25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-1740</v>
      </c>
      <c r="F76" s="60">
        <f>'TX-CON-GL '!D76</f>
        <v>0</v>
      </c>
      <c r="G76" s="38">
        <f>'TX-CON-GL '!E76</f>
        <v>-1967.5</v>
      </c>
      <c r="H76" s="60">
        <f t="shared" si="14"/>
        <v>0</v>
      </c>
      <c r="I76" s="38">
        <f t="shared" si="14"/>
        <v>-227.5</v>
      </c>
    </row>
    <row r="77" spans="1:9" x14ac:dyDescent="0.25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-8162</v>
      </c>
      <c r="H77" s="60">
        <f t="shared" si="14"/>
        <v>0</v>
      </c>
      <c r="I77" s="38">
        <f t="shared" si="14"/>
        <v>100138</v>
      </c>
    </row>
    <row r="78" spans="1:9" x14ac:dyDescent="0.25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-11770</v>
      </c>
      <c r="F81" s="60">
        <f>'TX-CON-GL '!D81</f>
        <v>0</v>
      </c>
      <c r="G81" s="38">
        <f>'TX-CON-GL 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1884778.327387847</v>
      </c>
      <c r="F82" s="109">
        <f>F16+F24+F29+F36+F43+F45+F47+F49</f>
        <v>0</v>
      </c>
      <c r="G82" s="110">
        <f>SUM(G72:G81)+G16+G24+G29+G36+G43+G45+G47+G49+G51+G56+G61+G66</f>
        <v>2103809.5199999856</v>
      </c>
      <c r="H82" s="109">
        <f>H16+H24+H29+H36+H43+H45+H47+H49</f>
        <v>0</v>
      </c>
      <c r="I82" s="110">
        <f>SUM(I72:I81)+I16+I24+I29+I36+I43+I45+I47+I49+I51+I56+I61+I66</f>
        <v>219031.19261213817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'TX-CON-FLSH'!L86</f>
        <v>0</v>
      </c>
      <c r="E86" s="169">
        <f>'TX-CON-FLSH'!M86</f>
        <v>165000</v>
      </c>
      <c r="F86" s="169">
        <f>'TX-CON-GL '!D86</f>
        <v>0</v>
      </c>
      <c r="G86" s="169">
        <f>'TX-CON-GL '!E86</f>
        <v>3448749.2</v>
      </c>
      <c r="H86" s="169">
        <f t="shared" ref="H86:I88" si="15">F86-D86</f>
        <v>0</v>
      </c>
      <c r="I86" s="169">
        <f t="shared" si="15"/>
        <v>3283749.2</v>
      </c>
    </row>
    <row r="87" spans="1:63" x14ac:dyDescent="0.25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'TX-CON-FLSH'!L88</f>
        <v>0</v>
      </c>
      <c r="E88" s="171">
        <f>'TX-CON-FLSH'!M88</f>
        <v>0</v>
      </c>
      <c r="F88" s="171">
        <f>'TX-CON-GL '!D88</f>
        <v>0</v>
      </c>
      <c r="G88" s="171">
        <f>'TX-CON-GL '!E88</f>
        <v>-3174200</v>
      </c>
      <c r="H88" s="171">
        <f t="shared" si="15"/>
        <v>0</v>
      </c>
      <c r="I88" s="171">
        <f t="shared" si="15"/>
        <v>-3174200</v>
      </c>
    </row>
    <row r="89" spans="1:63" ht="15" x14ac:dyDescent="0.25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165000</v>
      </c>
      <c r="F89" s="179">
        <f t="shared" si="16"/>
        <v>0</v>
      </c>
      <c r="G89" s="179">
        <f t="shared" si="16"/>
        <v>274549.20000000019</v>
      </c>
      <c r="H89" s="179">
        <f t="shared" si="16"/>
        <v>0</v>
      </c>
      <c r="I89" s="179">
        <f t="shared" si="16"/>
        <v>109549.20000000019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5"/>
      <c r="B91" s="176"/>
      <c r="C91" s="181" t="s">
        <v>172</v>
      </c>
      <c r="D91" s="179">
        <f t="shared" ref="D91:I91" si="17">+D82+D89</f>
        <v>0</v>
      </c>
      <c r="E91" s="179">
        <f t="shared" si="17"/>
        <v>2049778.327387847</v>
      </c>
      <c r="F91" s="179">
        <f t="shared" si="17"/>
        <v>0</v>
      </c>
      <c r="G91" s="179">
        <f t="shared" si="17"/>
        <v>2378358.7199999858</v>
      </c>
      <c r="H91" s="179">
        <f t="shared" si="17"/>
        <v>0</v>
      </c>
      <c r="I91" s="179">
        <f t="shared" si="17"/>
        <v>328580.39261213836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'WE-FLSH'!L11</f>
        <v>30511507</v>
      </c>
      <c r="E11" s="66">
        <f>'WE-FLSH'!M11</f>
        <v>77372482</v>
      </c>
      <c r="F11" s="60">
        <f>'WE-GL '!D11</f>
        <v>30610982</v>
      </c>
      <c r="G11" s="38">
        <f>'WE-GL '!E11</f>
        <v>74845092.390000001</v>
      </c>
      <c r="H11" s="60">
        <f>F11-D11</f>
        <v>99475</v>
      </c>
      <c r="I11" s="38">
        <f>G11-E11</f>
        <v>-2527389.6099999994</v>
      </c>
    </row>
    <row r="12" spans="1:22" x14ac:dyDescent="0.25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2462385.1599999997</v>
      </c>
      <c r="H12" s="60">
        <f>F12-D12</f>
        <v>0</v>
      </c>
      <c r="I12" s="38">
        <f>G12-E12</f>
        <v>2462385.1599999997</v>
      </c>
    </row>
    <row r="13" spans="1:22" x14ac:dyDescent="0.25">
      <c r="A13" s="9">
        <v>3</v>
      </c>
      <c r="B13" s="7"/>
      <c r="C13" s="18" t="s">
        <v>27</v>
      </c>
      <c r="D13" s="65">
        <f>'WE-FLSH'!L13</f>
        <v>16114174</v>
      </c>
      <c r="E13" s="66">
        <f>'WE-FLSH'!M13</f>
        <v>43985024</v>
      </c>
      <c r="F13" s="60">
        <f>'WE-GL '!D13</f>
        <v>409730</v>
      </c>
      <c r="G13" s="38">
        <f>'WE-GL '!E13</f>
        <v>1004881</v>
      </c>
      <c r="H13" s="60">
        <f t="shared" ref="H13:I15" si="0">F13-D13</f>
        <v>-15704444</v>
      </c>
      <c r="I13" s="38">
        <f t="shared" si="0"/>
        <v>-42980143</v>
      </c>
    </row>
    <row r="14" spans="1:22" x14ac:dyDescent="0.25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1657093.31</v>
      </c>
      <c r="H15" s="60">
        <f t="shared" si="0"/>
        <v>0</v>
      </c>
      <c r="I15" s="38">
        <f t="shared" si="0"/>
        <v>1657093.31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46625681</v>
      </c>
      <c r="E16" s="39">
        <f t="shared" si="1"/>
        <v>121357506</v>
      </c>
      <c r="F16" s="61">
        <f t="shared" si="1"/>
        <v>31020712</v>
      </c>
      <c r="G16" s="39">
        <f t="shared" si="1"/>
        <v>79969451.859999999</v>
      </c>
      <c r="H16" s="61">
        <f t="shared" si="1"/>
        <v>-15604969</v>
      </c>
      <c r="I16" s="39">
        <f t="shared" si="1"/>
        <v>-41388054.140000001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'WE-FLSH'!L19</f>
        <v>-31688679</v>
      </c>
      <c r="E19" s="66">
        <f>'WE-FLSH'!M19</f>
        <v>-77791801</v>
      </c>
      <c r="F19" s="60">
        <f>'WE-GL '!D19</f>
        <v>-31524897</v>
      </c>
      <c r="G19" s="38">
        <f>'WE-GL '!E19</f>
        <v>-75644413.059999987</v>
      </c>
      <c r="H19" s="60">
        <f>F19-D19</f>
        <v>163782</v>
      </c>
      <c r="I19" s="38">
        <f>G19-E19</f>
        <v>2147387.9400000125</v>
      </c>
    </row>
    <row r="20" spans="1:9" x14ac:dyDescent="0.25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-1819771.8</v>
      </c>
      <c r="H20" s="60">
        <f>F20-D20</f>
        <v>0</v>
      </c>
      <c r="I20" s="38">
        <f>G20-E20</f>
        <v>-1819771.8</v>
      </c>
    </row>
    <row r="21" spans="1:9" x14ac:dyDescent="0.25">
      <c r="A21" s="9">
        <v>8</v>
      </c>
      <c r="B21" s="7"/>
      <c r="C21" s="18" t="s">
        <v>27</v>
      </c>
      <c r="D21" s="65">
        <f>'WE-FLSH'!L21</f>
        <v>-14820932</v>
      </c>
      <c r="E21" s="66">
        <f>'WE-FLSH'!M21</f>
        <v>-40713579</v>
      </c>
      <c r="F21" s="60">
        <f>'WE-GL '!D21</f>
        <v>-46580</v>
      </c>
      <c r="G21" s="38">
        <f>'WE-GL '!E21</f>
        <v>-129636</v>
      </c>
      <c r="H21" s="60">
        <f t="shared" ref="H21:I23" si="2">F21-D21</f>
        <v>14774352</v>
      </c>
      <c r="I21" s="38">
        <f t="shared" si="2"/>
        <v>40583943</v>
      </c>
    </row>
    <row r="22" spans="1:9" x14ac:dyDescent="0.25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'WE-FLSH'!L23</f>
        <v>270716</v>
      </c>
      <c r="E23" s="66">
        <f>'WE-FLSH'!M23</f>
        <v>705468</v>
      </c>
      <c r="F23" s="60">
        <f>'WE-GL '!D23</f>
        <v>305106</v>
      </c>
      <c r="G23" s="38">
        <f>'WE-GL '!E23</f>
        <v>729203.34000000008</v>
      </c>
      <c r="H23" s="60">
        <f t="shared" si="2"/>
        <v>34390</v>
      </c>
      <c r="I23" s="38">
        <f t="shared" si="2"/>
        <v>23735.340000000084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-46238895</v>
      </c>
      <c r="E24" s="39">
        <f t="shared" si="3"/>
        <v>-117799912</v>
      </c>
      <c r="F24" s="61">
        <f t="shared" si="3"/>
        <v>-31266371</v>
      </c>
      <c r="G24" s="39">
        <f t="shared" si="3"/>
        <v>-76864617.519999981</v>
      </c>
      <c r="H24" s="61">
        <f t="shared" si="3"/>
        <v>14972524</v>
      </c>
      <c r="I24" s="39">
        <f t="shared" si="3"/>
        <v>40935294.480000019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848229</v>
      </c>
      <c r="G27" s="38">
        <f>'WE-GL '!E27</f>
        <v>2115216.0099999998</v>
      </c>
      <c r="H27" s="60">
        <f>F27-D27</f>
        <v>848229</v>
      </c>
      <c r="I27" s="38">
        <f>G27-E27</f>
        <v>2115216.0099999998</v>
      </c>
    </row>
    <row r="28" spans="1:9" x14ac:dyDescent="0.25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-80000</v>
      </c>
      <c r="G28" s="38">
        <f>'WE-GL '!E28</f>
        <v>-217910</v>
      </c>
      <c r="H28" s="60">
        <f>F28-D28</f>
        <v>-80000</v>
      </c>
      <c r="I28" s="38">
        <f>G28-E28</f>
        <v>-217910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768229</v>
      </c>
      <c r="G29" s="70">
        <f t="shared" si="4"/>
        <v>1897306.0099999998</v>
      </c>
      <c r="H29" s="69">
        <f t="shared" si="4"/>
        <v>768229</v>
      </c>
      <c r="I29" s="70">
        <f t="shared" si="4"/>
        <v>1897306.0099999998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'WE-FLSH'!L32</f>
        <v>-33906</v>
      </c>
      <c r="E32" s="66">
        <f>'WE-FLSH'!M32</f>
        <v>-92962</v>
      </c>
      <c r="F32" s="60">
        <f>'WE-GL '!D32</f>
        <v>14497</v>
      </c>
      <c r="G32" s="38">
        <f>'WE-GL '!E32</f>
        <v>34647.83</v>
      </c>
      <c r="H32" s="60">
        <f>F32-D32</f>
        <v>48403</v>
      </c>
      <c r="I32" s="38">
        <f>G32-E32</f>
        <v>127609.83</v>
      </c>
    </row>
    <row r="33" spans="1:9" x14ac:dyDescent="0.25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-11708</v>
      </c>
      <c r="G33" s="38">
        <f>'WE-GL '!E33</f>
        <v>-31176.95</v>
      </c>
      <c r="H33" s="60">
        <f t="shared" ref="H33:I35" si="5">F33-D33</f>
        <v>-11708</v>
      </c>
      <c r="I33" s="38">
        <f t="shared" si="5"/>
        <v>-31176.95</v>
      </c>
    </row>
    <row r="34" spans="1:9" x14ac:dyDescent="0.25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6270</v>
      </c>
      <c r="G34" s="38">
        <f>'WE-GL '!E34</f>
        <v>14953.6</v>
      </c>
      <c r="H34" s="60">
        <f t="shared" si="5"/>
        <v>6270</v>
      </c>
      <c r="I34" s="38">
        <f t="shared" si="5"/>
        <v>14953.6</v>
      </c>
    </row>
    <row r="35" spans="1:9" x14ac:dyDescent="0.25">
      <c r="A35" s="9">
        <v>16</v>
      </c>
      <c r="B35" s="7"/>
      <c r="C35" s="18" t="s">
        <v>42</v>
      </c>
      <c r="D35" s="65">
        <f>'WE-FLSH'!L35</f>
        <v>-313014</v>
      </c>
      <c r="E35" s="66">
        <f>'WE-FLSH'!M35</f>
        <v>-885054</v>
      </c>
      <c r="F35" s="60">
        <f>'WE-GL '!D35</f>
        <v>0</v>
      </c>
      <c r="G35" s="38">
        <f>'WE-GL '!E35</f>
        <v>0</v>
      </c>
      <c r="H35" s="60">
        <f t="shared" si="5"/>
        <v>313014</v>
      </c>
      <c r="I35" s="38">
        <f t="shared" si="5"/>
        <v>885054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-346920</v>
      </c>
      <c r="E36" s="39">
        <f t="shared" si="6"/>
        <v>-978016</v>
      </c>
      <c r="F36" s="61">
        <f t="shared" si="6"/>
        <v>9059</v>
      </c>
      <c r="G36" s="39">
        <f t="shared" si="6"/>
        <v>18424.480000000003</v>
      </c>
      <c r="H36" s="61">
        <f t="shared" si="6"/>
        <v>355979</v>
      </c>
      <c r="I36" s="39">
        <f t="shared" si="6"/>
        <v>996440.48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'WE-FLSH'!L39</f>
        <v>53828</v>
      </c>
      <c r="E39" s="66">
        <f>'WE-FLSH'!M39</f>
        <v>127611</v>
      </c>
      <c r="F39" s="60">
        <f>'WE-GL '!D39</f>
        <v>0</v>
      </c>
      <c r="G39" s="38">
        <f>'WE-GL '!E39</f>
        <v>0</v>
      </c>
      <c r="H39" s="60">
        <f t="shared" ref="H39:I41" si="7">F39-D39</f>
        <v>-53828</v>
      </c>
      <c r="I39" s="38">
        <f t="shared" si="7"/>
        <v>-127611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'WE-FLSH'!L40</f>
        <v>-93773</v>
      </c>
      <c r="E40" s="66">
        <f>'WE-FLSH'!M40</f>
        <v>-259254</v>
      </c>
      <c r="F40" s="60">
        <f>'WE-GL '!D40</f>
        <v>-352905</v>
      </c>
      <c r="G40" s="38">
        <f>'WE-GL '!E40</f>
        <v>-914432.2300000001</v>
      </c>
      <c r="H40" s="60">
        <f t="shared" si="7"/>
        <v>-259132</v>
      </c>
      <c r="I40" s="38">
        <f t="shared" si="7"/>
        <v>-655178.2300000001</v>
      </c>
    </row>
    <row r="41" spans="1:9" x14ac:dyDescent="0.25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1">
        <f t="shared" ref="D42:I42" si="8">SUM(D40:D41)</f>
        <v>-93773</v>
      </c>
      <c r="E42" s="39">
        <f t="shared" si="8"/>
        <v>-259254</v>
      </c>
      <c r="F42" s="61">
        <f t="shared" si="8"/>
        <v>-352905</v>
      </c>
      <c r="G42" s="39">
        <f t="shared" si="8"/>
        <v>-914432.2300000001</v>
      </c>
      <c r="H42" s="61">
        <f t="shared" si="8"/>
        <v>-259132</v>
      </c>
      <c r="I42" s="39">
        <f t="shared" si="8"/>
        <v>-655178.2300000001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-39945</v>
      </c>
      <c r="E43" s="39">
        <f t="shared" si="9"/>
        <v>-131643</v>
      </c>
      <c r="F43" s="61">
        <f t="shared" si="9"/>
        <v>-352905</v>
      </c>
      <c r="G43" s="39">
        <f t="shared" si="9"/>
        <v>-914432.2300000001</v>
      </c>
      <c r="H43" s="61">
        <f t="shared" si="9"/>
        <v>-312960</v>
      </c>
      <c r="I43" s="39">
        <f t="shared" si="9"/>
        <v>-782789.2300000001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'WE-FLSH'!L49</f>
        <v>95</v>
      </c>
      <c r="E49" s="66">
        <f>'WE-FLSH'!M49</f>
        <v>227.03603693366651</v>
      </c>
      <c r="F49" s="60">
        <f>'WE-GL '!D49</f>
        <v>-178724</v>
      </c>
      <c r="G49" s="38">
        <f>'WE-GL '!E49</f>
        <v>-427150.35999999981</v>
      </c>
      <c r="H49" s="60">
        <f>F49-D49</f>
        <v>-178819</v>
      </c>
      <c r="I49" s="38">
        <f>G49-E49</f>
        <v>-427377.39603693347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'WE-FLSH'!L51</f>
        <v>-270716</v>
      </c>
      <c r="E51" s="66">
        <f>'WE-FLSH'!M51</f>
        <v>-705468</v>
      </c>
      <c r="F51" s="60">
        <f>'WE-GL '!D51</f>
        <v>-305106</v>
      </c>
      <c r="G51" s="38">
        <f>'WE-GL '!E51</f>
        <v>-729203.34000000008</v>
      </c>
      <c r="H51" s="60">
        <f>F51-D51</f>
        <v>-34390</v>
      </c>
      <c r="I51" s="38">
        <f>G51-E51</f>
        <v>-23735.340000000084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-1711</v>
      </c>
      <c r="F54" s="60">
        <f>'WE-GL '!D54</f>
        <v>-18352704</v>
      </c>
      <c r="G54" s="38">
        <f>'WE-GL '!E54</f>
        <v>-135661.15000000002</v>
      </c>
      <c r="H54" s="60">
        <f>F54-D54</f>
        <v>-18352704</v>
      </c>
      <c r="I54" s="38">
        <f>G54-E54</f>
        <v>-133950.15000000002</v>
      </c>
    </row>
    <row r="55" spans="1:9" x14ac:dyDescent="0.25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-1336060.51</v>
      </c>
      <c r="F55" s="60">
        <f>'WE-GL '!D55</f>
        <v>0</v>
      </c>
      <c r="G55" s="38">
        <f>'WE-GL '!E55</f>
        <v>-2552125.59</v>
      </c>
      <c r="H55" s="60">
        <f>F55-D55</f>
        <v>0</v>
      </c>
      <c r="I55" s="38">
        <f>G55-E55</f>
        <v>-1216065.0799999998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-1337771.51</v>
      </c>
      <c r="F56" s="61">
        <f t="shared" si="10"/>
        <v>-18352704</v>
      </c>
      <c r="G56" s="39">
        <f t="shared" si="10"/>
        <v>-2687786.7399999998</v>
      </c>
      <c r="H56" s="61">
        <f t="shared" si="10"/>
        <v>-18352704</v>
      </c>
      <c r="I56" s="39">
        <f t="shared" si="10"/>
        <v>-1350015.23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-1343082</v>
      </c>
      <c r="F70" s="60">
        <f>'WE-GL '!D70</f>
        <v>0</v>
      </c>
      <c r="G70" s="38">
        <f>'WE-GL '!E70</f>
        <v>-1343082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-2316418</v>
      </c>
      <c r="F71" s="60">
        <f>'WE-GL '!D71</f>
        <v>0</v>
      </c>
      <c r="G71" s="38">
        <f>'WE-GL '!E71</f>
        <v>-2316418.4</v>
      </c>
      <c r="H71" s="60">
        <f>F71-D71</f>
        <v>0</v>
      </c>
      <c r="I71" s="38">
        <f>G71-E71</f>
        <v>-0.39999999990686774</v>
      </c>
    </row>
    <row r="72" spans="1:9" x14ac:dyDescent="0.25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-3659500</v>
      </c>
      <c r="F72" s="61">
        <f t="shared" si="13"/>
        <v>0</v>
      </c>
      <c r="G72" s="39">
        <f t="shared" si="13"/>
        <v>-3659500.4</v>
      </c>
      <c r="H72" s="61">
        <f t="shared" si="13"/>
        <v>0</v>
      </c>
      <c r="I72" s="39">
        <f t="shared" si="13"/>
        <v>-0.39999999990686774</v>
      </c>
    </row>
    <row r="73" spans="1:9" x14ac:dyDescent="0.25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4339471.5</v>
      </c>
      <c r="F74" s="60">
        <f>'WE-GL '!D74</f>
        <v>0</v>
      </c>
      <c r="G74" s="38">
        <f>'WE-GL '!E74</f>
        <v>3918314</v>
      </c>
      <c r="H74" s="60">
        <f t="shared" ref="H74:I79" si="14">F74-D74</f>
        <v>0</v>
      </c>
      <c r="I74" s="38">
        <f t="shared" si="14"/>
        <v>-421157.5</v>
      </c>
    </row>
    <row r="75" spans="1:9" x14ac:dyDescent="0.25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11284</v>
      </c>
      <c r="F75" s="60">
        <f>'WE-GL '!D75</f>
        <v>0</v>
      </c>
      <c r="G75" s="38">
        <f>'WE-GL '!E75</f>
        <v>11300</v>
      </c>
      <c r="H75" s="60">
        <f t="shared" si="14"/>
        <v>0</v>
      </c>
      <c r="I75" s="38">
        <f t="shared" si="14"/>
        <v>16</v>
      </c>
    </row>
    <row r="76" spans="1:9" x14ac:dyDescent="0.25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-18099</v>
      </c>
      <c r="F76" s="60">
        <f>'WE-GL '!D76</f>
        <v>0</v>
      </c>
      <c r="G76" s="38">
        <f>'WE-GL '!E76</f>
        <v>-18100.05</v>
      </c>
      <c r="H76" s="60">
        <f t="shared" si="14"/>
        <v>0</v>
      </c>
      <c r="I76" s="38">
        <f t="shared" si="14"/>
        <v>-1.0499999999992724</v>
      </c>
    </row>
    <row r="77" spans="1:9" x14ac:dyDescent="0.25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-109060</v>
      </c>
      <c r="F81" s="60">
        <f>'WE-GL '!D81</f>
        <v>0</v>
      </c>
      <c r="G81" s="38">
        <f>'WE-GL '!E81</f>
        <v>59380.86</v>
      </c>
      <c r="H81" s="60">
        <f>F81-D81</f>
        <v>0</v>
      </c>
      <c r="I81" s="38">
        <f>G81-E81</f>
        <v>168440.86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969019.02603693376</v>
      </c>
      <c r="F82" s="109">
        <f>F16+F24+F29+F36+F43+F45+F47+F49</f>
        <v>0</v>
      </c>
      <c r="G82" s="110">
        <f>SUM(G72:G81)+G16+G24+G29+G36+G43+G45+G47+G49+G51+G56+G61+G66</f>
        <v>573386.57000001473</v>
      </c>
      <c r="H82" s="109">
        <f>H16+H24+H29+H36+H43+H45+H47+H49</f>
        <v>-16</v>
      </c>
      <c r="I82" s="110">
        <f>SUM(I72:I81)+I16+I24+I29+I36+I43+I45+I47+I49+I51+I56+I61+I66</f>
        <v>-395632.4560369188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G20" sqref="G20"/>
      <selection pane="topRight" activeCell="G20" sqref="G20"/>
      <selection pane="bottomLeft" activeCell="G20" sqref="G2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-71058</v>
      </c>
      <c r="H12" s="60">
        <f>F12-D12</f>
        <v>0</v>
      </c>
      <c r="I12" s="38">
        <f>G12-E12</f>
        <v>-71058</v>
      </c>
    </row>
    <row r="13" spans="1:22" x14ac:dyDescent="0.25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-7876343</v>
      </c>
      <c r="H13" s="60">
        <f t="shared" ref="H13:I15" si="0">F13-D13</f>
        <v>0</v>
      </c>
      <c r="I13" s="38">
        <f t="shared" si="0"/>
        <v>-7876343</v>
      </c>
    </row>
    <row r="14" spans="1:22" x14ac:dyDescent="0.25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-7947401</v>
      </c>
      <c r="H16" s="61">
        <f t="shared" si="1"/>
        <v>0</v>
      </c>
      <c r="I16" s="39">
        <f t="shared" si="1"/>
        <v>-7947401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-92370</v>
      </c>
      <c r="H51" s="60">
        <f>F51-D51</f>
        <v>0</v>
      </c>
      <c r="I51" s="38">
        <f>G51-E51</f>
        <v>-92370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9627402</v>
      </c>
      <c r="H70" s="60">
        <f>F70-D70</f>
        <v>0</v>
      </c>
      <c r="I70" s="38">
        <f>G70-E70</f>
        <v>9627402</v>
      </c>
    </row>
    <row r="71" spans="1:9" x14ac:dyDescent="0.25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9627402</v>
      </c>
      <c r="H72" s="69">
        <f t="shared" si="13"/>
        <v>0</v>
      </c>
      <c r="I72" s="70">
        <f t="shared" si="13"/>
        <v>9627402</v>
      </c>
    </row>
    <row r="73" spans="1:9" x14ac:dyDescent="0.25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-1157671</v>
      </c>
      <c r="H74" s="60">
        <f t="shared" ref="H74:I79" si="14">F74-D74</f>
        <v>0</v>
      </c>
      <c r="I74" s="38">
        <f t="shared" si="14"/>
        <v>-1157671</v>
      </c>
    </row>
    <row r="75" spans="1:9" x14ac:dyDescent="0.25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-8200</v>
      </c>
      <c r="H76" s="60">
        <f t="shared" si="14"/>
        <v>0</v>
      </c>
      <c r="I76" s="38">
        <f t="shared" si="14"/>
        <v>-8200</v>
      </c>
    </row>
    <row r="77" spans="1:9" x14ac:dyDescent="0.25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5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-219000</v>
      </c>
      <c r="F81" s="60">
        <f>STG_GL!D81</f>
        <v>0</v>
      </c>
      <c r="G81" s="38">
        <f>STG_GL!E81</f>
        <v>-94252</v>
      </c>
      <c r="H81" s="60">
        <f>F81-D81</f>
        <v>0</v>
      </c>
      <c r="I81" s="38">
        <f>G81-E81</f>
        <v>124748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-219000</v>
      </c>
      <c r="F82" s="109">
        <f>F16+F24+F29+F36+F43+F45+F47+F49</f>
        <v>0</v>
      </c>
      <c r="G82" s="110">
        <f>SUM(G72:G81)+G16+G24+G29+G36+G43+G45+G47+G49+G51+G56+G61+G66</f>
        <v>74187</v>
      </c>
      <c r="H82" s="109">
        <f>H16+H24+H29+H36+H43+H45+H47+H49</f>
        <v>0</v>
      </c>
      <c r="I82" s="110">
        <f>SUM(I72:I81)+I16+I24+I29+I36+I43+I45+I47+I49+I51+I56+I61+I66</f>
        <v>293187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ONT_FLSH!L11</f>
        <v>23454938</v>
      </c>
      <c r="E11" s="66">
        <f>ONT_FLSH!M11</f>
        <v>62968390</v>
      </c>
      <c r="F11" s="60">
        <f>'ONT_GL '!D11</f>
        <v>25590013</v>
      </c>
      <c r="G11" s="38">
        <f>'ONT_GL '!E11</f>
        <v>68445708.429999992</v>
      </c>
      <c r="H11" s="60">
        <f>F11-D11</f>
        <v>2135075</v>
      </c>
      <c r="I11" s="38">
        <f>G11-E11</f>
        <v>5477318.4299999923</v>
      </c>
    </row>
    <row r="12" spans="1:22" x14ac:dyDescent="0.25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963633.19</v>
      </c>
      <c r="H12" s="60">
        <f>F12-D12</f>
        <v>0</v>
      </c>
      <c r="I12" s="38">
        <f>G12-E12</f>
        <v>963633.19</v>
      </c>
    </row>
    <row r="13" spans="1:22" x14ac:dyDescent="0.25">
      <c r="A13" s="9">
        <v>3</v>
      </c>
      <c r="B13" s="7"/>
      <c r="C13" s="18" t="s">
        <v>27</v>
      </c>
      <c r="D13" s="65">
        <f>ONT_FLSH!L13</f>
        <v>5323406</v>
      </c>
      <c r="E13" s="66">
        <f>ONT_FLSH!M13</f>
        <v>13960052</v>
      </c>
      <c r="F13" s="60">
        <f>'ONT_GL '!D13</f>
        <v>235701</v>
      </c>
      <c r="G13" s="38">
        <f>'ONT_GL '!E13</f>
        <v>652860</v>
      </c>
      <c r="H13" s="60">
        <f t="shared" ref="H13:I15" si="0">F13-D13</f>
        <v>-5087705</v>
      </c>
      <c r="I13" s="38">
        <f t="shared" si="0"/>
        <v>-13307192</v>
      </c>
    </row>
    <row r="14" spans="1:22" x14ac:dyDescent="0.25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28778344</v>
      </c>
      <c r="E16" s="39">
        <f t="shared" si="1"/>
        <v>76928442</v>
      </c>
      <c r="F16" s="61">
        <f t="shared" si="1"/>
        <v>25825714</v>
      </c>
      <c r="G16" s="39">
        <f t="shared" si="1"/>
        <v>70062201.61999999</v>
      </c>
      <c r="H16" s="61">
        <f t="shared" si="1"/>
        <v>-2952630</v>
      </c>
      <c r="I16" s="39">
        <f t="shared" si="1"/>
        <v>-6866240.3800000083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ONT_FLSH!L19</f>
        <v>-23427327</v>
      </c>
      <c r="E19" s="66">
        <f>ONT_FLSH!M19</f>
        <v>-62432041</v>
      </c>
      <c r="F19" s="60">
        <f>'ONT_GL '!D19</f>
        <v>-27710341</v>
      </c>
      <c r="G19" s="38">
        <f>'ONT_GL '!E19</f>
        <v>-67803977.090000004</v>
      </c>
      <c r="H19" s="60">
        <f>F19-D19</f>
        <v>-4283014</v>
      </c>
      <c r="I19" s="38">
        <f>G19-E19</f>
        <v>-5371936.0900000036</v>
      </c>
    </row>
    <row r="20" spans="1:9" x14ac:dyDescent="0.25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-738613.08</v>
      </c>
      <c r="H20" s="60">
        <f>F20-D20</f>
        <v>0</v>
      </c>
      <c r="I20" s="38">
        <f>G20-E20</f>
        <v>-738613.08</v>
      </c>
    </row>
    <row r="21" spans="1:9" x14ac:dyDescent="0.25">
      <c r="A21" s="9">
        <v>8</v>
      </c>
      <c r="B21" s="7"/>
      <c r="C21" s="18" t="s">
        <v>27</v>
      </c>
      <c r="D21" s="65">
        <f>ONT_FLSH!L21</f>
        <v>-5305230</v>
      </c>
      <c r="E21" s="66">
        <f>ONT_FLSH!M21</f>
        <v>-14001196</v>
      </c>
      <c r="F21" s="60">
        <f>'ONT_GL '!D21</f>
        <v>-1028219</v>
      </c>
      <c r="G21" s="38">
        <f>'ONT_GL '!E21</f>
        <v>-2768905</v>
      </c>
      <c r="H21" s="60">
        <f t="shared" ref="H21:I23" si="2">F21-D21</f>
        <v>4277011</v>
      </c>
      <c r="I21" s="38">
        <f t="shared" si="2"/>
        <v>11232291</v>
      </c>
    </row>
    <row r="22" spans="1:9" x14ac:dyDescent="0.25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-28732557</v>
      </c>
      <c r="E24" s="39">
        <f t="shared" si="3"/>
        <v>-76433237</v>
      </c>
      <c r="F24" s="61">
        <f t="shared" si="3"/>
        <v>-28738560</v>
      </c>
      <c r="G24" s="39">
        <f t="shared" si="3"/>
        <v>-71311495.170000002</v>
      </c>
      <c r="H24" s="61">
        <f t="shared" si="3"/>
        <v>-6003</v>
      </c>
      <c r="I24" s="39">
        <f t="shared" si="3"/>
        <v>5121741.8299999963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ONT_FLSH!L32</f>
        <v>-18646</v>
      </c>
      <c r="E32" s="66">
        <f>ONT_FLSH!M32</f>
        <v>5814</v>
      </c>
      <c r="F32" s="60">
        <f>'ONT_GL '!D32</f>
        <v>-93646</v>
      </c>
      <c r="G32" s="38">
        <f>'ONT_GL '!E32</f>
        <v>-293113.32</v>
      </c>
      <c r="H32" s="60">
        <f>F32-D32</f>
        <v>-75000</v>
      </c>
      <c r="I32" s="38">
        <f>G32-E32</f>
        <v>-298927.32</v>
      </c>
    </row>
    <row r="33" spans="1:9" x14ac:dyDescent="0.25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-18646</v>
      </c>
      <c r="E36" s="39">
        <f t="shared" si="6"/>
        <v>5814</v>
      </c>
      <c r="F36" s="61">
        <f t="shared" si="6"/>
        <v>-93646</v>
      </c>
      <c r="G36" s="39">
        <f t="shared" si="6"/>
        <v>-293113.32</v>
      </c>
      <c r="H36" s="61">
        <f t="shared" si="6"/>
        <v>-75000</v>
      </c>
      <c r="I36" s="39">
        <f t="shared" si="6"/>
        <v>-298927.32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ONT_FLSH!L49</f>
        <v>-27141</v>
      </c>
      <c r="E49" s="66">
        <f>ONT_FLSH!M49</f>
        <v>-84951.33</v>
      </c>
      <c r="F49" s="60">
        <f>'ONT_GL '!D49</f>
        <v>3006492</v>
      </c>
      <c r="G49" s="38">
        <f>'ONT_GL '!E49</f>
        <v>9410319.5599999987</v>
      </c>
      <c r="H49" s="60">
        <f>F49-D49</f>
        <v>3033633</v>
      </c>
      <c r="I49" s="38">
        <f>G49-E49</f>
        <v>9495270.8899999987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-46572</v>
      </c>
      <c r="H54" s="60">
        <f>F54-D54</f>
        <v>0</v>
      </c>
      <c r="I54" s="38">
        <f>G54-E54</f>
        <v>-46572</v>
      </c>
    </row>
    <row r="55" spans="1:9" x14ac:dyDescent="0.25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-46572</v>
      </c>
      <c r="H56" s="61">
        <f t="shared" si="10"/>
        <v>0</v>
      </c>
      <c r="I56" s="39">
        <f t="shared" si="10"/>
        <v>-46572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-837625.47710170969</v>
      </c>
      <c r="F70" s="60">
        <f>'ONT_GL '!D70</f>
        <v>0</v>
      </c>
      <c r="G70" s="38">
        <f>'ONT_GL '!E70</f>
        <v>-837625.48</v>
      </c>
      <c r="H70" s="60">
        <f>F70-D70</f>
        <v>0</v>
      </c>
      <c r="I70" s="38">
        <f>G70-E70</f>
        <v>-2.8982902877032757E-3</v>
      </c>
    </row>
    <row r="71" spans="1:9" x14ac:dyDescent="0.25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756466</v>
      </c>
      <c r="F71" s="60">
        <f>'ONT_GL '!D71</f>
        <v>0</v>
      </c>
      <c r="G71" s="38">
        <f>'ONT_GL '!E71</f>
        <v>756466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-81159.477101709694</v>
      </c>
      <c r="F72" s="69">
        <f t="shared" si="13"/>
        <v>0</v>
      </c>
      <c r="G72" s="70">
        <f t="shared" si="13"/>
        <v>-81159.479999999981</v>
      </c>
      <c r="H72" s="69">
        <f t="shared" si="13"/>
        <v>0</v>
      </c>
      <c r="I72" s="70">
        <f t="shared" si="13"/>
        <v>-2.8982902877032757E-3</v>
      </c>
    </row>
    <row r="73" spans="1:9" x14ac:dyDescent="0.25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302842</v>
      </c>
      <c r="F74" s="60">
        <f>'ONT_GL '!D74</f>
        <v>0</v>
      </c>
      <c r="G74" s="38">
        <f>'ONT_GL '!E74</f>
        <v>-1153859</v>
      </c>
      <c r="H74" s="60">
        <f t="shared" ref="H74:I79" si="14">F74-D74</f>
        <v>0</v>
      </c>
      <c r="I74" s="38">
        <f t="shared" si="14"/>
        <v>-1456701</v>
      </c>
    </row>
    <row r="75" spans="1:9" x14ac:dyDescent="0.25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-340</v>
      </c>
      <c r="F76" s="60">
        <f>'ONT_GL '!D76</f>
        <v>0</v>
      </c>
      <c r="G76" s="38">
        <f>'ONT_GL '!E76</f>
        <v>-340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-192629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192629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444781.19289828656</v>
      </c>
      <c r="F82" s="109">
        <f>F16+F24+F29+F36+F43+F45+F47+F49</f>
        <v>0</v>
      </c>
      <c r="G82" s="110">
        <f>SUM(G72:G81)+G16+G24+G29+G36+G43+G45+G47+G49+G51+G56+G61+G66</f>
        <v>6585982.2099999823</v>
      </c>
      <c r="H82" s="109">
        <f>H16+H24+H29+H36+H43+H45+H47+H49</f>
        <v>0</v>
      </c>
      <c r="I82" s="110">
        <f>SUM(I72:I81)+I16+I24+I29+I36+I43+I45+I47+I49+I51+I56+I61+I66</f>
        <v>6141201.0171016958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163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166</v>
      </c>
      <c r="D86" s="169">
        <f>ONT_FLSH!L86</f>
        <v>0</v>
      </c>
      <c r="E86" s="169">
        <f>ONT_FLSH!M86</f>
        <v>21000</v>
      </c>
      <c r="F86" s="169">
        <f>'ONT_GL '!D86</f>
        <v>0</v>
      </c>
      <c r="G86" s="169">
        <f>'ONT_GL '!E86</f>
        <v>35123</v>
      </c>
      <c r="H86" s="169">
        <f t="shared" ref="H86:I88" si="15">F86-D86</f>
        <v>0</v>
      </c>
      <c r="I86" s="169">
        <f t="shared" si="15"/>
        <v>14123</v>
      </c>
    </row>
    <row r="87" spans="1:63" x14ac:dyDescent="0.25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-14123</v>
      </c>
      <c r="H88" s="171">
        <f t="shared" si="15"/>
        <v>0</v>
      </c>
      <c r="I88" s="171">
        <f t="shared" si="15"/>
        <v>-14123</v>
      </c>
    </row>
    <row r="89" spans="1:63" s="143" customFormat="1" x14ac:dyDescent="0.25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21000</v>
      </c>
      <c r="F89" s="184">
        <f t="shared" si="16"/>
        <v>0</v>
      </c>
      <c r="G89" s="184">
        <f t="shared" si="16"/>
        <v>21000</v>
      </c>
      <c r="H89" s="184">
        <f t="shared" si="16"/>
        <v>0</v>
      </c>
      <c r="I89" s="184">
        <f t="shared" si="16"/>
        <v>0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465781.19289828656</v>
      </c>
      <c r="F91" s="184">
        <f t="shared" si="17"/>
        <v>0</v>
      </c>
      <c r="G91" s="184">
        <f t="shared" si="17"/>
        <v>6606982.2099999823</v>
      </c>
      <c r="H91" s="184">
        <f t="shared" si="17"/>
        <v>0</v>
      </c>
      <c r="I91" s="184">
        <f t="shared" si="17"/>
        <v>6141201.0171016958</v>
      </c>
    </row>
    <row r="92" spans="1:63" s="143" customFormat="1" x14ac:dyDescent="0.25">
      <c r="A92" s="186"/>
      <c r="B92" s="183"/>
      <c r="D92" s="187"/>
      <c r="E92" s="187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3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BUG_FLSH!D11</f>
        <v>10187550</v>
      </c>
      <c r="E11" s="66">
        <f>BUG_FLSH!E11</f>
        <v>26402745</v>
      </c>
      <c r="F11" s="60">
        <f>BUG_GL!D11</f>
        <v>10040270</v>
      </c>
      <c r="G11" s="38">
        <f>BUG_GL!E11</f>
        <v>25678410.600000001</v>
      </c>
      <c r="H11" s="60">
        <f>F11-D11</f>
        <v>-147280</v>
      </c>
      <c r="I11" s="38">
        <f>G11-E11</f>
        <v>-724334.39999999851</v>
      </c>
    </row>
    <row r="12" spans="1:22" x14ac:dyDescent="0.25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BUG_FLSH!D13</f>
        <v>14374462</v>
      </c>
      <c r="E13" s="66">
        <f>BUG_FLSH!E13</f>
        <v>42702094</v>
      </c>
      <c r="F13" s="60">
        <f>BUG_GL!D13</f>
        <v>2165035</v>
      </c>
      <c r="G13" s="38">
        <f>BUG_GL!E13</f>
        <v>5982006</v>
      </c>
      <c r="H13" s="60">
        <f t="shared" ref="H13:I15" si="0">F13-D13</f>
        <v>-12209427</v>
      </c>
      <c r="I13" s="38">
        <f t="shared" si="0"/>
        <v>-36720088</v>
      </c>
    </row>
    <row r="14" spans="1:22" x14ac:dyDescent="0.25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10371919</v>
      </c>
      <c r="H15" s="60">
        <f t="shared" si="0"/>
        <v>0</v>
      </c>
      <c r="I15" s="38">
        <f t="shared" si="0"/>
        <v>10371919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24562012</v>
      </c>
      <c r="E16" s="39">
        <f t="shared" si="1"/>
        <v>69104839</v>
      </c>
      <c r="F16" s="61">
        <f t="shared" si="1"/>
        <v>12205305</v>
      </c>
      <c r="G16" s="39">
        <f t="shared" si="1"/>
        <v>42032335.600000001</v>
      </c>
      <c r="H16" s="61">
        <f t="shared" si="1"/>
        <v>-12356707</v>
      </c>
      <c r="I16" s="39">
        <f t="shared" si="1"/>
        <v>-27072503.399999999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BUG_FLSH!D19</f>
        <v>-8205022</v>
      </c>
      <c r="E19" s="66">
        <f>BUG_FLSH!E19</f>
        <v>-19561994</v>
      </c>
      <c r="F19" s="60">
        <f>BUG_GL!D19</f>
        <v>-8219440</v>
      </c>
      <c r="G19" s="38">
        <f>BUG_GL!E19</f>
        <v>-19168901</v>
      </c>
      <c r="H19" s="60">
        <f>F19-D19</f>
        <v>-14418</v>
      </c>
      <c r="I19" s="38">
        <f>G19-E19</f>
        <v>393093</v>
      </c>
    </row>
    <row r="20" spans="1:9" x14ac:dyDescent="0.25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-129890</v>
      </c>
      <c r="H20" s="60">
        <f>F20-D20</f>
        <v>0</v>
      </c>
      <c r="I20" s="38">
        <f>G20-E20</f>
        <v>-129890</v>
      </c>
    </row>
    <row r="21" spans="1:9" x14ac:dyDescent="0.25">
      <c r="A21" s="9">
        <v>8</v>
      </c>
      <c r="B21" s="7"/>
      <c r="C21" s="18" t="s">
        <v>27</v>
      </c>
      <c r="D21" s="65">
        <f>BUG_FLSH!D21</f>
        <v>-18849654</v>
      </c>
      <c r="E21" s="66">
        <f>BUG_FLSH!E21</f>
        <v>-54228520</v>
      </c>
      <c r="F21" s="60">
        <f>BUG_GL!D21</f>
        <v>-6656429</v>
      </c>
      <c r="G21" s="38">
        <f>BUG_GL!E21</f>
        <v>-17558374</v>
      </c>
      <c r="H21" s="60">
        <f t="shared" ref="H21:I23" si="2">F21-D21</f>
        <v>12193225</v>
      </c>
      <c r="I21" s="38">
        <f t="shared" si="2"/>
        <v>36670146</v>
      </c>
    </row>
    <row r="22" spans="1:9" x14ac:dyDescent="0.25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BUG_FLSH!D23</f>
        <v>478761</v>
      </c>
      <c r="E23" s="66">
        <f>BUG_FLSH!E23</f>
        <v>1304213</v>
      </c>
      <c r="F23" s="60">
        <f>BUG_GL!D23</f>
        <v>478761</v>
      </c>
      <c r="G23" s="38">
        <f>BUG_GL!E23</f>
        <v>0</v>
      </c>
      <c r="H23" s="60">
        <f t="shared" si="2"/>
        <v>0</v>
      </c>
      <c r="I23" s="38">
        <f t="shared" si="2"/>
        <v>-1304213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-26575915</v>
      </c>
      <c r="E24" s="39">
        <f t="shared" si="3"/>
        <v>-72486301</v>
      </c>
      <c r="F24" s="61">
        <f t="shared" si="3"/>
        <v>-14397108</v>
      </c>
      <c r="G24" s="39">
        <f t="shared" si="3"/>
        <v>-36857165</v>
      </c>
      <c r="H24" s="61">
        <f t="shared" si="3"/>
        <v>12178807</v>
      </c>
      <c r="I24" s="39">
        <f t="shared" si="3"/>
        <v>35629136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BUG_FLSH!D32</f>
        <v>-2784</v>
      </c>
      <c r="E32" s="66">
        <f>BUG_FLSH!E32</f>
        <v>-5239</v>
      </c>
      <c r="F32" s="60">
        <f>BUG_GL!D32</f>
        <v>1200000</v>
      </c>
      <c r="G32" s="38">
        <f>BUG_GL!E32</f>
        <v>0</v>
      </c>
      <c r="H32" s="60">
        <f>F32-D32</f>
        <v>1202784</v>
      </c>
      <c r="I32" s="38">
        <f>G32-E32</f>
        <v>5239</v>
      </c>
    </row>
    <row r="33" spans="1:9" x14ac:dyDescent="0.25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BUG_FLSH!D35</f>
        <v>600000</v>
      </c>
      <c r="E35" s="66">
        <f>BUG_FLSH!E35</f>
        <v>1628106</v>
      </c>
      <c r="F35" s="60">
        <f>BUG_GL!D35</f>
        <v>-600000</v>
      </c>
      <c r="G35" s="38">
        <f>BUG_GL!E35</f>
        <v>1732900</v>
      </c>
      <c r="H35" s="60">
        <f t="shared" si="5"/>
        <v>-1200000</v>
      </c>
      <c r="I35" s="38">
        <f t="shared" si="5"/>
        <v>104794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597216</v>
      </c>
      <c r="E36" s="39">
        <f t="shared" si="6"/>
        <v>1622867</v>
      </c>
      <c r="F36" s="61">
        <f t="shared" si="6"/>
        <v>600000</v>
      </c>
      <c r="G36" s="39">
        <f t="shared" si="6"/>
        <v>1732900</v>
      </c>
      <c r="H36" s="61">
        <f t="shared" si="6"/>
        <v>2784</v>
      </c>
      <c r="I36" s="39">
        <f t="shared" si="6"/>
        <v>110033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BUG_FLSH!D39</f>
        <v>1679791</v>
      </c>
      <c r="E39" s="66">
        <f>BUG_FLSH!E39</f>
        <v>4720380</v>
      </c>
      <c r="F39" s="60">
        <f>BUG_GL!D39</f>
        <v>1800836</v>
      </c>
      <c r="G39" s="38">
        <f>BUG_GL!E39</f>
        <v>5063442.54</v>
      </c>
      <c r="H39" s="60">
        <f t="shared" ref="H39:I41" si="7">F39-D39</f>
        <v>121045</v>
      </c>
      <c r="I39" s="38">
        <f t="shared" si="7"/>
        <v>343062.54000000004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BUG_FLSH!D40</f>
        <v>-202671</v>
      </c>
      <c r="E40" s="66">
        <f>BUG_FLSH!E40</f>
        <v>-563215</v>
      </c>
      <c r="F40" s="60">
        <f>BUG_GL!D40</f>
        <v>-17252</v>
      </c>
      <c r="G40" s="38">
        <f>BUG_GL!E40</f>
        <v>-48598.889999999992</v>
      </c>
      <c r="H40" s="60">
        <f t="shared" si="7"/>
        <v>185419</v>
      </c>
      <c r="I40" s="38">
        <f t="shared" si="7"/>
        <v>514616.11</v>
      </c>
    </row>
    <row r="41" spans="1:9" x14ac:dyDescent="0.25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-202671</v>
      </c>
      <c r="E42" s="70">
        <f t="shared" si="8"/>
        <v>-563215</v>
      </c>
      <c r="F42" s="69">
        <f t="shared" si="8"/>
        <v>-17252</v>
      </c>
      <c r="G42" s="70">
        <f t="shared" si="8"/>
        <v>-48598.889999999992</v>
      </c>
      <c r="H42" s="69">
        <f t="shared" si="8"/>
        <v>185419</v>
      </c>
      <c r="I42" s="70">
        <f t="shared" si="8"/>
        <v>514616.11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1477120</v>
      </c>
      <c r="E43" s="39">
        <f t="shared" si="9"/>
        <v>4157165</v>
      </c>
      <c r="F43" s="61">
        <f t="shared" si="9"/>
        <v>1783584</v>
      </c>
      <c r="G43" s="39">
        <f t="shared" si="9"/>
        <v>5014843.6500000004</v>
      </c>
      <c r="H43" s="61">
        <f t="shared" si="9"/>
        <v>306464</v>
      </c>
      <c r="I43" s="39">
        <f t="shared" si="9"/>
        <v>857678.65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BUG_FLSH!D49</f>
        <v>-60433</v>
      </c>
      <c r="E49" s="66">
        <f>BUG_FLSH!E49</f>
        <v>-153499.82</v>
      </c>
      <c r="F49" s="60">
        <f>BUG_GL!D49</f>
        <v>-191781</v>
      </c>
      <c r="G49" s="38">
        <f>BUG_GL!E49</f>
        <v>-487314.98200000264</v>
      </c>
      <c r="H49" s="60">
        <f>F49-D49</f>
        <v>-131348</v>
      </c>
      <c r="I49" s="38">
        <f>G49-E49</f>
        <v>-333815.16200000263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BUG_FLSH!D51</f>
        <v>-478761</v>
      </c>
      <c r="E51" s="66">
        <f>BUG_FLSH!E51</f>
        <v>-1304213</v>
      </c>
      <c r="F51" s="60">
        <f>BUG_GL!D51</f>
        <v>0</v>
      </c>
      <c r="G51" s="38">
        <f>BUG_GL!E51</f>
        <v>0</v>
      </c>
      <c r="H51" s="60">
        <f>F51-D51</f>
        <v>478761</v>
      </c>
      <c r="I51" s="38">
        <f>G51-E51</f>
        <v>1304213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-544443</v>
      </c>
      <c r="F54" s="60">
        <f>BUG_GL!D54</f>
        <v>-14288070</v>
      </c>
      <c r="G54" s="38">
        <f>BUG_GL!E54</f>
        <v>-3015958.53</v>
      </c>
      <c r="H54" s="60">
        <f>F54-D54</f>
        <v>-14288070</v>
      </c>
      <c r="I54" s="38">
        <f>G54-E54</f>
        <v>-2471515.5299999998</v>
      </c>
    </row>
    <row r="55" spans="1:9" x14ac:dyDescent="0.25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159396</v>
      </c>
      <c r="F55" s="60">
        <f>BUG_GL!D55</f>
        <v>0</v>
      </c>
      <c r="G55" s="38">
        <f>BUG_GL!E55</f>
        <v>-7763160.1600000001</v>
      </c>
      <c r="H55" s="60">
        <f>F55-D55</f>
        <v>0</v>
      </c>
      <c r="I55" s="38">
        <f>G55-E55</f>
        <v>-7922556.1600000001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-385047</v>
      </c>
      <c r="F56" s="61">
        <f t="shared" si="10"/>
        <v>-14288070</v>
      </c>
      <c r="G56" s="39">
        <f t="shared" si="10"/>
        <v>-10779118.689999999</v>
      </c>
      <c r="H56" s="61">
        <f t="shared" si="10"/>
        <v>-14288070</v>
      </c>
      <c r="I56" s="39">
        <f t="shared" si="10"/>
        <v>-10394071.689999999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8066078.1451007947</v>
      </c>
      <c r="F70" s="60">
        <f>BUG_GL!D70</f>
        <v>0</v>
      </c>
      <c r="G70" s="38">
        <f>BUG_GL!E70</f>
        <v>8066078.1500000004</v>
      </c>
      <c r="H70" s="60">
        <f>F70-D70</f>
        <v>0</v>
      </c>
      <c r="I70" s="38">
        <f>G70-E70</f>
        <v>4.8992056399583817E-3</v>
      </c>
    </row>
    <row r="71" spans="1:9" x14ac:dyDescent="0.25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-6989410</v>
      </c>
      <c r="F71" s="60">
        <f>BUG_GL!D71</f>
        <v>0</v>
      </c>
      <c r="G71" s="38">
        <f>BUG_GL!E71</f>
        <v>-6989410.2800000003</v>
      </c>
      <c r="H71" s="60">
        <f>F71-D71</f>
        <v>0</v>
      </c>
      <c r="I71" s="38">
        <f>G71-E71</f>
        <v>-0.28000000026077032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1076668.1451007947</v>
      </c>
      <c r="F72" s="69">
        <f t="shared" si="13"/>
        <v>0</v>
      </c>
      <c r="G72" s="70">
        <f t="shared" si="13"/>
        <v>1076667.8700000001</v>
      </c>
      <c r="H72" s="69">
        <f t="shared" si="13"/>
        <v>0</v>
      </c>
      <c r="I72" s="70">
        <f t="shared" si="13"/>
        <v>-0.27510079462081194</v>
      </c>
    </row>
    <row r="73" spans="1:9" x14ac:dyDescent="0.25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-1092870</v>
      </c>
      <c r="F74" s="60">
        <f>BUG_GL!D74</f>
        <v>0</v>
      </c>
      <c r="G74" s="38">
        <f>BUG_GL!E74</f>
        <v>-1197828</v>
      </c>
      <c r="H74" s="60">
        <f t="shared" ref="H74:I79" si="14">F74-D74</f>
        <v>0</v>
      </c>
      <c r="I74" s="38">
        <f t="shared" si="14"/>
        <v>-104958</v>
      </c>
    </row>
    <row r="75" spans="1:9" x14ac:dyDescent="0.25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25711</v>
      </c>
      <c r="F75" s="60">
        <f>BUG_GL!D75</f>
        <v>0</v>
      </c>
      <c r="G75" s="38">
        <f>BUG_GL!E75</f>
        <v>25700</v>
      </c>
      <c r="H75" s="60">
        <f t="shared" si="14"/>
        <v>0</v>
      </c>
      <c r="I75" s="38">
        <f t="shared" si="14"/>
        <v>-11</v>
      </c>
    </row>
    <row r="76" spans="1:9" x14ac:dyDescent="0.25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39257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-39257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604576.32510080235</v>
      </c>
      <c r="F82" s="109">
        <f>F16+F24+F29+F36+F43+F45+F47+F49</f>
        <v>0</v>
      </c>
      <c r="G82" s="110">
        <f>SUM(G72:G81)+G16+G24+G29+G36+G43+G45+G47+G49+G51+G56+G61+G66</f>
        <v>561020.44799999706</v>
      </c>
      <c r="H82" s="109">
        <f>H16+H24+H29+H36+H43+H45+H47+H49</f>
        <v>0</v>
      </c>
      <c r="I82" s="110">
        <f>SUM(I72:I81)+I16+I24+I29+I36+I43+I45+I47+I49+I51+I56+I61+I66</f>
        <v>-43555.877100793645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7"/>
  <sheetViews>
    <sheetView workbookViewId="0">
      <pane xSplit="4" ySplit="3" topLeftCell="P637" activePane="bottomRight" state="frozen"/>
      <selection pane="topRight" activeCell="E1" sqref="E1"/>
      <selection pane="bottomLeft" activeCell="A4" sqref="A4"/>
      <selection pane="bottomRight" activeCell="R655" sqref="R655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1" customWidth="1"/>
    <col min="8" max="8" width="12.33203125" customWidth="1"/>
    <col min="9" max="9" width="11.6640625" style="121" customWidth="1"/>
    <col min="10" max="10" width="11.33203125" customWidth="1"/>
    <col min="11" max="12" width="11.6640625" customWidth="1"/>
    <col min="13" max="13" width="12" customWidth="1"/>
    <col min="14" max="14" width="12.44140625" customWidth="1"/>
    <col min="15" max="15" width="11.5546875" customWidth="1"/>
    <col min="16" max="16" width="12.33203125" customWidth="1"/>
    <col min="17" max="17" width="10.6640625" customWidth="1"/>
    <col min="19" max="19" width="12" customWidth="1"/>
  </cols>
  <sheetData>
    <row r="1" spans="1:118" ht="28.5" customHeight="1" x14ac:dyDescent="0.25">
      <c r="E1" s="223">
        <v>36434</v>
      </c>
      <c r="F1" s="223"/>
      <c r="G1" s="224">
        <f>+E1+31</f>
        <v>36465</v>
      </c>
      <c r="H1" s="224"/>
      <c r="I1" s="224">
        <f>+G1+30</f>
        <v>36495</v>
      </c>
      <c r="J1" s="224"/>
      <c r="K1" s="218">
        <f>+I1+31</f>
        <v>36526</v>
      </c>
      <c r="L1" s="218"/>
      <c r="M1" s="218">
        <f>+K1+31</f>
        <v>36557</v>
      </c>
      <c r="N1" s="218"/>
      <c r="O1" s="218">
        <f>+M1+30</f>
        <v>36587</v>
      </c>
      <c r="P1" s="218"/>
      <c r="Q1" s="218">
        <f>+O1+31</f>
        <v>36618</v>
      </c>
      <c r="R1" s="218"/>
      <c r="S1" s="218">
        <f>+Q1+31</f>
        <v>36649</v>
      </c>
      <c r="T1" s="218"/>
      <c r="U1" s="218">
        <f>+S1+31</f>
        <v>36680</v>
      </c>
      <c r="V1" s="218"/>
      <c r="W1" s="218">
        <f>+U1+31</f>
        <v>36711</v>
      </c>
      <c r="X1" s="218"/>
      <c r="Y1" s="218">
        <f>+W1+31</f>
        <v>36742</v>
      </c>
      <c r="Z1" s="218"/>
      <c r="AA1" s="218">
        <f>+Y1+31</f>
        <v>36773</v>
      </c>
      <c r="AB1" s="218"/>
      <c r="AC1" s="218">
        <f>+AA1+31</f>
        <v>36804</v>
      </c>
      <c r="AD1" s="218"/>
      <c r="AE1" s="218">
        <f>+AC1+31</f>
        <v>36835</v>
      </c>
      <c r="AF1" s="218"/>
      <c r="AG1" s="218"/>
      <c r="AH1" s="218"/>
    </row>
    <row r="2" spans="1:118" x14ac:dyDescent="0.25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5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195</v>
      </c>
      <c r="F3" s="115" t="s">
        <v>196</v>
      </c>
      <c r="G3" s="164" t="s">
        <v>195</v>
      </c>
      <c r="H3" s="115" t="s">
        <v>196</v>
      </c>
      <c r="I3" s="164" t="s">
        <v>195</v>
      </c>
      <c r="J3" s="115" t="s">
        <v>196</v>
      </c>
      <c r="K3" s="114" t="s">
        <v>195</v>
      </c>
      <c r="L3" s="115" t="s">
        <v>196</v>
      </c>
      <c r="M3" s="114" t="s">
        <v>195</v>
      </c>
      <c r="N3" s="115" t="s">
        <v>196</v>
      </c>
      <c r="O3" s="114" t="s">
        <v>195</v>
      </c>
      <c r="P3" s="115" t="s">
        <v>196</v>
      </c>
      <c r="Q3" s="114" t="s">
        <v>195</v>
      </c>
      <c r="R3" s="115" t="s">
        <v>196</v>
      </c>
      <c r="S3" s="114" t="s">
        <v>122</v>
      </c>
      <c r="U3" s="114" t="s">
        <v>122</v>
      </c>
      <c r="W3" s="114" t="s">
        <v>122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5">
      <c r="A4" s="116" t="s">
        <v>123</v>
      </c>
      <c r="B4" s="116" t="s">
        <v>124</v>
      </c>
      <c r="C4" s="117">
        <v>1</v>
      </c>
      <c r="D4" s="116" t="s">
        <v>25</v>
      </c>
      <c r="E4" s="118">
        <v>115815</v>
      </c>
      <c r="F4" s="118">
        <v>296602.21000000002</v>
      </c>
      <c r="G4" s="122">
        <v>-376</v>
      </c>
      <c r="H4" s="119">
        <v>-962.93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5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5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5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5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5">
      <c r="A9" s="116" t="s">
        <v>123</v>
      </c>
      <c r="B9" s="116" t="s">
        <v>124</v>
      </c>
      <c r="C9" s="117">
        <v>6</v>
      </c>
      <c r="D9" s="116" t="s">
        <v>25</v>
      </c>
      <c r="E9" s="118">
        <v>0</v>
      </c>
      <c r="F9" s="118">
        <v>0</v>
      </c>
      <c r="G9" s="122">
        <v>0</v>
      </c>
      <c r="H9" s="119">
        <v>0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5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5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5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5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5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0</v>
      </c>
      <c r="H14" s="119">
        <v>0</v>
      </c>
      <c r="I14" s="122">
        <v>0</v>
      </c>
      <c r="J14" s="119">
        <v>2364084.0499999998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5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-115815</v>
      </c>
      <c r="F15" s="118">
        <v>-294170.09999999998</v>
      </c>
      <c r="G15" s="122">
        <v>376</v>
      </c>
      <c r="H15" s="119">
        <v>955.04</v>
      </c>
      <c r="I15" s="122">
        <v>0</v>
      </c>
      <c r="J15" s="119">
        <v>-2364084.0499999998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5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5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5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5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5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5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5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5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5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5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5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5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5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5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5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5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0</v>
      </c>
      <c r="F31" s="118">
        <v>822.38</v>
      </c>
      <c r="G31" s="122">
        <v>0</v>
      </c>
      <c r="H31" s="119">
        <v>0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5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5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5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5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5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5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5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5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5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5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5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5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5">
      <c r="A44" t="s">
        <v>138</v>
      </c>
      <c r="B44" t="s">
        <v>139</v>
      </c>
      <c r="C44">
        <v>1</v>
      </c>
      <c r="D44" t="s">
        <v>25</v>
      </c>
      <c r="E44" s="14">
        <v>7946777</v>
      </c>
      <c r="F44" s="14">
        <v>20602440.5</v>
      </c>
      <c r="G44" s="122">
        <v>-12592</v>
      </c>
      <c r="H44" s="119">
        <v>-49489.68</v>
      </c>
      <c r="I44" s="122">
        <v>0</v>
      </c>
      <c r="J44" s="119">
        <v>18200.310000000001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5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5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5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5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5">
      <c r="A49" t="s">
        <v>138</v>
      </c>
      <c r="B49" t="s">
        <v>139</v>
      </c>
      <c r="C49">
        <v>6</v>
      </c>
      <c r="D49" t="s">
        <v>25</v>
      </c>
      <c r="E49" s="14">
        <v>-1012221</v>
      </c>
      <c r="F49" s="14">
        <v>-2545487.98</v>
      </c>
      <c r="G49" s="122">
        <v>53577</v>
      </c>
      <c r="H49" s="119">
        <v>80340.38</v>
      </c>
      <c r="I49" s="122">
        <v>0</v>
      </c>
      <c r="J49" s="119">
        <v>3879.65</v>
      </c>
      <c r="K49" s="119">
        <v>0</v>
      </c>
      <c r="L49" s="119">
        <v>-31.56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  <c r="R49" s="119">
        <v>0</v>
      </c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5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5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5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5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12046</v>
      </c>
      <c r="H53" s="119">
        <v>32067.86</v>
      </c>
      <c r="I53" s="122">
        <v>245</v>
      </c>
      <c r="J53" s="119">
        <v>580.83000000000004</v>
      </c>
      <c r="K53" s="119">
        <v>0</v>
      </c>
      <c r="L53" s="119">
        <v>0</v>
      </c>
      <c r="M53" s="119">
        <v>-34561</v>
      </c>
      <c r="N53" s="119">
        <v>-88476.160000000003</v>
      </c>
      <c r="O53" s="119">
        <v>0</v>
      </c>
      <c r="P53" s="119">
        <v>0</v>
      </c>
      <c r="Q53" s="119">
        <v>0</v>
      </c>
      <c r="R53" s="119">
        <v>0</v>
      </c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5">
      <c r="A54" t="s">
        <v>138</v>
      </c>
      <c r="B54" t="s">
        <v>139</v>
      </c>
      <c r="C54">
        <v>11</v>
      </c>
      <c r="D54" t="s">
        <v>35</v>
      </c>
      <c r="E54" s="14">
        <v>2052776</v>
      </c>
      <c r="F54" s="14">
        <v>5490771.2400000002</v>
      </c>
      <c r="G54" s="122">
        <v>-518016</v>
      </c>
      <c r="H54" s="119">
        <v>-1376690.87</v>
      </c>
      <c r="I54" s="122">
        <v>30057</v>
      </c>
      <c r="J54" s="119">
        <v>79659.59</v>
      </c>
      <c r="K54" s="119">
        <v>-11866</v>
      </c>
      <c r="L54" s="119">
        <v>-31607.32</v>
      </c>
      <c r="M54" s="119">
        <v>145</v>
      </c>
      <c r="N54" s="119">
        <v>345.92</v>
      </c>
      <c r="O54" s="119">
        <v>12301</v>
      </c>
      <c r="P54" s="119">
        <v>32718.880000000001</v>
      </c>
      <c r="Q54" s="119">
        <v>2483</v>
      </c>
      <c r="R54" s="119">
        <v>6116.36</v>
      </c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5">
      <c r="A55" t="s">
        <v>138</v>
      </c>
      <c r="B55" t="s">
        <v>139</v>
      </c>
      <c r="C55">
        <v>12</v>
      </c>
      <c r="D55" t="s">
        <v>36</v>
      </c>
      <c r="E55" s="14">
        <v>-8984497</v>
      </c>
      <c r="F55" s="14">
        <v>-24231617.199999999</v>
      </c>
      <c r="G55" s="122">
        <v>499573</v>
      </c>
      <c r="H55" s="119">
        <v>1517835.76</v>
      </c>
      <c r="I55" s="122">
        <v>-20774</v>
      </c>
      <c r="J55" s="119">
        <v>-80229.25</v>
      </c>
      <c r="K55" s="119">
        <v>-290</v>
      </c>
      <c r="L55" s="119">
        <v>-24938.7</v>
      </c>
      <c r="M55" s="119">
        <v>-145</v>
      </c>
      <c r="N55" s="119">
        <v>73556.240000000005</v>
      </c>
      <c r="O55" s="119">
        <v>12500</v>
      </c>
      <c r="P55" s="119">
        <v>38943.64</v>
      </c>
      <c r="Q55" s="119">
        <v>145</v>
      </c>
      <c r="R55" s="119">
        <v>1380.94</v>
      </c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5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-20819</v>
      </c>
      <c r="H56" s="119">
        <v>-52901.078999999998</v>
      </c>
      <c r="I56" s="122">
        <v>0</v>
      </c>
      <c r="J56" s="119">
        <v>0</v>
      </c>
      <c r="K56" s="119">
        <v>0</v>
      </c>
      <c r="L56" s="119">
        <v>0</v>
      </c>
      <c r="M56" s="119">
        <v>34561</v>
      </c>
      <c r="N56" s="119">
        <v>87819.501000000004</v>
      </c>
      <c r="O56" s="119">
        <v>0</v>
      </c>
      <c r="P56" s="119">
        <v>0</v>
      </c>
      <c r="Q56" s="119">
        <v>0</v>
      </c>
      <c r="R56" s="119">
        <v>0</v>
      </c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5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5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5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5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781792</v>
      </c>
      <c r="H60" s="119">
        <v>1513002.06</v>
      </c>
      <c r="I60" s="122">
        <v>-168663</v>
      </c>
      <c r="J60" s="119">
        <v>-326413.5</v>
      </c>
      <c r="K60" s="119">
        <v>0</v>
      </c>
      <c r="L60" s="119">
        <v>0</v>
      </c>
      <c r="M60" s="119">
        <v>12645</v>
      </c>
      <c r="N60" s="119">
        <v>24471.87</v>
      </c>
      <c r="O60" s="119">
        <v>0</v>
      </c>
      <c r="P60" s="119">
        <v>0</v>
      </c>
      <c r="Q60" s="119">
        <v>-12645</v>
      </c>
      <c r="R60" s="119">
        <v>-24471.87</v>
      </c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5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-824091</v>
      </c>
      <c r="H61" s="119">
        <v>-1594863.31</v>
      </c>
      <c r="I61" s="122">
        <v>147655</v>
      </c>
      <c r="J61" s="119">
        <v>285756.71999999997</v>
      </c>
      <c r="K61" s="119">
        <v>0</v>
      </c>
      <c r="L61" s="119">
        <v>0</v>
      </c>
      <c r="M61" s="119">
        <v>-754</v>
      </c>
      <c r="N61" s="119">
        <v>-1459.22</v>
      </c>
      <c r="O61" s="119">
        <v>6901</v>
      </c>
      <c r="P61" s="119">
        <v>13355.51</v>
      </c>
      <c r="Q61" s="119">
        <v>-8775</v>
      </c>
      <c r="R61" s="119">
        <v>-16982.259999999998</v>
      </c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5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5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168</v>
      </c>
      <c r="H63" s="119">
        <v>-2443.19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0.1</v>
      </c>
      <c r="O63" s="119">
        <v>0</v>
      </c>
      <c r="P63" s="119">
        <v>0.2</v>
      </c>
      <c r="Q63" s="119">
        <v>0</v>
      </c>
      <c r="R63" s="119">
        <v>0</v>
      </c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5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5">
      <c r="A65" t="s">
        <v>138</v>
      </c>
      <c r="B65" t="s">
        <v>139</v>
      </c>
      <c r="C65">
        <v>22</v>
      </c>
      <c r="D65" t="s">
        <v>130</v>
      </c>
      <c r="E65" s="14">
        <v>-2835</v>
      </c>
      <c r="F65" s="14">
        <v>-7203.7349999999997</v>
      </c>
      <c r="G65" s="122">
        <v>28362</v>
      </c>
      <c r="H65" s="119">
        <v>72067.837</v>
      </c>
      <c r="I65" s="122">
        <v>11480</v>
      </c>
      <c r="J65" s="119">
        <v>29170.68</v>
      </c>
      <c r="K65" s="119">
        <v>12156</v>
      </c>
      <c r="L65" s="119">
        <v>30888.396000000001</v>
      </c>
      <c r="M65" s="119">
        <v>-11891</v>
      </c>
      <c r="N65" s="119">
        <v>-30215.030999999999</v>
      </c>
      <c r="O65" s="119">
        <v>-31702</v>
      </c>
      <c r="P65" s="119">
        <v>-80554.782000000007</v>
      </c>
      <c r="Q65" s="119">
        <v>18792</v>
      </c>
      <c r="R65" s="119">
        <v>47750.472000000002</v>
      </c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5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-12046</v>
      </c>
      <c r="H66" s="119">
        <v>-32067.86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5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-197508</v>
      </c>
      <c r="R67" s="119">
        <v>-5925.24</v>
      </c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5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5">
      <c r="A69" t="s">
        <v>138</v>
      </c>
      <c r="B69" t="s">
        <v>139</v>
      </c>
      <c r="C69">
        <v>26</v>
      </c>
      <c r="D69" t="s">
        <v>132</v>
      </c>
      <c r="E69" s="14">
        <v>3573613</v>
      </c>
      <c r="F69" s="14">
        <v>92399.35</v>
      </c>
      <c r="G69" s="122">
        <v>-399119</v>
      </c>
      <c r="H69" s="119">
        <v>-25010.57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5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5">
      <c r="A71" t="s">
        <v>138</v>
      </c>
      <c r="B71" t="s">
        <v>139</v>
      </c>
      <c r="C71">
        <v>28</v>
      </c>
      <c r="D71" t="s">
        <v>134</v>
      </c>
      <c r="E71" s="14">
        <v>-11254765</v>
      </c>
      <c r="F71" s="14">
        <v>-1248322.2</v>
      </c>
      <c r="G71" s="122">
        <v>-7217379</v>
      </c>
      <c r="H71" s="119">
        <v>-1112691.98</v>
      </c>
      <c r="I71" s="122">
        <v>-20674</v>
      </c>
      <c r="J71" s="119">
        <v>-2062.66</v>
      </c>
      <c r="K71" s="119">
        <v>0</v>
      </c>
      <c r="L71" s="119">
        <v>0.01</v>
      </c>
      <c r="M71" s="119">
        <v>-12645</v>
      </c>
      <c r="N71" s="119">
        <v>-0.01</v>
      </c>
      <c r="O71" s="119">
        <v>0</v>
      </c>
      <c r="P71" s="119">
        <v>0</v>
      </c>
      <c r="Q71" s="119">
        <v>12645</v>
      </c>
      <c r="R71" s="119">
        <v>-1123.6600000000001</v>
      </c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5">
      <c r="A72" t="s">
        <v>138</v>
      </c>
      <c r="B72" t="s">
        <v>139</v>
      </c>
      <c r="C72">
        <v>29</v>
      </c>
      <c r="D72" t="s">
        <v>135</v>
      </c>
      <c r="E72" s="14">
        <v>10482990</v>
      </c>
      <c r="F72" s="14">
        <v>607905.4</v>
      </c>
      <c r="G72" s="122">
        <v>7376025</v>
      </c>
      <c r="H72" s="119">
        <v>1113108.77</v>
      </c>
      <c r="I72" s="122">
        <v>20674</v>
      </c>
      <c r="J72" s="119">
        <v>2062.66</v>
      </c>
      <c r="K72" s="119">
        <v>0</v>
      </c>
      <c r="L72" s="119">
        <v>0</v>
      </c>
      <c r="M72" s="119">
        <v>0</v>
      </c>
      <c r="N72" s="119">
        <v>0.01</v>
      </c>
      <c r="O72" s="119">
        <v>0</v>
      </c>
      <c r="P72" s="119">
        <v>0</v>
      </c>
      <c r="Q72" s="119">
        <v>0</v>
      </c>
      <c r="R72" s="119">
        <v>0</v>
      </c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5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5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5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5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5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5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5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5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5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5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5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5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5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5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5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5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5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5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5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5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5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5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5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5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5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5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5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5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5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5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5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5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5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5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5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5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5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5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5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5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5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5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5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5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5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5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5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5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5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5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5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5">
      <c r="A124" t="s">
        <v>140</v>
      </c>
      <c r="B124" t="s">
        <v>141</v>
      </c>
      <c r="C124">
        <v>1</v>
      </c>
      <c r="D124" t="s">
        <v>25</v>
      </c>
      <c r="E124" s="14">
        <v>49970747</v>
      </c>
      <c r="F124" s="14">
        <v>131080881.31000002</v>
      </c>
      <c r="G124" s="122">
        <v>832838</v>
      </c>
      <c r="H124" s="119">
        <v>1031116.94</v>
      </c>
      <c r="I124" s="122">
        <v>-22496</v>
      </c>
      <c r="J124" s="119">
        <v>-125878.41</v>
      </c>
      <c r="K124" s="119">
        <v>0</v>
      </c>
      <c r="L124" s="119">
        <v>0</v>
      </c>
      <c r="M124" s="119">
        <v>11000</v>
      </c>
      <c r="N124" s="119">
        <v>29926.6</v>
      </c>
      <c r="O124" s="119">
        <v>0</v>
      </c>
      <c r="P124" s="119">
        <v>0</v>
      </c>
      <c r="Q124" s="119">
        <v>0</v>
      </c>
      <c r="R124" s="119">
        <v>0</v>
      </c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5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5">
      <c r="A126" t="s">
        <v>140</v>
      </c>
      <c r="B126" t="s">
        <v>141</v>
      </c>
      <c r="C126">
        <v>3</v>
      </c>
      <c r="D126" t="s">
        <v>27</v>
      </c>
      <c r="E126" s="14">
        <v>18205371</v>
      </c>
      <c r="F126" s="14">
        <v>50109495</v>
      </c>
      <c r="G126" s="122">
        <v>8744871</v>
      </c>
      <c r="H126" s="119">
        <v>23396475</v>
      </c>
      <c r="I126" s="122">
        <v>-18205371</v>
      </c>
      <c r="J126" s="119">
        <v>-50109495</v>
      </c>
      <c r="K126" s="119">
        <v>16539497</v>
      </c>
      <c r="L126" s="119">
        <v>48684100</v>
      </c>
      <c r="M126" s="119">
        <v>0</v>
      </c>
      <c r="N126" s="119">
        <v>0</v>
      </c>
      <c r="O126" s="119">
        <v>-16539497</v>
      </c>
      <c r="P126" s="119">
        <v>-48684100</v>
      </c>
      <c r="Q126" s="119">
        <v>0</v>
      </c>
      <c r="R126" s="119">
        <v>0</v>
      </c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5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5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1364377.86</v>
      </c>
      <c r="G128" s="122">
        <v>0</v>
      </c>
      <c r="H128" s="119">
        <v>335419.15999999997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-15</v>
      </c>
      <c r="O128" s="119">
        <v>0</v>
      </c>
      <c r="P128" s="119">
        <v>-28127</v>
      </c>
      <c r="Q128" s="119">
        <v>0</v>
      </c>
      <c r="R128" s="119">
        <v>0</v>
      </c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5">
      <c r="A129" t="s">
        <v>140</v>
      </c>
      <c r="B129" t="s">
        <v>141</v>
      </c>
      <c r="C129">
        <v>6</v>
      </c>
      <c r="D129" t="s">
        <v>25</v>
      </c>
      <c r="E129" s="14">
        <v>-53955816</v>
      </c>
      <c r="F129" s="14">
        <v>-134016378.83</v>
      </c>
      <c r="G129" s="122">
        <v>-969994</v>
      </c>
      <c r="H129" s="119">
        <v>-2245607.2999999998</v>
      </c>
      <c r="I129" s="122">
        <v>13342</v>
      </c>
      <c r="J129" s="119">
        <v>518747.78</v>
      </c>
      <c r="K129" s="119">
        <v>0</v>
      </c>
      <c r="L129" s="119">
        <v>0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  <c r="R129" s="119">
        <v>0</v>
      </c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5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5">
      <c r="A131" t="s">
        <v>140</v>
      </c>
      <c r="B131" t="s">
        <v>141</v>
      </c>
      <c r="C131">
        <v>8</v>
      </c>
      <c r="D131" t="s">
        <v>27</v>
      </c>
      <c r="E131" s="14">
        <v>-20187264</v>
      </c>
      <c r="F131" s="14">
        <v>-55179309</v>
      </c>
      <c r="G131" s="122">
        <v>-5190039</v>
      </c>
      <c r="H131" s="119">
        <v>-13596710</v>
      </c>
      <c r="I131" s="122">
        <v>20187264</v>
      </c>
      <c r="J131" s="119">
        <v>55179309</v>
      </c>
      <c r="K131" s="119">
        <v>-25506083</v>
      </c>
      <c r="L131" s="119">
        <v>-71786894</v>
      </c>
      <c r="M131" s="119">
        <v>0</v>
      </c>
      <c r="N131" s="119">
        <v>0</v>
      </c>
      <c r="O131" s="119">
        <v>25506083</v>
      </c>
      <c r="P131" s="119">
        <v>71786894</v>
      </c>
      <c r="Q131" s="119">
        <v>0</v>
      </c>
      <c r="R131" s="119">
        <v>0</v>
      </c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5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5">
      <c r="A133" t="s">
        <v>140</v>
      </c>
      <c r="B133" t="s">
        <v>141</v>
      </c>
      <c r="C133">
        <v>10</v>
      </c>
      <c r="D133" t="s">
        <v>32</v>
      </c>
      <c r="E133" s="14">
        <v>688197</v>
      </c>
      <c r="F133" s="14">
        <v>1531926.5220000001</v>
      </c>
      <c r="G133" s="122">
        <v>17205</v>
      </c>
      <c r="H133" s="119">
        <v>38298.33</v>
      </c>
      <c r="I133" s="122">
        <v>114</v>
      </c>
      <c r="J133" s="119">
        <v>283.86</v>
      </c>
      <c r="K133" s="119">
        <v>0</v>
      </c>
      <c r="L133" s="119">
        <v>0</v>
      </c>
      <c r="M133" s="119">
        <v>478761</v>
      </c>
      <c r="N133" s="119">
        <v>0</v>
      </c>
      <c r="O133" s="119">
        <v>0</v>
      </c>
      <c r="P133" s="119">
        <v>0</v>
      </c>
      <c r="Q133" s="119">
        <v>0</v>
      </c>
      <c r="R133" s="119">
        <v>0</v>
      </c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5">
      <c r="A134" t="s">
        <v>140</v>
      </c>
      <c r="B134" t="s">
        <v>141</v>
      </c>
      <c r="C134">
        <v>11</v>
      </c>
      <c r="D134" t="s">
        <v>35</v>
      </c>
      <c r="E134" s="14">
        <v>266722</v>
      </c>
      <c r="F134" s="14">
        <v>675104.87</v>
      </c>
      <c r="G134" s="122">
        <v>-30003</v>
      </c>
      <c r="H134" s="119">
        <v>-79507.289999999994</v>
      </c>
      <c r="I134" s="122">
        <v>30003</v>
      </c>
      <c r="J134" s="119">
        <v>79507.289999999994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5">
      <c r="A135" t="s">
        <v>140</v>
      </c>
      <c r="B135" t="s">
        <v>141</v>
      </c>
      <c r="C135">
        <v>12</v>
      </c>
      <c r="D135" t="s">
        <v>36</v>
      </c>
      <c r="E135" s="14">
        <v>-465963</v>
      </c>
      <c r="F135" s="14">
        <v>-1328630.18</v>
      </c>
      <c r="G135" s="122">
        <v>25007</v>
      </c>
      <c r="H135" s="119">
        <v>64167.15</v>
      </c>
      <c r="I135" s="122">
        <v>-30000</v>
      </c>
      <c r="J135" s="119">
        <v>-78750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5">
      <c r="A136" t="s">
        <v>140</v>
      </c>
      <c r="B136" t="s">
        <v>141</v>
      </c>
      <c r="C136">
        <v>13</v>
      </c>
      <c r="D136" t="s">
        <v>39</v>
      </c>
      <c r="E136" s="14">
        <v>-20487</v>
      </c>
      <c r="F136" s="14">
        <v>-45604.06</v>
      </c>
      <c r="G136" s="122">
        <v>-153634</v>
      </c>
      <c r="H136" s="119">
        <v>-341989.28600000002</v>
      </c>
      <c r="I136" s="122">
        <v>24843</v>
      </c>
      <c r="J136" s="119">
        <v>61859.07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>
        <v>1200000</v>
      </c>
      <c r="R136" s="119">
        <v>0</v>
      </c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5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-11791</v>
      </c>
      <c r="H137" s="119">
        <v>-31532.47</v>
      </c>
      <c r="I137" s="122">
        <v>-4839</v>
      </c>
      <c r="J137" s="119">
        <v>-13086.72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5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2386</v>
      </c>
      <c r="H138" s="119">
        <v>6378.73</v>
      </c>
      <c r="I138" s="122">
        <v>2631</v>
      </c>
      <c r="J138" s="119">
        <v>6835.33</v>
      </c>
      <c r="K138" s="119">
        <v>0</v>
      </c>
      <c r="L138" s="119">
        <v>0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5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-600000</v>
      </c>
      <c r="P139" s="119">
        <v>0</v>
      </c>
      <c r="Q139" s="119">
        <v>0</v>
      </c>
      <c r="R139" s="119">
        <v>0</v>
      </c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5">
      <c r="A140" t="s">
        <v>140</v>
      </c>
      <c r="B140" t="s">
        <v>141</v>
      </c>
      <c r="C140">
        <v>17</v>
      </c>
      <c r="D140" t="s">
        <v>126</v>
      </c>
      <c r="E140" s="14">
        <v>150</v>
      </c>
      <c r="F140" s="14">
        <v>333.9</v>
      </c>
      <c r="G140" s="122">
        <v>277088</v>
      </c>
      <c r="H140" s="119">
        <v>616797.89</v>
      </c>
      <c r="I140" s="122">
        <v>0</v>
      </c>
      <c r="J140" s="119">
        <v>0</v>
      </c>
      <c r="K140" s="119">
        <v>-12849</v>
      </c>
      <c r="L140" s="119">
        <v>-36210.18</v>
      </c>
      <c r="M140" s="119">
        <v>17252</v>
      </c>
      <c r="N140" s="119">
        <v>48598.879999999997</v>
      </c>
      <c r="O140" s="119">
        <v>-2489</v>
      </c>
      <c r="P140" s="119">
        <v>-6996.58</v>
      </c>
      <c r="Q140" s="119">
        <v>-505</v>
      </c>
      <c r="R140" s="119">
        <v>-1422.58</v>
      </c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5">
      <c r="A141" t="s">
        <v>140</v>
      </c>
      <c r="B141" t="s">
        <v>141</v>
      </c>
      <c r="C141">
        <v>18</v>
      </c>
      <c r="D141" t="s">
        <v>127</v>
      </c>
      <c r="E141" s="14">
        <v>-1</v>
      </c>
      <c r="F141" s="14">
        <v>-2.25</v>
      </c>
      <c r="G141" s="122">
        <v>-27716</v>
      </c>
      <c r="H141" s="119">
        <v>-121832.83</v>
      </c>
      <c r="I141" s="122">
        <v>0</v>
      </c>
      <c r="J141" s="119">
        <v>0</v>
      </c>
      <c r="K141" s="119">
        <v>47984</v>
      </c>
      <c r="L141" s="119">
        <v>129388.99</v>
      </c>
      <c r="M141" s="119">
        <v>-17252</v>
      </c>
      <c r="N141" s="119">
        <v>-48598.879999999997</v>
      </c>
      <c r="O141" s="119">
        <v>0</v>
      </c>
      <c r="P141" s="119">
        <v>0</v>
      </c>
      <c r="Q141" s="119">
        <v>0</v>
      </c>
      <c r="R141" s="119">
        <v>0</v>
      </c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5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5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5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5">
      <c r="A145" t="s">
        <v>140</v>
      </c>
      <c r="B145" t="s">
        <v>141</v>
      </c>
      <c r="C145">
        <v>22</v>
      </c>
      <c r="D145" t="s">
        <v>130</v>
      </c>
      <c r="E145" s="14">
        <v>5498344</v>
      </c>
      <c r="F145" s="14">
        <v>12239313.744000001</v>
      </c>
      <c r="G145" s="122">
        <v>-3516218</v>
      </c>
      <c r="H145" s="119">
        <v>-7827101.2680000011</v>
      </c>
      <c r="I145" s="122">
        <v>-1995491</v>
      </c>
      <c r="J145" s="119">
        <v>-4441962.966</v>
      </c>
      <c r="K145" s="119">
        <v>8931451</v>
      </c>
      <c r="L145" s="119">
        <v>22694816.991</v>
      </c>
      <c r="M145" s="119">
        <v>-489761</v>
      </c>
      <c r="N145" s="119">
        <v>-1244482.7009999999</v>
      </c>
      <c r="O145" s="119">
        <v>-8364097</v>
      </c>
      <c r="P145" s="119">
        <v>-21253170.477000002</v>
      </c>
      <c r="Q145" s="119">
        <v>-1199495</v>
      </c>
      <c r="R145" s="119">
        <v>-3047916.7949999999</v>
      </c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5">
      <c r="A146" t="s">
        <v>140</v>
      </c>
      <c r="B146" t="s">
        <v>141</v>
      </c>
      <c r="C146">
        <v>23</v>
      </c>
      <c r="D146" t="s">
        <v>131</v>
      </c>
      <c r="E146" s="14">
        <v>-688197</v>
      </c>
      <c r="F146" s="14">
        <v>-1531926.5220000001</v>
      </c>
      <c r="G146" s="122">
        <v>-17205</v>
      </c>
      <c r="H146" s="119">
        <v>-38298.33</v>
      </c>
      <c r="I146" s="122">
        <v>-114</v>
      </c>
      <c r="J146" s="119">
        <v>-283.86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5">
      <c r="A147" t="s">
        <v>140</v>
      </c>
      <c r="B147" t="s">
        <v>141</v>
      </c>
      <c r="C147">
        <v>24</v>
      </c>
      <c r="D147" t="s">
        <v>55</v>
      </c>
      <c r="E147" s="14">
        <v>-37726352</v>
      </c>
      <c r="F147" s="14">
        <v>-415191.02</v>
      </c>
      <c r="G147" s="122">
        <v>1222393</v>
      </c>
      <c r="H147" s="119">
        <v>198464.82</v>
      </c>
      <c r="I147" s="122">
        <v>-398072</v>
      </c>
      <c r="J147" s="119">
        <v>-994.81</v>
      </c>
      <c r="K147" s="119">
        <v>97110</v>
      </c>
      <c r="L147" s="119">
        <v>1434.45</v>
      </c>
      <c r="M147" s="119">
        <v>3161</v>
      </c>
      <c r="N147" s="119">
        <v>84.99</v>
      </c>
      <c r="O147" s="119">
        <v>2396</v>
      </c>
      <c r="P147" s="119">
        <v>222.03</v>
      </c>
      <c r="Q147" s="119">
        <v>0</v>
      </c>
      <c r="R147" s="119">
        <v>0</v>
      </c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5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-2160349.21</v>
      </c>
      <c r="G148" s="122">
        <v>0</v>
      </c>
      <c r="H148" s="119">
        <v>491447.41</v>
      </c>
      <c r="I148" s="122">
        <v>0</v>
      </c>
      <c r="J148" s="119">
        <v>-26083</v>
      </c>
      <c r="K148" s="119">
        <v>0</v>
      </c>
      <c r="L148" s="119">
        <v>-410416.98</v>
      </c>
      <c r="M148" s="119">
        <v>0</v>
      </c>
      <c r="N148" s="119">
        <v>-123538.18</v>
      </c>
      <c r="O148" s="119">
        <v>0</v>
      </c>
      <c r="P148" s="119">
        <v>0</v>
      </c>
      <c r="Q148" s="119">
        <v>0</v>
      </c>
      <c r="R148" s="119">
        <v>0</v>
      </c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5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5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5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5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5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5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5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5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5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5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0</v>
      </c>
      <c r="G158" s="122">
        <v>0</v>
      </c>
      <c r="H158" s="119">
        <v>-27417.32</v>
      </c>
      <c r="I158" s="122">
        <v>0</v>
      </c>
      <c r="J158" s="119">
        <v>755.43</v>
      </c>
      <c r="K158" s="119">
        <v>0</v>
      </c>
      <c r="L158" s="119">
        <v>0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5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5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5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5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5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5">
      <c r="A164" t="s">
        <v>140</v>
      </c>
      <c r="B164" t="s">
        <v>142</v>
      </c>
      <c r="C164">
        <v>1</v>
      </c>
      <c r="D164" t="s">
        <v>25</v>
      </c>
      <c r="E164" s="14">
        <v>82049283</v>
      </c>
      <c r="F164" s="14">
        <v>223298360.74000001</v>
      </c>
      <c r="G164" s="122">
        <v>534214</v>
      </c>
      <c r="H164" s="119">
        <v>-6020146.4900000002</v>
      </c>
      <c r="I164" s="122">
        <v>2817591</v>
      </c>
      <c r="J164" s="119">
        <v>7435359.5499999998</v>
      </c>
      <c r="K164" s="119">
        <v>56</v>
      </c>
      <c r="L164" s="119">
        <v>82501.8</v>
      </c>
      <c r="M164" s="119">
        <v>5010</v>
      </c>
      <c r="N164" s="119">
        <v>-104342.01</v>
      </c>
      <c r="O164" s="119">
        <v>-5128</v>
      </c>
      <c r="P164" s="119">
        <v>-13461</v>
      </c>
      <c r="Q164" s="119">
        <v>-15000</v>
      </c>
      <c r="R164" s="119">
        <v>-33390</v>
      </c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5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5">
      <c r="A166" t="s">
        <v>140</v>
      </c>
      <c r="B166" t="s">
        <v>142</v>
      </c>
      <c r="C166">
        <v>3</v>
      </c>
      <c r="D166" t="s">
        <v>27</v>
      </c>
      <c r="E166" s="14">
        <v>34702924</v>
      </c>
      <c r="F166" s="14">
        <v>94085465</v>
      </c>
      <c r="G166" s="122">
        <v>6809439</v>
      </c>
      <c r="H166" s="119">
        <v>17968977</v>
      </c>
      <c r="I166" s="122">
        <v>-34702924</v>
      </c>
      <c r="J166" s="119">
        <v>-94085465</v>
      </c>
      <c r="K166" s="119">
        <v>26928570</v>
      </c>
      <c r="L166" s="119">
        <v>73445067</v>
      </c>
      <c r="M166" s="119">
        <v>0</v>
      </c>
      <c r="N166" s="119">
        <v>0</v>
      </c>
      <c r="O166" s="119">
        <v>-26959613</v>
      </c>
      <c r="P166" s="119">
        <v>-73531694</v>
      </c>
      <c r="Q166" s="119">
        <v>2318</v>
      </c>
      <c r="R166" s="119">
        <v>5687</v>
      </c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5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5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1604977.6</v>
      </c>
      <c r="G168" s="122">
        <v>0</v>
      </c>
      <c r="H168" s="119">
        <v>94889.53</v>
      </c>
      <c r="I168" s="122">
        <v>0</v>
      </c>
      <c r="J168" s="119">
        <v>0</v>
      </c>
      <c r="K168" s="119">
        <v>0</v>
      </c>
      <c r="L168" s="119">
        <v>677904</v>
      </c>
      <c r="M168" s="119">
        <v>0</v>
      </c>
      <c r="N168" s="119">
        <v>-677904</v>
      </c>
      <c r="O168" s="119">
        <v>0</v>
      </c>
      <c r="P168" s="119">
        <v>11687</v>
      </c>
      <c r="Q168" s="119">
        <v>0</v>
      </c>
      <c r="R168" s="119">
        <v>0</v>
      </c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5">
      <c r="A169" t="s">
        <v>140</v>
      </c>
      <c r="B169" t="s">
        <v>142</v>
      </c>
      <c r="C169">
        <v>6</v>
      </c>
      <c r="D169" t="s">
        <v>25</v>
      </c>
      <c r="E169" s="14">
        <v>-96180858</v>
      </c>
      <c r="F169" s="14">
        <v>-248344120.63</v>
      </c>
      <c r="G169" s="122">
        <v>-311394</v>
      </c>
      <c r="H169" s="119">
        <v>-648784.59</v>
      </c>
      <c r="I169" s="122">
        <v>-17319</v>
      </c>
      <c r="J169" s="119">
        <v>-150783.18</v>
      </c>
      <c r="K169" s="119">
        <v>146536</v>
      </c>
      <c r="L169" s="119">
        <v>357629.47</v>
      </c>
      <c r="M169" s="119">
        <v>-1580</v>
      </c>
      <c r="N169" s="119">
        <v>-3268.94</v>
      </c>
      <c r="O169" s="119">
        <v>-15237</v>
      </c>
      <c r="P169" s="119">
        <v>-37649.31</v>
      </c>
      <c r="Q169" s="119">
        <v>0</v>
      </c>
      <c r="R169" s="119">
        <v>-2483.9899999999998</v>
      </c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5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5">
      <c r="A171" t="s">
        <v>140</v>
      </c>
      <c r="B171" t="s">
        <v>142</v>
      </c>
      <c r="C171">
        <v>8</v>
      </c>
      <c r="D171" t="s">
        <v>27</v>
      </c>
      <c r="E171" s="14">
        <v>-30570259</v>
      </c>
      <c r="F171" s="14">
        <v>-83479714</v>
      </c>
      <c r="G171" s="122">
        <v>-2678950</v>
      </c>
      <c r="H171" s="119">
        <v>-7365084</v>
      </c>
      <c r="I171" s="122">
        <v>30570259</v>
      </c>
      <c r="J171" s="119">
        <v>83479714</v>
      </c>
      <c r="K171" s="119">
        <v>-25377303</v>
      </c>
      <c r="L171" s="119">
        <v>-68776019</v>
      </c>
      <c r="M171" s="119">
        <v>0</v>
      </c>
      <c r="N171" s="119">
        <v>0</v>
      </c>
      <c r="O171" s="119">
        <v>25377303</v>
      </c>
      <c r="P171" s="119">
        <v>68776020</v>
      </c>
      <c r="Q171" s="119">
        <v>0</v>
      </c>
      <c r="R171" s="119">
        <v>0</v>
      </c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5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5">
      <c r="A173" t="s">
        <v>140</v>
      </c>
      <c r="B173" t="s">
        <v>142</v>
      </c>
      <c r="C173">
        <v>10</v>
      </c>
      <c r="D173" t="s">
        <v>32</v>
      </c>
      <c r="E173" s="14">
        <v>867880</v>
      </c>
      <c r="F173" s="14">
        <v>2205283.08</v>
      </c>
      <c r="G173" s="122">
        <v>7286</v>
      </c>
      <c r="H173" s="119">
        <v>18513.725999999999</v>
      </c>
      <c r="I173" s="122">
        <v>-615</v>
      </c>
      <c r="J173" s="119">
        <v>-1562.7149999999999</v>
      </c>
      <c r="K173" s="119">
        <v>1002</v>
      </c>
      <c r="L173" s="119">
        <v>2494.98</v>
      </c>
      <c r="M173" s="119">
        <v>348</v>
      </c>
      <c r="N173" s="119">
        <v>866.52</v>
      </c>
      <c r="O173" s="119">
        <v>-188498</v>
      </c>
      <c r="P173" s="119">
        <v>-469360.02</v>
      </c>
      <c r="Q173" s="119">
        <v>0</v>
      </c>
      <c r="R173" s="119">
        <v>0</v>
      </c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5">
      <c r="A174" t="s">
        <v>140</v>
      </c>
      <c r="B174" t="s">
        <v>142</v>
      </c>
      <c r="C174">
        <v>11</v>
      </c>
      <c r="D174" t="s">
        <v>35</v>
      </c>
      <c r="E174" s="14">
        <v>8799776</v>
      </c>
      <c r="F174" s="14">
        <v>23640633.190000001</v>
      </c>
      <c r="G174" s="122">
        <v>13398</v>
      </c>
      <c r="H174" s="119">
        <v>-105535.67999999999</v>
      </c>
      <c r="I174" s="122">
        <v>0</v>
      </c>
      <c r="J174" s="119">
        <v>0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5">
      <c r="A175" t="s">
        <v>140</v>
      </c>
      <c r="B175" t="s">
        <v>142</v>
      </c>
      <c r="C175">
        <v>12</v>
      </c>
      <c r="D175" t="s">
        <v>36</v>
      </c>
      <c r="E175" s="14">
        <v>-2261859</v>
      </c>
      <c r="F175" s="14">
        <v>-6071312.3300000001</v>
      </c>
      <c r="G175" s="122">
        <v>79829</v>
      </c>
      <c r="H175" s="119">
        <v>176229.02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5">
      <c r="A176" t="s">
        <v>140</v>
      </c>
      <c r="B176" t="s">
        <v>142</v>
      </c>
      <c r="C176">
        <v>13</v>
      </c>
      <c r="D176" t="s">
        <v>39</v>
      </c>
      <c r="E176" s="14">
        <v>-330012</v>
      </c>
      <c r="F176" s="14">
        <v>-838560.49</v>
      </c>
      <c r="G176" s="122">
        <v>2208353</v>
      </c>
      <c r="H176" s="119">
        <v>5611424.9709999999</v>
      </c>
      <c r="I176" s="122">
        <v>-2070127</v>
      </c>
      <c r="J176" s="119">
        <v>-5260192.7070000004</v>
      </c>
      <c r="K176" s="119">
        <v>33960</v>
      </c>
      <c r="L176" s="119">
        <v>84560.4</v>
      </c>
      <c r="M176" s="119">
        <v>-5320</v>
      </c>
      <c r="N176" s="119">
        <v>-13246.8</v>
      </c>
      <c r="O176" s="119">
        <v>-143060</v>
      </c>
      <c r="P176" s="119">
        <v>-356219.4</v>
      </c>
      <c r="Q176" s="119">
        <v>-30709</v>
      </c>
      <c r="R176" s="119">
        <v>-76465.41</v>
      </c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5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-271873</v>
      </c>
      <c r="H177" s="119">
        <v>-761220.95</v>
      </c>
      <c r="I177" s="122">
        <v>-16130</v>
      </c>
      <c r="J177" s="119">
        <v>-46017.95</v>
      </c>
      <c r="K177" s="119">
        <v>0</v>
      </c>
      <c r="L177" s="119">
        <v>0</v>
      </c>
      <c r="M177" s="119">
        <v>0</v>
      </c>
      <c r="N177" s="119">
        <v>0</v>
      </c>
      <c r="O177" s="119">
        <v>-13903</v>
      </c>
      <c r="P177" s="119">
        <v>-53295.05</v>
      </c>
      <c r="Q177" s="119">
        <v>-373</v>
      </c>
      <c r="R177" s="119">
        <v>-997.18</v>
      </c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5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39019</v>
      </c>
      <c r="H178" s="119">
        <v>102428.09</v>
      </c>
      <c r="I178" s="122">
        <v>16976</v>
      </c>
      <c r="J178" s="119">
        <v>48523.23</v>
      </c>
      <c r="K178" s="119">
        <v>0</v>
      </c>
      <c r="L178" s="119">
        <v>0</v>
      </c>
      <c r="M178" s="119">
        <v>0</v>
      </c>
      <c r="N178" s="119">
        <v>0</v>
      </c>
      <c r="O178" s="119">
        <v>110</v>
      </c>
      <c r="P178" s="119">
        <v>294.07</v>
      </c>
      <c r="Q178" s="119">
        <v>0</v>
      </c>
      <c r="R178" s="119">
        <v>0</v>
      </c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5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5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643878</v>
      </c>
      <c r="H180" s="119">
        <v>1636094</v>
      </c>
      <c r="I180" s="122">
        <v>0</v>
      </c>
      <c r="J180" s="119">
        <v>0</v>
      </c>
      <c r="K180" s="119">
        <v>-150</v>
      </c>
      <c r="L180" s="119">
        <v>-333.9</v>
      </c>
      <c r="M180" s="119">
        <v>0</v>
      </c>
      <c r="N180" s="119">
        <v>0</v>
      </c>
      <c r="O180" s="119">
        <v>0</v>
      </c>
      <c r="P180" s="119">
        <v>0</v>
      </c>
      <c r="Q180" s="119">
        <v>0</v>
      </c>
      <c r="R180" s="119">
        <v>0</v>
      </c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5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47315.02</v>
      </c>
      <c r="O181" s="119">
        <v>0</v>
      </c>
      <c r="P181" s="119">
        <v>0</v>
      </c>
      <c r="Q181" s="119">
        <v>0</v>
      </c>
      <c r="R181" s="119">
        <v>0</v>
      </c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5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5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5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5">
      <c r="A185" t="s">
        <v>140</v>
      </c>
      <c r="B185" t="s">
        <v>142</v>
      </c>
      <c r="C185">
        <v>22</v>
      </c>
      <c r="D185" t="s">
        <v>130</v>
      </c>
      <c r="E185" s="14">
        <v>2923125</v>
      </c>
      <c r="F185" s="14">
        <v>7427660.625</v>
      </c>
      <c r="G185" s="122">
        <v>-7073199</v>
      </c>
      <c r="H185" s="119">
        <v>-17972998.659000002</v>
      </c>
      <c r="I185" s="122">
        <v>3402289</v>
      </c>
      <c r="J185" s="119">
        <v>8645216.3489999995</v>
      </c>
      <c r="K185" s="119">
        <v>-1732671</v>
      </c>
      <c r="L185" s="119">
        <v>-3856925.6460000002</v>
      </c>
      <c r="M185" s="119">
        <v>1542</v>
      </c>
      <c r="N185" s="119">
        <v>3432.4920000000002</v>
      </c>
      <c r="O185" s="119">
        <v>1948026</v>
      </c>
      <c r="P185" s="119">
        <v>4336305.8760000002</v>
      </c>
      <c r="Q185" s="119">
        <v>43764</v>
      </c>
      <c r="R185" s="119">
        <v>97418.664000000004</v>
      </c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5">
      <c r="A186" t="s">
        <v>140</v>
      </c>
      <c r="B186" t="s">
        <v>142</v>
      </c>
      <c r="C186">
        <v>23</v>
      </c>
      <c r="D186" t="s">
        <v>131</v>
      </c>
      <c r="E186" s="14">
        <v>-867880</v>
      </c>
      <c r="F186" s="14">
        <v>-2205283.08</v>
      </c>
      <c r="G186" s="122">
        <v>-7286</v>
      </c>
      <c r="H186" s="119">
        <v>-18513.725999999999</v>
      </c>
      <c r="I186" s="122">
        <v>615</v>
      </c>
      <c r="J186" s="119">
        <v>1562.7149999999999</v>
      </c>
      <c r="K186" s="119">
        <v>-1002</v>
      </c>
      <c r="L186" s="119">
        <v>-2494.98</v>
      </c>
      <c r="M186" s="119">
        <v>-348</v>
      </c>
      <c r="N186" s="119">
        <v>-866.52</v>
      </c>
      <c r="O186" s="119">
        <v>188498</v>
      </c>
      <c r="P186" s="119">
        <v>469360.02</v>
      </c>
      <c r="Q186" s="119">
        <v>0</v>
      </c>
      <c r="R186" s="119">
        <v>0</v>
      </c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5">
      <c r="A187" t="s">
        <v>140</v>
      </c>
      <c r="B187" t="s">
        <v>142</v>
      </c>
      <c r="C187">
        <v>24</v>
      </c>
      <c r="D187" t="s">
        <v>55</v>
      </c>
      <c r="E187" s="14">
        <v>-78987258</v>
      </c>
      <c r="F187" s="14">
        <v>-2034117.41</v>
      </c>
      <c r="G187" s="122">
        <v>5250615</v>
      </c>
      <c r="H187" s="119">
        <v>1110868.02</v>
      </c>
      <c r="I187" s="122">
        <v>6724352</v>
      </c>
      <c r="J187" s="119">
        <v>10452.69</v>
      </c>
      <c r="K187" s="119">
        <v>-485</v>
      </c>
      <c r="L187" s="119">
        <v>28.26</v>
      </c>
      <c r="M187" s="119">
        <v>-6652</v>
      </c>
      <c r="N187" s="119">
        <v>847835.56</v>
      </c>
      <c r="O187" s="119">
        <v>-357736</v>
      </c>
      <c r="P187" s="119">
        <v>-423741.64</v>
      </c>
      <c r="Q187" s="119">
        <v>43674</v>
      </c>
      <c r="R187" s="119">
        <v>11670.85</v>
      </c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5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-1855816.88</v>
      </c>
      <c r="G188" s="122">
        <v>0</v>
      </c>
      <c r="H188" s="119">
        <v>450652.87</v>
      </c>
      <c r="I188" s="122">
        <v>0</v>
      </c>
      <c r="J188" s="119">
        <v>311911.78000000003</v>
      </c>
      <c r="K188" s="119">
        <v>0</v>
      </c>
      <c r="L188" s="119">
        <v>0</v>
      </c>
      <c r="M188" s="119">
        <v>0</v>
      </c>
      <c r="N188" s="119">
        <v>0</v>
      </c>
      <c r="O188" s="119">
        <v>0</v>
      </c>
      <c r="P188" s="119">
        <v>-424093.92</v>
      </c>
      <c r="Q188" s="119">
        <v>0</v>
      </c>
      <c r="R188" s="119">
        <v>0</v>
      </c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5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66712</v>
      </c>
      <c r="G189" s="122">
        <v>0</v>
      </c>
      <c r="H189" s="119">
        <v>-20494.8</v>
      </c>
      <c r="I189" s="122">
        <v>0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5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5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5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5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5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5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5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5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5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285.61</v>
      </c>
      <c r="G198" s="122">
        <v>0</v>
      </c>
      <c r="H198" s="119">
        <v>-15150.32</v>
      </c>
      <c r="I198" s="122">
        <v>0</v>
      </c>
      <c r="J198" s="119">
        <v>3401.51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5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5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5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5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5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348091.08</v>
      </c>
      <c r="G203" s="122">
        <v>0</v>
      </c>
      <c r="H203" s="119">
        <v>25723.82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5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5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5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5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5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5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5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5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5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5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5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5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5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5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5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5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5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5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5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5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5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5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5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5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5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5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5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5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5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5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5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5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5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5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5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5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5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5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5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5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5">
      <c r="A244" t="s">
        <v>140</v>
      </c>
      <c r="B244" t="s">
        <v>143</v>
      </c>
      <c r="C244">
        <v>1</v>
      </c>
      <c r="D244" t="s">
        <v>25</v>
      </c>
      <c r="E244" s="14">
        <v>10204172</v>
      </c>
      <c r="F244" s="14">
        <v>27521507.890000001</v>
      </c>
      <c r="G244" s="122">
        <v>-47502</v>
      </c>
      <c r="H244" s="119">
        <v>65804.36</v>
      </c>
      <c r="I244" s="122">
        <v>-485155</v>
      </c>
      <c r="J244" s="119">
        <v>-426259.74</v>
      </c>
      <c r="K244" s="119">
        <v>-429501</v>
      </c>
      <c r="L244" s="119">
        <v>-825087.79</v>
      </c>
      <c r="M244" s="119">
        <v>167</v>
      </c>
      <c r="N244" s="119">
        <v>-2782.45</v>
      </c>
      <c r="O244" s="119">
        <v>0</v>
      </c>
      <c r="P244" s="119">
        <v>0</v>
      </c>
      <c r="Q244" s="119">
        <v>-69094</v>
      </c>
      <c r="R244" s="119">
        <v>-173061.56</v>
      </c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5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5">
      <c r="A246" t="s">
        <v>140</v>
      </c>
      <c r="B246" t="s">
        <v>143</v>
      </c>
      <c r="C246">
        <v>3</v>
      </c>
      <c r="D246" t="s">
        <v>27</v>
      </c>
      <c r="E246" s="14">
        <v>9707997</v>
      </c>
      <c r="F246" s="14">
        <v>25915785</v>
      </c>
      <c r="G246" s="122">
        <v>15000</v>
      </c>
      <c r="H246" s="119">
        <v>44650</v>
      </c>
      <c r="I246" s="122">
        <v>-9707997</v>
      </c>
      <c r="J246" s="119">
        <v>-25915785</v>
      </c>
      <c r="K246" s="119">
        <v>41512363</v>
      </c>
      <c r="L246" s="119">
        <v>112054442</v>
      </c>
      <c r="M246" s="119">
        <v>0</v>
      </c>
      <c r="N246" s="119">
        <v>0</v>
      </c>
      <c r="O246" s="119">
        <v>-41512363</v>
      </c>
      <c r="P246" s="119">
        <v>-112054442</v>
      </c>
      <c r="Q246" s="119">
        <v>0</v>
      </c>
      <c r="R246" s="119">
        <v>0</v>
      </c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5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5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8059.15</v>
      </c>
      <c r="O248" s="119">
        <v>0</v>
      </c>
      <c r="P248" s="119">
        <v>1875.46</v>
      </c>
      <c r="Q248" s="119">
        <v>0</v>
      </c>
      <c r="R248" s="119">
        <v>-595.99</v>
      </c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5">
      <c r="A249" t="s">
        <v>140</v>
      </c>
      <c r="B249" t="s">
        <v>143</v>
      </c>
      <c r="C249">
        <v>6</v>
      </c>
      <c r="D249" t="s">
        <v>25</v>
      </c>
      <c r="E249" s="14">
        <v>-319293</v>
      </c>
      <c r="F249" s="14">
        <v>-817821.3</v>
      </c>
      <c r="G249" s="122">
        <v>-3545</v>
      </c>
      <c r="H249" s="119">
        <v>-8957.9500000000007</v>
      </c>
      <c r="I249" s="122">
        <v>-504</v>
      </c>
      <c r="J249" s="119">
        <v>-1232.28</v>
      </c>
      <c r="K249" s="119">
        <v>140881</v>
      </c>
      <c r="L249" s="119">
        <v>372940.79999999999</v>
      </c>
      <c r="M249" s="119">
        <v>10149</v>
      </c>
      <c r="N249" s="119">
        <v>26469.91</v>
      </c>
      <c r="O249" s="119">
        <v>-5</v>
      </c>
      <c r="P249" s="119">
        <v>6506.8</v>
      </c>
      <c r="Q249" s="119">
        <v>-3631</v>
      </c>
      <c r="R249" s="119">
        <v>-3323.62</v>
      </c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5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5">
      <c r="A251" t="s">
        <v>140</v>
      </c>
      <c r="B251" t="s">
        <v>143</v>
      </c>
      <c r="C251">
        <v>8</v>
      </c>
      <c r="D251" t="s">
        <v>27</v>
      </c>
      <c r="E251" s="14">
        <v>-9704287</v>
      </c>
      <c r="F251" s="14">
        <v>-25898983</v>
      </c>
      <c r="G251" s="122">
        <v>-8371</v>
      </c>
      <c r="H251" s="119">
        <v>-20676</v>
      </c>
      <c r="I251" s="122">
        <v>9704287</v>
      </c>
      <c r="J251" s="119">
        <v>25898983</v>
      </c>
      <c r="K251" s="119">
        <v>-33227209</v>
      </c>
      <c r="L251" s="119">
        <v>-90783084</v>
      </c>
      <c r="M251" s="119">
        <v>0</v>
      </c>
      <c r="N251" s="119">
        <v>0</v>
      </c>
      <c r="O251" s="119">
        <v>33249209</v>
      </c>
      <c r="P251" s="119">
        <v>90844798</v>
      </c>
      <c r="Q251" s="119">
        <v>0</v>
      </c>
      <c r="R251" s="119">
        <v>0</v>
      </c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5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5">
      <c r="A253" t="s">
        <v>140</v>
      </c>
      <c r="B253" t="s">
        <v>143</v>
      </c>
      <c r="C253">
        <v>10</v>
      </c>
      <c r="D253" t="s">
        <v>32</v>
      </c>
      <c r="E253" s="14">
        <v>7953</v>
      </c>
      <c r="F253" s="14">
        <v>19445.084999999999</v>
      </c>
      <c r="G253" s="122">
        <v>182</v>
      </c>
      <c r="H253" s="119">
        <v>444.99</v>
      </c>
      <c r="I253" s="122">
        <v>-203</v>
      </c>
      <c r="J253" s="119">
        <v>-496.33499999999998</v>
      </c>
      <c r="K253" s="119">
        <v>-475</v>
      </c>
      <c r="L253" s="119">
        <v>-1206.9749999999999</v>
      </c>
      <c r="M253" s="119">
        <v>-478066</v>
      </c>
      <c r="N253" s="119">
        <v>1765.9949999999999</v>
      </c>
      <c r="O253" s="119">
        <v>2511</v>
      </c>
      <c r="P253" s="119">
        <v>6380.451</v>
      </c>
      <c r="Q253" s="119">
        <v>-203336</v>
      </c>
      <c r="R253" s="119">
        <v>-516676.77600000001</v>
      </c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5">
      <c r="A254" t="s">
        <v>140</v>
      </c>
      <c r="B254" t="s">
        <v>143</v>
      </c>
      <c r="C254">
        <v>11</v>
      </c>
      <c r="D254" t="s">
        <v>35</v>
      </c>
      <c r="E254" s="14">
        <v>2571385</v>
      </c>
      <c r="F254" s="14">
        <v>6918793.0700000003</v>
      </c>
      <c r="G254" s="122">
        <v>146502</v>
      </c>
      <c r="H254" s="119">
        <v>395103.98</v>
      </c>
      <c r="I254" s="122">
        <v>-29155</v>
      </c>
      <c r="J254" s="119">
        <v>-76667.03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5">
      <c r="A255" t="s">
        <v>140</v>
      </c>
      <c r="B255" t="s">
        <v>143</v>
      </c>
      <c r="C255">
        <v>12</v>
      </c>
      <c r="D255" t="s">
        <v>36</v>
      </c>
      <c r="E255" s="14">
        <v>-7293646</v>
      </c>
      <c r="F255" s="14">
        <v>-19434613.02</v>
      </c>
      <c r="G255" s="122">
        <v>-5288121</v>
      </c>
      <c r="H255" s="119">
        <v>-14264367.9</v>
      </c>
      <c r="I255" s="122">
        <v>510539</v>
      </c>
      <c r="J255" s="119">
        <v>1382366.69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5">
      <c r="A256" t="s">
        <v>140</v>
      </c>
      <c r="B256" t="s">
        <v>143</v>
      </c>
      <c r="C256">
        <v>13</v>
      </c>
      <c r="D256" t="s">
        <v>39</v>
      </c>
      <c r="E256" s="14">
        <v>-5171195</v>
      </c>
      <c r="F256" s="14">
        <v>-12643571.779999999</v>
      </c>
      <c r="G256" s="122">
        <v>5190623</v>
      </c>
      <c r="H256" s="119">
        <v>12691073.24</v>
      </c>
      <c r="I256" s="122">
        <v>4477</v>
      </c>
      <c r="J256" s="119">
        <v>10946.264999999999</v>
      </c>
      <c r="K256" s="119">
        <v>236449</v>
      </c>
      <c r="L256" s="119">
        <v>600816.90899999999</v>
      </c>
      <c r="M256" s="119">
        <v>-22236</v>
      </c>
      <c r="N256" s="119">
        <v>-56501.675999999999</v>
      </c>
      <c r="O256" s="119">
        <v>-508</v>
      </c>
      <c r="P256" s="119">
        <v>-1290.828</v>
      </c>
      <c r="Q256" s="119">
        <v>204158</v>
      </c>
      <c r="R256" s="119">
        <v>518765.478</v>
      </c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5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0</v>
      </c>
      <c r="P257" s="119">
        <v>0</v>
      </c>
      <c r="Q257" s="119">
        <v>-1659</v>
      </c>
      <c r="R257" s="119">
        <v>-5947.69</v>
      </c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5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6556</v>
      </c>
      <c r="L258" s="119">
        <v>16575.740000000002</v>
      </c>
      <c r="M258" s="119">
        <v>1</v>
      </c>
      <c r="N258" s="119">
        <v>2.9</v>
      </c>
      <c r="O258" s="119">
        <v>288</v>
      </c>
      <c r="P258" s="119">
        <v>774.72</v>
      </c>
      <c r="Q258" s="119">
        <v>441</v>
      </c>
      <c r="R258" s="119">
        <v>1425.58</v>
      </c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5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643159</v>
      </c>
      <c r="P259" s="119">
        <v>0</v>
      </c>
      <c r="Q259" s="119">
        <v>0</v>
      </c>
      <c r="R259" s="119">
        <v>0</v>
      </c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5">
      <c r="A260" t="s">
        <v>140</v>
      </c>
      <c r="B260" t="s">
        <v>143</v>
      </c>
      <c r="C260">
        <v>17</v>
      </c>
      <c r="D260" t="s">
        <v>126</v>
      </c>
      <c r="E260" s="14">
        <v>0</v>
      </c>
      <c r="F260" s="14">
        <v>0</v>
      </c>
      <c r="G260" s="122">
        <v>0</v>
      </c>
      <c r="H260" s="119">
        <v>0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-43159</v>
      </c>
      <c r="P260" s="119">
        <v>96806</v>
      </c>
      <c r="Q260" s="119">
        <v>-1200000</v>
      </c>
      <c r="R260" s="119">
        <v>-3465800</v>
      </c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5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2">
        <v>0</v>
      </c>
      <c r="H261" s="119">
        <v>0</v>
      </c>
      <c r="I261" s="122">
        <v>0</v>
      </c>
      <c r="J261" s="119">
        <v>0</v>
      </c>
      <c r="K261" s="119">
        <v>-4052</v>
      </c>
      <c r="L261" s="119">
        <v>-0.01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5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5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5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5">
      <c r="A265" t="s">
        <v>140</v>
      </c>
      <c r="B265" t="s">
        <v>143</v>
      </c>
      <c r="C265">
        <v>22</v>
      </c>
      <c r="D265" t="s">
        <v>130</v>
      </c>
      <c r="E265" s="14">
        <v>-3086</v>
      </c>
      <c r="F265" s="14">
        <v>-7545.27</v>
      </c>
      <c r="G265" s="122">
        <v>-4768</v>
      </c>
      <c r="H265" s="119">
        <v>-11657.76</v>
      </c>
      <c r="I265" s="122">
        <v>3711</v>
      </c>
      <c r="J265" s="119">
        <v>9073.3950000000004</v>
      </c>
      <c r="K265" s="119">
        <v>-8235012</v>
      </c>
      <c r="L265" s="119">
        <v>-20925165.491999999</v>
      </c>
      <c r="M265" s="119">
        <v>489985</v>
      </c>
      <c r="N265" s="119">
        <v>1245051.885</v>
      </c>
      <c r="O265" s="119">
        <v>7660868</v>
      </c>
      <c r="P265" s="119">
        <v>19466265.588</v>
      </c>
      <c r="Q265" s="119">
        <v>1273121</v>
      </c>
      <c r="R265" s="119">
        <v>3235000.4610000001</v>
      </c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5">
      <c r="A266" t="s">
        <v>140</v>
      </c>
      <c r="B266" t="s">
        <v>143</v>
      </c>
      <c r="C266">
        <v>23</v>
      </c>
      <c r="D266" t="s">
        <v>131</v>
      </c>
      <c r="E266" s="14">
        <v>-7953</v>
      </c>
      <c r="F266" s="14">
        <v>-19445.084999999999</v>
      </c>
      <c r="G266" s="122">
        <v>-182</v>
      </c>
      <c r="H266" s="119">
        <v>-444.99</v>
      </c>
      <c r="I266" s="122">
        <v>203</v>
      </c>
      <c r="J266" s="119">
        <v>496.33499999999998</v>
      </c>
      <c r="K266" s="119">
        <v>475</v>
      </c>
      <c r="L266" s="119">
        <v>1206.9749999999999</v>
      </c>
      <c r="M266" s="119">
        <v>-695</v>
      </c>
      <c r="N266" s="119">
        <v>-1765.9949999999999</v>
      </c>
      <c r="O266" s="119">
        <v>-2511</v>
      </c>
      <c r="P266" s="119">
        <v>-6380.451</v>
      </c>
      <c r="Q266" s="119">
        <v>203336</v>
      </c>
      <c r="R266" s="119">
        <v>516676.77600000001</v>
      </c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5">
      <c r="A267" t="s">
        <v>140</v>
      </c>
      <c r="B267" t="s">
        <v>143</v>
      </c>
      <c r="C267">
        <v>24</v>
      </c>
      <c r="D267" t="s">
        <v>55</v>
      </c>
      <c r="E267" s="14">
        <v>-5955974</v>
      </c>
      <c r="F267" s="14">
        <v>-304596.65000000002</v>
      </c>
      <c r="G267" s="122">
        <v>-5289727</v>
      </c>
      <c r="H267" s="119">
        <v>-57733.68</v>
      </c>
      <c r="I267" s="122">
        <v>800979</v>
      </c>
      <c r="J267" s="119">
        <v>4971.93</v>
      </c>
      <c r="K267" s="119">
        <v>44437</v>
      </c>
      <c r="L267" s="119">
        <v>-54441.279999999999</v>
      </c>
      <c r="M267" s="119">
        <v>354515</v>
      </c>
      <c r="N267" s="119">
        <v>-7871.13</v>
      </c>
      <c r="O267" s="119">
        <v>-5</v>
      </c>
      <c r="P267" s="119">
        <v>-23356.32</v>
      </c>
      <c r="Q267" s="119">
        <v>-203525</v>
      </c>
      <c r="R267" s="119">
        <v>21895.77</v>
      </c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5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-88406.24</v>
      </c>
      <c r="G268" s="122">
        <v>0</v>
      </c>
      <c r="H268" s="119">
        <v>0</v>
      </c>
      <c r="I268" s="122">
        <v>0</v>
      </c>
      <c r="J268" s="119">
        <v>-151800.24</v>
      </c>
      <c r="K268" s="119">
        <v>0</v>
      </c>
      <c r="L268" s="119">
        <v>-279651.77</v>
      </c>
      <c r="M268" s="119">
        <v>0</v>
      </c>
      <c r="N268" s="119">
        <v>153667.85</v>
      </c>
      <c r="O268" s="119">
        <v>0</v>
      </c>
      <c r="P268" s="119">
        <v>75</v>
      </c>
      <c r="Q268" s="119">
        <v>0</v>
      </c>
      <c r="R268" s="119">
        <v>-75</v>
      </c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5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3280.94</v>
      </c>
      <c r="M269" s="119">
        <v>0</v>
      </c>
      <c r="N269" s="119">
        <v>0</v>
      </c>
      <c r="O269" s="119">
        <v>0</v>
      </c>
      <c r="P269" s="119">
        <v>0</v>
      </c>
      <c r="Q269" s="119">
        <v>0</v>
      </c>
      <c r="R269" s="119">
        <v>0</v>
      </c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5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5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-60000</v>
      </c>
      <c r="G271" s="122">
        <v>0</v>
      </c>
      <c r="H271" s="119">
        <v>-657.24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5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5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5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5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5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5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5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0</v>
      </c>
      <c r="G278" s="122">
        <v>0</v>
      </c>
      <c r="H278" s="119">
        <v>-1967.5</v>
      </c>
      <c r="I278" s="122">
        <v>0</v>
      </c>
      <c r="J278" s="119">
        <v>0</v>
      </c>
      <c r="K278" s="119">
        <v>0</v>
      </c>
      <c r="L278" s="119">
        <v>0</v>
      </c>
      <c r="M278" s="119">
        <v>0</v>
      </c>
      <c r="N278" s="119">
        <v>0</v>
      </c>
      <c r="O278" s="119">
        <v>0</v>
      </c>
      <c r="P278" s="119">
        <v>0</v>
      </c>
      <c r="Q278" s="119">
        <v>0</v>
      </c>
      <c r="R278" s="119">
        <v>0</v>
      </c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5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5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5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5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5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5">
      <c r="A284" t="s">
        <v>140</v>
      </c>
      <c r="B284" t="s">
        <v>144</v>
      </c>
      <c r="C284">
        <v>1</v>
      </c>
      <c r="D284" t="s">
        <v>25</v>
      </c>
      <c r="E284" s="14">
        <v>30604706</v>
      </c>
      <c r="F284" s="14">
        <v>75295448.150000006</v>
      </c>
      <c r="G284" s="122">
        <v>-98918</v>
      </c>
      <c r="H284" s="119">
        <v>-257995.28</v>
      </c>
      <c r="I284" s="122">
        <v>-16247</v>
      </c>
      <c r="J284" s="119">
        <v>-35615.050000000003</v>
      </c>
      <c r="K284" s="119">
        <v>0</v>
      </c>
      <c r="L284" s="119">
        <v>0</v>
      </c>
      <c r="M284" s="119">
        <v>28</v>
      </c>
      <c r="N284" s="119">
        <v>74.61</v>
      </c>
      <c r="O284" s="119">
        <v>-60777</v>
      </c>
      <c r="P284" s="119">
        <v>-142218.18</v>
      </c>
      <c r="Q284" s="119">
        <v>0</v>
      </c>
      <c r="R284" s="119">
        <v>0</v>
      </c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5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5">
      <c r="A286" t="s">
        <v>140</v>
      </c>
      <c r="B286" t="s">
        <v>144</v>
      </c>
      <c r="C286">
        <v>3</v>
      </c>
      <c r="D286" t="s">
        <v>27</v>
      </c>
      <c r="E286" s="14">
        <v>15184082</v>
      </c>
      <c r="F286" s="14">
        <v>41586426</v>
      </c>
      <c r="G286" s="122">
        <v>409730</v>
      </c>
      <c r="H286" s="119">
        <v>1004881</v>
      </c>
      <c r="I286" s="122">
        <v>-15184082</v>
      </c>
      <c r="J286" s="119">
        <v>-41586426</v>
      </c>
      <c r="K286" s="119">
        <v>3290643</v>
      </c>
      <c r="L286" s="119">
        <v>8707606</v>
      </c>
      <c r="M286" s="119">
        <v>0</v>
      </c>
      <c r="N286" s="119">
        <v>0</v>
      </c>
      <c r="O286" s="119">
        <v>-3290643</v>
      </c>
      <c r="P286" s="119">
        <v>-8707606</v>
      </c>
      <c r="Q286" s="119">
        <v>0</v>
      </c>
      <c r="R286" s="119">
        <v>0</v>
      </c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5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5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2">
        <v>0</v>
      </c>
      <c r="H288" s="119">
        <v>774195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>
        <v>0</v>
      </c>
      <c r="R288" s="119">
        <v>0</v>
      </c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5">
      <c r="A289" t="s">
        <v>140</v>
      </c>
      <c r="B289" t="s">
        <v>144</v>
      </c>
      <c r="C289">
        <v>6</v>
      </c>
      <c r="D289" t="s">
        <v>25</v>
      </c>
      <c r="E289" s="14">
        <v>-31615742</v>
      </c>
      <c r="F289" s="14">
        <v>-76097283.989999995</v>
      </c>
      <c r="G289" s="122">
        <v>35693</v>
      </c>
      <c r="H289" s="119">
        <v>44603.68</v>
      </c>
      <c r="I289" s="122">
        <v>40019</v>
      </c>
      <c r="J289" s="119">
        <v>-117965.33</v>
      </c>
      <c r="K289" s="119">
        <v>0</v>
      </c>
      <c r="L289" s="119">
        <v>819176.47</v>
      </c>
      <c r="M289" s="119">
        <v>0</v>
      </c>
      <c r="N289" s="119">
        <v>-2917.83</v>
      </c>
      <c r="O289" s="119">
        <v>0</v>
      </c>
      <c r="P289" s="119">
        <v>0</v>
      </c>
      <c r="Q289" s="119">
        <v>1</v>
      </c>
      <c r="R289" s="119">
        <v>3.27</v>
      </c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5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5">
      <c r="A291" t="s">
        <v>140</v>
      </c>
      <c r="B291" t="s">
        <v>144</v>
      </c>
      <c r="C291">
        <v>8</v>
      </c>
      <c r="D291" t="s">
        <v>27</v>
      </c>
      <c r="E291" s="14">
        <v>-14820932</v>
      </c>
      <c r="F291" s="14">
        <v>-40713580</v>
      </c>
      <c r="G291" s="122">
        <v>-46580</v>
      </c>
      <c r="H291" s="119">
        <v>-129636</v>
      </c>
      <c r="I291" s="122">
        <v>14820932</v>
      </c>
      <c r="J291" s="119">
        <v>40713580</v>
      </c>
      <c r="K291" s="119">
        <v>-2125601</v>
      </c>
      <c r="L291" s="119">
        <v>-5722810</v>
      </c>
      <c r="M291" s="119">
        <v>0</v>
      </c>
      <c r="N291" s="119">
        <v>0</v>
      </c>
      <c r="O291" s="119">
        <v>2125601</v>
      </c>
      <c r="P291" s="119">
        <v>5722810</v>
      </c>
      <c r="Q291" s="119">
        <v>0</v>
      </c>
      <c r="R291" s="119">
        <v>0</v>
      </c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5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5">
      <c r="A293" t="s">
        <v>140</v>
      </c>
      <c r="B293" t="s">
        <v>144</v>
      </c>
      <c r="C293">
        <v>10</v>
      </c>
      <c r="D293" t="s">
        <v>32</v>
      </c>
      <c r="E293" s="14">
        <v>309462</v>
      </c>
      <c r="F293" s="14">
        <v>739614.18</v>
      </c>
      <c r="G293" s="122">
        <v>-7013</v>
      </c>
      <c r="H293" s="119">
        <v>-16761.07</v>
      </c>
      <c r="I293" s="122">
        <v>-3381</v>
      </c>
      <c r="J293" s="119">
        <v>-8080.59</v>
      </c>
      <c r="K293" s="119">
        <v>0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5">
      <c r="A294" t="s">
        <v>140</v>
      </c>
      <c r="B294" t="s">
        <v>144</v>
      </c>
      <c r="C294">
        <v>11</v>
      </c>
      <c r="D294" t="s">
        <v>35</v>
      </c>
      <c r="E294" s="14">
        <v>848229</v>
      </c>
      <c r="F294" s="14">
        <v>2115216.0099999998</v>
      </c>
      <c r="G294" s="122">
        <v>0</v>
      </c>
      <c r="H294" s="119">
        <v>0</v>
      </c>
      <c r="I294" s="122">
        <v>0</v>
      </c>
      <c r="J294" s="119">
        <v>0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5">
      <c r="A295" t="s">
        <v>140</v>
      </c>
      <c r="B295" t="s">
        <v>144</v>
      </c>
      <c r="C295">
        <v>12</v>
      </c>
      <c r="D295" t="s">
        <v>36</v>
      </c>
      <c r="E295" s="14">
        <v>-80000</v>
      </c>
      <c r="F295" s="14">
        <v>-225700</v>
      </c>
      <c r="G295" s="122">
        <v>0</v>
      </c>
      <c r="H295" s="119">
        <v>7790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5">
      <c r="A296" t="s">
        <v>140</v>
      </c>
      <c r="B296" t="s">
        <v>144</v>
      </c>
      <c r="C296">
        <v>13</v>
      </c>
      <c r="D296" t="s">
        <v>39</v>
      </c>
      <c r="E296" s="14">
        <v>-13867</v>
      </c>
      <c r="F296" s="14">
        <v>-33142.129999999997</v>
      </c>
      <c r="G296" s="122">
        <v>-22104</v>
      </c>
      <c r="H296" s="119">
        <v>-52828.56</v>
      </c>
      <c r="I296" s="122">
        <v>5366</v>
      </c>
      <c r="J296" s="119">
        <v>12824.74</v>
      </c>
      <c r="K296" s="119">
        <v>18836</v>
      </c>
      <c r="L296" s="119">
        <v>58956.68</v>
      </c>
      <c r="M296" s="119">
        <v>0</v>
      </c>
      <c r="N296" s="119">
        <v>0</v>
      </c>
      <c r="O296" s="119">
        <v>0</v>
      </c>
      <c r="P296" s="119">
        <v>0</v>
      </c>
      <c r="Q296" s="119">
        <v>0</v>
      </c>
      <c r="R296" s="119">
        <v>0</v>
      </c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5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-11708</v>
      </c>
      <c r="H297" s="119">
        <v>-31176.95</v>
      </c>
      <c r="I297" s="122">
        <v>0</v>
      </c>
      <c r="J297" s="119">
        <v>0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5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6260</v>
      </c>
      <c r="H298" s="119">
        <v>14930.1</v>
      </c>
      <c r="I298" s="122">
        <v>10</v>
      </c>
      <c r="J298" s="119">
        <v>23.5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5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  <c r="R299" s="119">
        <v>0</v>
      </c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5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2">
        <v>0</v>
      </c>
      <c r="H300" s="119">
        <v>0</v>
      </c>
      <c r="I300" s="122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5">
      <c r="A301" t="s">
        <v>140</v>
      </c>
      <c r="B301" t="s">
        <v>144</v>
      </c>
      <c r="C301">
        <v>18</v>
      </c>
      <c r="D301" t="s">
        <v>127</v>
      </c>
      <c r="E301" s="14">
        <v>-39945</v>
      </c>
      <c r="F301" s="14">
        <v>-89476.800000000003</v>
      </c>
      <c r="G301" s="122">
        <v>-312960</v>
      </c>
      <c r="H301" s="119">
        <v>-824955.43</v>
      </c>
      <c r="I301" s="122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5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5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5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5">
      <c r="A305" t="s">
        <v>140</v>
      </c>
      <c r="B305" t="s">
        <v>144</v>
      </c>
      <c r="C305">
        <v>22</v>
      </c>
      <c r="D305" t="s">
        <v>130</v>
      </c>
      <c r="E305" s="14">
        <v>-375993</v>
      </c>
      <c r="F305" s="14">
        <v>-898623.27</v>
      </c>
      <c r="G305" s="122">
        <v>47600</v>
      </c>
      <c r="H305" s="119">
        <v>113764</v>
      </c>
      <c r="I305" s="122">
        <v>337383</v>
      </c>
      <c r="J305" s="119">
        <v>806345.37</v>
      </c>
      <c r="K305" s="119">
        <v>-1183878</v>
      </c>
      <c r="L305" s="119">
        <v>-3705538.14</v>
      </c>
      <c r="M305" s="119">
        <v>-28</v>
      </c>
      <c r="N305" s="119">
        <v>-87.64</v>
      </c>
      <c r="O305" s="119">
        <v>1225819</v>
      </c>
      <c r="P305" s="119">
        <v>3836813.47</v>
      </c>
      <c r="Q305" s="119">
        <v>-1</v>
      </c>
      <c r="R305" s="119">
        <v>-3.13</v>
      </c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5">
      <c r="A306" t="s">
        <v>140</v>
      </c>
      <c r="B306" t="s">
        <v>144</v>
      </c>
      <c r="C306">
        <v>23</v>
      </c>
      <c r="D306" t="s">
        <v>131</v>
      </c>
      <c r="E306" s="14">
        <v>-309462</v>
      </c>
      <c r="F306" s="14">
        <v>-739614.18</v>
      </c>
      <c r="G306" s="122">
        <v>7013</v>
      </c>
      <c r="H306" s="119">
        <v>16761.07</v>
      </c>
      <c r="I306" s="122">
        <v>3381</v>
      </c>
      <c r="J306" s="119">
        <v>8080.59</v>
      </c>
      <c r="K306" s="119">
        <v>0</v>
      </c>
      <c r="L306" s="119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5">
      <c r="A307" t="s">
        <v>140</v>
      </c>
      <c r="B307" t="s">
        <v>144</v>
      </c>
      <c r="C307">
        <v>24</v>
      </c>
      <c r="D307" t="s">
        <v>55</v>
      </c>
      <c r="E307" s="14">
        <v>-21545353</v>
      </c>
      <c r="F307" s="14">
        <v>-326828.27</v>
      </c>
      <c r="G307" s="122">
        <v>6965327</v>
      </c>
      <c r="H307" s="119">
        <v>257701.73</v>
      </c>
      <c r="I307" s="122">
        <v>126157</v>
      </c>
      <c r="J307" s="119">
        <v>-54006.27</v>
      </c>
      <c r="K307" s="119">
        <v>0</v>
      </c>
      <c r="L307" s="119">
        <v>0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5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-2470164.1</v>
      </c>
      <c r="G308" s="122">
        <v>0</v>
      </c>
      <c r="H308" s="119">
        <v>17980.439999999999</v>
      </c>
      <c r="I308" s="122">
        <v>0</v>
      </c>
      <c r="J308" s="119">
        <v>-13451.52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5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5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5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5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5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5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5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5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5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5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0</v>
      </c>
      <c r="G318" s="122">
        <v>0</v>
      </c>
      <c r="H318" s="119">
        <v>-18100.05</v>
      </c>
      <c r="I318" s="122">
        <v>0</v>
      </c>
      <c r="J318" s="119">
        <v>0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5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5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5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5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5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7142.86</v>
      </c>
      <c r="G323" s="122">
        <v>0</v>
      </c>
      <c r="H323" s="119">
        <v>52238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5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9371</v>
      </c>
      <c r="P324" s="119">
        <v>25723.39</v>
      </c>
      <c r="Q324" s="119">
        <v>0</v>
      </c>
      <c r="R324" s="119">
        <v>0</v>
      </c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5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5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4504441</v>
      </c>
      <c r="L326" s="119">
        <v>11834952</v>
      </c>
      <c r="M326" s="119">
        <v>0</v>
      </c>
      <c r="N326" s="119">
        <v>0</v>
      </c>
      <c r="O326" s="119">
        <v>-4504441</v>
      </c>
      <c r="P326" s="119">
        <v>-11834952</v>
      </c>
      <c r="Q326" s="119">
        <v>0</v>
      </c>
      <c r="R326" s="119">
        <v>0</v>
      </c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5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5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4</v>
      </c>
      <c r="O328" s="119">
        <v>0</v>
      </c>
      <c r="P328" s="119">
        <v>0</v>
      </c>
      <c r="Q328" s="119">
        <v>0</v>
      </c>
      <c r="R328" s="119">
        <v>0</v>
      </c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5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5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5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-7275629</v>
      </c>
      <c r="L331" s="119">
        <v>-19445416</v>
      </c>
      <c r="M331" s="119">
        <v>0</v>
      </c>
      <c r="N331" s="119">
        <v>0</v>
      </c>
      <c r="O331" s="119">
        <v>7285000</v>
      </c>
      <c r="P331" s="119">
        <v>19471139</v>
      </c>
      <c r="Q331" s="119">
        <v>0</v>
      </c>
      <c r="R331" s="119">
        <v>0</v>
      </c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5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5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188229</v>
      </c>
      <c r="P333" s="119">
        <v>494101.13</v>
      </c>
      <c r="Q333" s="119">
        <v>0</v>
      </c>
      <c r="R333" s="119">
        <v>0</v>
      </c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5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5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5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5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5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5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5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5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5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5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5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5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2771188</v>
      </c>
      <c r="L345" s="119">
        <v>7274368.5</v>
      </c>
      <c r="M345" s="119">
        <v>0</v>
      </c>
      <c r="N345" s="119">
        <v>0</v>
      </c>
      <c r="O345" s="119">
        <v>-2978159</v>
      </c>
      <c r="P345" s="119">
        <v>-7817667.375</v>
      </c>
      <c r="Q345" s="119">
        <v>0</v>
      </c>
      <c r="R345" s="119">
        <v>0</v>
      </c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5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-188229</v>
      </c>
      <c r="P346" s="119">
        <v>-494101.13</v>
      </c>
      <c r="Q346" s="119">
        <v>0</v>
      </c>
      <c r="R346" s="119">
        <v>0</v>
      </c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5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-9118</v>
      </c>
      <c r="L347" s="119">
        <v>0.01</v>
      </c>
      <c r="M347" s="119">
        <v>105</v>
      </c>
      <c r="N347" s="119">
        <v>0</v>
      </c>
      <c r="O347" s="119">
        <v>-253</v>
      </c>
      <c r="P347" s="119">
        <v>0</v>
      </c>
      <c r="Q347" s="119">
        <v>0</v>
      </c>
      <c r="R347" s="119">
        <v>0</v>
      </c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5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5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5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5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5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5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5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5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5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5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5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5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5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5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5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5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5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5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5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5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5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5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5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5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5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5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5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5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5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5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5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5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5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5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5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5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5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5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5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5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5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5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5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5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5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5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5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5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5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5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5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5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5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5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5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5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5"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18" x14ac:dyDescent="0.25"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18" x14ac:dyDescent="0.25"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18" x14ac:dyDescent="0.25"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18" x14ac:dyDescent="0.25"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18" x14ac:dyDescent="0.25"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18" x14ac:dyDescent="0.25"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18" x14ac:dyDescent="0.25"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18" x14ac:dyDescent="0.25"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18" x14ac:dyDescent="0.25"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18" x14ac:dyDescent="0.25"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18" x14ac:dyDescent="0.25">
      <c r="I415" s="166"/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18" x14ac:dyDescent="0.25"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1:18" x14ac:dyDescent="0.25"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1:18" x14ac:dyDescent="0.25"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1:18" x14ac:dyDescent="0.25"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1:18" x14ac:dyDescent="0.25"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1:18" x14ac:dyDescent="0.25"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1:18" x14ac:dyDescent="0.25"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1:18" x14ac:dyDescent="0.25"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1:18" x14ac:dyDescent="0.25"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1:18" x14ac:dyDescent="0.25"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1:18" x14ac:dyDescent="0.25"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1:18" x14ac:dyDescent="0.25"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1:18" x14ac:dyDescent="0.25"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1:18" x14ac:dyDescent="0.25"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1:18" x14ac:dyDescent="0.25"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1:18" x14ac:dyDescent="0.25"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1:18" x14ac:dyDescent="0.25"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1:18" x14ac:dyDescent="0.25"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1:18" x14ac:dyDescent="0.25"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1:18" x14ac:dyDescent="0.25"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1:18" x14ac:dyDescent="0.25"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1:18" x14ac:dyDescent="0.25"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1:18" x14ac:dyDescent="0.25"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1:18" x14ac:dyDescent="0.25"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1:18" x14ac:dyDescent="0.25"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1:18" x14ac:dyDescent="0.25"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1:18" x14ac:dyDescent="0.25"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1:18" x14ac:dyDescent="0.25"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1:18" x14ac:dyDescent="0.25">
      <c r="K444">
        <v>0</v>
      </c>
      <c r="L444">
        <v>0</v>
      </c>
      <c r="M444">
        <v>0</v>
      </c>
      <c r="N444">
        <v>-7200</v>
      </c>
      <c r="O444">
        <v>8</v>
      </c>
      <c r="P444">
        <v>8477.32</v>
      </c>
      <c r="Q444">
        <v>-8</v>
      </c>
      <c r="R444">
        <v>4104.53</v>
      </c>
    </row>
    <row r="445" spans="11:18" x14ac:dyDescent="0.25"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1:18" x14ac:dyDescent="0.25">
      <c r="K446">
        <v>9722997</v>
      </c>
      <c r="L446">
        <v>25960435</v>
      </c>
      <c r="M446">
        <v>0</v>
      </c>
      <c r="N446">
        <v>0</v>
      </c>
      <c r="O446">
        <v>-9722997</v>
      </c>
      <c r="P446">
        <v>-25960435</v>
      </c>
      <c r="Q446">
        <v>0</v>
      </c>
      <c r="R446">
        <v>0</v>
      </c>
    </row>
    <row r="447" spans="11:18" x14ac:dyDescent="0.25"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1:18" x14ac:dyDescent="0.25"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1:18" x14ac:dyDescent="0.25">
      <c r="K449">
        <v>182</v>
      </c>
      <c r="L449">
        <v>444.99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1:18" x14ac:dyDescent="0.25"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1:18" x14ac:dyDescent="0.25">
      <c r="K451">
        <v>-9712986</v>
      </c>
      <c r="L451">
        <v>-25920470</v>
      </c>
      <c r="M451">
        <v>0</v>
      </c>
      <c r="N451">
        <v>0</v>
      </c>
      <c r="O451">
        <v>9712658</v>
      </c>
      <c r="P451">
        <v>25919659</v>
      </c>
      <c r="Q451">
        <v>-2318</v>
      </c>
      <c r="R451">
        <v>-5686</v>
      </c>
    </row>
    <row r="452" spans="11:18" x14ac:dyDescent="0.25"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1:18" x14ac:dyDescent="0.25">
      <c r="K453">
        <v>170</v>
      </c>
      <c r="L453">
        <v>415.65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1:18" x14ac:dyDescent="0.25">
      <c r="K454">
        <v>-400</v>
      </c>
      <c r="L454">
        <v>1420.61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1:18" x14ac:dyDescent="0.25">
      <c r="K455">
        <v>4690</v>
      </c>
      <c r="L455">
        <v>-927262.39</v>
      </c>
      <c r="M455">
        <v>0</v>
      </c>
      <c r="N455">
        <v>940000</v>
      </c>
      <c r="O455">
        <v>-8</v>
      </c>
      <c r="P455">
        <v>-22.28</v>
      </c>
      <c r="Q455">
        <v>8</v>
      </c>
      <c r="R455">
        <v>-7106</v>
      </c>
    </row>
    <row r="456" spans="11:18" x14ac:dyDescent="0.25">
      <c r="K456">
        <v>-4641</v>
      </c>
      <c r="L456">
        <v>-11347.245000000001</v>
      </c>
      <c r="M456">
        <v>0</v>
      </c>
      <c r="N456">
        <v>0</v>
      </c>
      <c r="O456">
        <v>-2</v>
      </c>
      <c r="P456">
        <v>-4.8899999999999997</v>
      </c>
      <c r="Q456">
        <v>1</v>
      </c>
      <c r="R456">
        <v>2.4449999999999998</v>
      </c>
    </row>
    <row r="457" spans="11:18" x14ac:dyDescent="0.25"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1:18" x14ac:dyDescent="0.25"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1:18" x14ac:dyDescent="0.25"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1:18" x14ac:dyDescent="0.25"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1:18" x14ac:dyDescent="0.25"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1:18" x14ac:dyDescent="0.25"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1:18" x14ac:dyDescent="0.25"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1:18" x14ac:dyDescent="0.25"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1:18" x14ac:dyDescent="0.25">
      <c r="K465">
        <v>-10012</v>
      </c>
      <c r="L465">
        <v>-24479.34</v>
      </c>
      <c r="M465">
        <v>0</v>
      </c>
      <c r="N465">
        <v>0</v>
      </c>
      <c r="O465">
        <v>10341</v>
      </c>
      <c r="P465">
        <v>25283.744999999999</v>
      </c>
      <c r="Q465">
        <v>2317</v>
      </c>
      <c r="R465">
        <v>5665.0649999999996</v>
      </c>
    </row>
    <row r="466" spans="11:18" x14ac:dyDescent="0.25">
      <c r="K466">
        <v>-170</v>
      </c>
      <c r="L466">
        <v>-415.65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1:18" x14ac:dyDescent="0.25">
      <c r="K467">
        <v>-18769</v>
      </c>
      <c r="L467">
        <v>-842.89</v>
      </c>
      <c r="M467">
        <v>61792</v>
      </c>
      <c r="N467">
        <v>74093.039999999994</v>
      </c>
      <c r="O467">
        <v>-11792</v>
      </c>
      <c r="P467">
        <v>-72812.820000000007</v>
      </c>
      <c r="Q467">
        <v>20004</v>
      </c>
      <c r="R467">
        <v>177.46</v>
      </c>
    </row>
    <row r="468" spans="11:18" x14ac:dyDescent="0.25">
      <c r="K468">
        <v>0</v>
      </c>
      <c r="L468">
        <v>95156.84</v>
      </c>
      <c r="M468">
        <v>0</v>
      </c>
      <c r="N468">
        <v>72777.52</v>
      </c>
      <c r="O468">
        <v>0</v>
      </c>
      <c r="P468">
        <v>768</v>
      </c>
      <c r="Q468">
        <v>0</v>
      </c>
      <c r="R468">
        <v>0</v>
      </c>
    </row>
    <row r="469" spans="11:18" x14ac:dyDescent="0.25"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1:18" x14ac:dyDescent="0.25"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1:18" x14ac:dyDescent="0.25"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1:18" x14ac:dyDescent="0.25"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1:18" x14ac:dyDescent="0.25"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1:18" x14ac:dyDescent="0.25"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1:18" x14ac:dyDescent="0.25"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1:18" x14ac:dyDescent="0.25"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1:18" x14ac:dyDescent="0.25"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1:18" x14ac:dyDescent="0.25"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1:18" x14ac:dyDescent="0.25"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1:18" x14ac:dyDescent="0.25"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1:18" x14ac:dyDescent="0.25"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1:18" x14ac:dyDescent="0.25"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1:18" x14ac:dyDescent="0.25"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1:18" x14ac:dyDescent="0.25">
      <c r="K484">
        <v>6366</v>
      </c>
      <c r="L484">
        <v>18340.89</v>
      </c>
      <c r="M484">
        <v>-6006</v>
      </c>
      <c r="N484">
        <v>-14045.48</v>
      </c>
      <c r="O484">
        <v>0</v>
      </c>
      <c r="P484">
        <v>0</v>
      </c>
      <c r="Q484">
        <v>121081</v>
      </c>
      <c r="R484">
        <v>278268.15999999997</v>
      </c>
    </row>
    <row r="485" spans="11:18" x14ac:dyDescent="0.25"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1:18" x14ac:dyDescent="0.25">
      <c r="K486">
        <v>15593812</v>
      </c>
      <c r="L486">
        <v>42591307</v>
      </c>
      <c r="M486">
        <v>0</v>
      </c>
      <c r="N486">
        <v>0</v>
      </c>
      <c r="O486">
        <v>-15593812</v>
      </c>
      <c r="P486">
        <v>-42591307</v>
      </c>
      <c r="Q486">
        <v>0</v>
      </c>
      <c r="R486">
        <v>0</v>
      </c>
    </row>
    <row r="487" spans="11:18" x14ac:dyDescent="0.25"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1:18" x14ac:dyDescent="0.25">
      <c r="K488">
        <v>0</v>
      </c>
      <c r="L488">
        <v>0</v>
      </c>
      <c r="M488">
        <v>0</v>
      </c>
      <c r="N488">
        <v>0</v>
      </c>
      <c r="O488">
        <v>0</v>
      </c>
      <c r="P488">
        <v>443589.31</v>
      </c>
      <c r="Q488">
        <v>0</v>
      </c>
      <c r="R488">
        <v>0</v>
      </c>
    </row>
    <row r="489" spans="11:18" x14ac:dyDescent="0.25">
      <c r="K489">
        <v>227</v>
      </c>
      <c r="L489">
        <v>544.79999999999995</v>
      </c>
      <c r="M489">
        <v>0</v>
      </c>
      <c r="N489">
        <v>61201.88</v>
      </c>
      <c r="O489">
        <v>0</v>
      </c>
      <c r="P489">
        <v>0</v>
      </c>
      <c r="Q489">
        <v>14906</v>
      </c>
      <c r="R489">
        <v>36372.9</v>
      </c>
    </row>
    <row r="490" spans="11:18" x14ac:dyDescent="0.25"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1:18" x14ac:dyDescent="0.25">
      <c r="K491">
        <v>-14867512</v>
      </c>
      <c r="L491">
        <v>-40843216</v>
      </c>
      <c r="M491">
        <v>0</v>
      </c>
      <c r="N491">
        <v>0</v>
      </c>
      <c r="O491">
        <v>14867512</v>
      </c>
      <c r="P491">
        <v>40843216</v>
      </c>
      <c r="Q491">
        <v>0</v>
      </c>
      <c r="R491">
        <v>0</v>
      </c>
    </row>
    <row r="492" spans="11:18" x14ac:dyDescent="0.25"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1:18" x14ac:dyDescent="0.25">
      <c r="K493">
        <v>6038</v>
      </c>
      <c r="L493">
        <v>14430.82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1:18" x14ac:dyDescent="0.25"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1:18" x14ac:dyDescent="0.25"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1:18" x14ac:dyDescent="0.25">
      <c r="K496">
        <v>-12631</v>
      </c>
      <c r="L496">
        <v>-30188.09</v>
      </c>
      <c r="M496">
        <v>0</v>
      </c>
      <c r="N496">
        <v>0</v>
      </c>
      <c r="O496">
        <v>0</v>
      </c>
      <c r="P496">
        <v>0</v>
      </c>
      <c r="Q496">
        <v>57733</v>
      </c>
      <c r="R496">
        <v>137981.87</v>
      </c>
    </row>
    <row r="497" spans="11:18" x14ac:dyDescent="0.25"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1:18" x14ac:dyDescent="0.25"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1:18" x14ac:dyDescent="0.25"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1:18" x14ac:dyDescent="0.25"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1:18" x14ac:dyDescent="0.25"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1:18" x14ac:dyDescent="0.25"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1:18" x14ac:dyDescent="0.25"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1:18" x14ac:dyDescent="0.25"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1:18" x14ac:dyDescent="0.25">
      <c r="K505">
        <v>-726300</v>
      </c>
      <c r="L505">
        <v>-1735857</v>
      </c>
      <c r="M505">
        <v>6006</v>
      </c>
      <c r="N505">
        <v>14354.34</v>
      </c>
      <c r="O505">
        <v>726300</v>
      </c>
      <c r="P505">
        <v>1735857</v>
      </c>
      <c r="Q505">
        <v>-193720</v>
      </c>
      <c r="R505">
        <v>-462990.8</v>
      </c>
    </row>
    <row r="506" spans="11:18" x14ac:dyDescent="0.25">
      <c r="K506">
        <v>-6038</v>
      </c>
      <c r="L506">
        <v>-14430.82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1:18" x14ac:dyDescent="0.25">
      <c r="K507">
        <v>-6284</v>
      </c>
      <c r="L507">
        <v>-11789.78</v>
      </c>
      <c r="M507">
        <v>-3075056</v>
      </c>
      <c r="N507">
        <v>-300.7</v>
      </c>
      <c r="O507">
        <v>0</v>
      </c>
      <c r="P507">
        <v>-77814.8</v>
      </c>
      <c r="Q507">
        <v>-817495</v>
      </c>
      <c r="R507">
        <v>77376.94</v>
      </c>
    </row>
    <row r="508" spans="11:18" x14ac:dyDescent="0.25">
      <c r="K508">
        <v>0</v>
      </c>
      <c r="L508">
        <v>-87210.05</v>
      </c>
      <c r="M508">
        <v>0</v>
      </c>
      <c r="N508">
        <v>300.7</v>
      </c>
      <c r="O508">
        <v>0</v>
      </c>
      <c r="P508">
        <v>0</v>
      </c>
      <c r="Q508">
        <v>0</v>
      </c>
      <c r="R508">
        <v>418.94</v>
      </c>
    </row>
    <row r="509" spans="11:18" x14ac:dyDescent="0.25"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1:18" x14ac:dyDescent="0.25"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1:18" x14ac:dyDescent="0.25"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1:18" x14ac:dyDescent="0.25"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1:18" x14ac:dyDescent="0.25"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1:18" x14ac:dyDescent="0.25"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1:18" x14ac:dyDescent="0.25"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1:18" x14ac:dyDescent="0.25"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1:18" x14ac:dyDescent="0.25"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1:18" x14ac:dyDescent="0.25"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1:18" x14ac:dyDescent="0.25"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1:18" x14ac:dyDescent="0.25"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1:18" x14ac:dyDescent="0.25"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1:18" x14ac:dyDescent="0.25"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1:18" x14ac:dyDescent="0.25"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1:18" x14ac:dyDescent="0.25"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1:18" x14ac:dyDescent="0.25"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1:18" x14ac:dyDescent="0.25"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1:18" x14ac:dyDescent="0.25"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1:18" x14ac:dyDescent="0.25"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1:18" x14ac:dyDescent="0.25"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1:18" x14ac:dyDescent="0.25"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1:18" x14ac:dyDescent="0.25"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1:18" x14ac:dyDescent="0.25"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1:18" x14ac:dyDescent="0.25"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1:18" x14ac:dyDescent="0.25"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1:18" x14ac:dyDescent="0.25"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1:18" x14ac:dyDescent="0.25"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1:18" x14ac:dyDescent="0.25"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1:18" x14ac:dyDescent="0.25"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1:18" x14ac:dyDescent="0.25"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1:18" x14ac:dyDescent="0.25"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1:18" x14ac:dyDescent="0.25"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1:18" x14ac:dyDescent="0.25"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1:18" x14ac:dyDescent="0.25"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1:18" x14ac:dyDescent="0.25"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1:18" x14ac:dyDescent="0.25"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1:18" x14ac:dyDescent="0.25"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1:18" x14ac:dyDescent="0.25"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1:18" x14ac:dyDescent="0.25"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1:18" x14ac:dyDescent="0.25"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1:18" x14ac:dyDescent="0.25"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1:18" x14ac:dyDescent="0.25"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1:18" x14ac:dyDescent="0.25"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1:18" x14ac:dyDescent="0.25"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1:18" x14ac:dyDescent="0.25"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1:18" x14ac:dyDescent="0.25"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1:18" x14ac:dyDescent="0.25"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1:18" x14ac:dyDescent="0.25"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1:18" x14ac:dyDescent="0.25"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1:18" x14ac:dyDescent="0.25"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1:18" x14ac:dyDescent="0.25"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1:18" x14ac:dyDescent="0.25"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1:18" x14ac:dyDescent="0.25"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1:18" x14ac:dyDescent="0.25"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1:18" x14ac:dyDescent="0.25"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1:18" x14ac:dyDescent="0.25"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1:18" x14ac:dyDescent="0.25"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1:18" x14ac:dyDescent="0.25"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1:18" x14ac:dyDescent="0.25"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1:18" x14ac:dyDescent="0.25"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1:18" x14ac:dyDescent="0.25"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1:18" x14ac:dyDescent="0.25"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1:18" x14ac:dyDescent="0.25"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1:18" x14ac:dyDescent="0.25"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1:18" x14ac:dyDescent="0.25"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1:18" x14ac:dyDescent="0.25"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1:18" x14ac:dyDescent="0.25"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1:18" x14ac:dyDescent="0.25"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1:18" x14ac:dyDescent="0.25"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1:18" x14ac:dyDescent="0.25"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1:18" x14ac:dyDescent="0.25"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1:18" x14ac:dyDescent="0.25"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1:18" x14ac:dyDescent="0.25"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1:18" x14ac:dyDescent="0.25"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1:18" x14ac:dyDescent="0.25"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1:18" x14ac:dyDescent="0.25"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1:18" x14ac:dyDescent="0.25"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1:18" x14ac:dyDescent="0.25"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1:18" x14ac:dyDescent="0.25"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1:18" x14ac:dyDescent="0.25"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1:18" x14ac:dyDescent="0.25"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1:18" x14ac:dyDescent="0.25"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1:18" x14ac:dyDescent="0.25"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1:18" x14ac:dyDescent="0.25"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1:18" x14ac:dyDescent="0.25"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1:18" x14ac:dyDescent="0.25"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1:18" x14ac:dyDescent="0.25"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1:18" x14ac:dyDescent="0.25"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1:18" x14ac:dyDescent="0.25"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1:18" x14ac:dyDescent="0.25"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1:18" x14ac:dyDescent="0.25"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1:18" x14ac:dyDescent="0.25"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1:18" x14ac:dyDescent="0.25"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1:18" x14ac:dyDescent="0.25"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37" spans="4:31" x14ac:dyDescent="0.25">
      <c r="F637" s="219">
        <v>36434</v>
      </c>
      <c r="G637" s="220"/>
      <c r="H637" s="221">
        <f>+F637+31</f>
        <v>36465</v>
      </c>
      <c r="I637" s="222"/>
      <c r="J637" s="215">
        <f>+H637+31</f>
        <v>36496</v>
      </c>
      <c r="K637" s="216"/>
      <c r="L637" s="215">
        <f>+J637+31</f>
        <v>36527</v>
      </c>
      <c r="M637" s="216"/>
      <c r="N637" s="215">
        <f>+L637+31</f>
        <v>36558</v>
      </c>
      <c r="O637" s="216"/>
      <c r="P637" s="215">
        <f>+N637+31</f>
        <v>36589</v>
      </c>
      <c r="Q637" s="216"/>
      <c r="R637" s="215">
        <f>+P637+31</f>
        <v>36620</v>
      </c>
      <c r="S637" s="216"/>
      <c r="T637" s="215">
        <f>+R637+31</f>
        <v>36651</v>
      </c>
      <c r="U637" s="216"/>
      <c r="V637" s="215">
        <f>+T637+31</f>
        <v>36682</v>
      </c>
      <c r="W637" s="216"/>
      <c r="X637" s="215">
        <f>+V637+31</f>
        <v>36713</v>
      </c>
      <c r="Y637" s="216"/>
      <c r="Z637" s="215">
        <f>+X637+31</f>
        <v>36744</v>
      </c>
      <c r="AA637" s="216"/>
      <c r="AB637" s="215">
        <f>+Z637+31</f>
        <v>36775</v>
      </c>
      <c r="AC637" s="216"/>
      <c r="AD637" s="217"/>
      <c r="AE637" s="217"/>
    </row>
    <row r="638" spans="4:31" x14ac:dyDescent="0.25">
      <c r="F638" s="132" t="s">
        <v>22</v>
      </c>
      <c r="G638" s="167" t="s">
        <v>149</v>
      </c>
      <c r="H638" s="132" t="s">
        <v>22</v>
      </c>
      <c r="I638" s="167" t="s">
        <v>149</v>
      </c>
      <c r="J638" s="132" t="s">
        <v>22</v>
      </c>
      <c r="K638" s="132" t="s">
        <v>149</v>
      </c>
      <c r="L638" s="132" t="s">
        <v>22</v>
      </c>
      <c r="M638" s="132" t="s">
        <v>149</v>
      </c>
      <c r="N638" s="132" t="s">
        <v>22</v>
      </c>
      <c r="O638" s="132" t="s">
        <v>149</v>
      </c>
      <c r="P638" s="132" t="s">
        <v>22</v>
      </c>
      <c r="Q638" s="132" t="s">
        <v>149</v>
      </c>
      <c r="R638" s="132" t="s">
        <v>22</v>
      </c>
      <c r="S638" s="132" t="s">
        <v>149</v>
      </c>
      <c r="T638" s="132" t="s">
        <v>22</v>
      </c>
      <c r="U638" s="132" t="s">
        <v>149</v>
      </c>
      <c r="V638" s="132" t="s">
        <v>22</v>
      </c>
      <c r="W638" s="132" t="s">
        <v>149</v>
      </c>
      <c r="X638" s="132" t="s">
        <v>22</v>
      </c>
      <c r="Y638" s="132" t="s">
        <v>149</v>
      </c>
      <c r="Z638" s="132" t="s">
        <v>22</v>
      </c>
      <c r="AA638" s="132" t="s">
        <v>149</v>
      </c>
      <c r="AB638" s="132" t="s">
        <v>22</v>
      </c>
      <c r="AC638" s="132" t="s">
        <v>149</v>
      </c>
      <c r="AD638" s="125"/>
      <c r="AE638" s="125"/>
    </row>
    <row r="639" spans="4:31" x14ac:dyDescent="0.25">
      <c r="D639" s="133" t="s">
        <v>113</v>
      </c>
      <c r="E639" s="134"/>
      <c r="F639" s="135">
        <f>BUG_GL!H82</f>
        <v>0</v>
      </c>
      <c r="G639" s="136">
        <f>BUG_GL!I82</f>
        <v>-4008238</v>
      </c>
      <c r="H639" s="159">
        <f>BUG_GL!J82</f>
        <v>0</v>
      </c>
      <c r="I639" s="136">
        <f>BUG_GL!K82</f>
        <v>6050710</v>
      </c>
      <c r="J639" s="135">
        <f>BUG_GL!L82</f>
        <v>0</v>
      </c>
      <c r="K639" s="136">
        <f>BUG_GL!M82</f>
        <v>368017</v>
      </c>
      <c r="L639" s="135">
        <f>BUG_GL!N82</f>
        <v>0</v>
      </c>
      <c r="M639" s="136">
        <f>BUG_GL!O82</f>
        <v>-723780.72900000098</v>
      </c>
      <c r="N639" s="135">
        <f>BUG_GL!P82</f>
        <v>0</v>
      </c>
      <c r="O639" s="136">
        <f>BUG_GL!Q82</f>
        <v>-1338024.2909999997</v>
      </c>
      <c r="P639" s="135">
        <f>BUG_GL!R82</f>
        <v>0</v>
      </c>
      <c r="Q639" s="159">
        <f>BUG_GL!S82</f>
        <v>1814721.973</v>
      </c>
      <c r="R639" s="135">
        <f>BUG_GL!T82</f>
        <v>0</v>
      </c>
      <c r="S639" s="136">
        <f>BUG_GL!U82</f>
        <v>-3049339.375</v>
      </c>
      <c r="T639" s="135">
        <f>BUG_GL!V82</f>
        <v>0</v>
      </c>
      <c r="U639" s="135">
        <f>BUG_GL!W82</f>
        <v>0</v>
      </c>
      <c r="V639" s="135">
        <f>BUG_GL!X82</f>
        <v>0</v>
      </c>
      <c r="W639" s="135">
        <f>BUG_GL!Y82</f>
        <v>0</v>
      </c>
      <c r="X639" s="135">
        <f>BUG_GL!Z82</f>
        <v>0</v>
      </c>
      <c r="Y639" s="135">
        <f>BUG_GL!AA82</f>
        <v>0</v>
      </c>
      <c r="Z639" s="135">
        <f>BUG_GL!AB82</f>
        <v>0</v>
      </c>
      <c r="AA639" s="135">
        <f>BUG_GL!AC82</f>
        <v>0</v>
      </c>
      <c r="AB639" s="135">
        <f>BUG_GL!AD82</f>
        <v>0</v>
      </c>
      <c r="AC639" s="137">
        <f>BUG_GL!AE82</f>
        <v>0</v>
      </c>
      <c r="AD639" s="126"/>
      <c r="AE639" s="126"/>
    </row>
    <row r="640" spans="4:31" x14ac:dyDescent="0.25">
      <c r="D640" s="133" t="s">
        <v>141</v>
      </c>
      <c r="E640" s="134"/>
      <c r="F640" s="135">
        <f>CE_GL!H82</f>
        <v>0</v>
      </c>
      <c r="G640" s="190">
        <f>CE_GL!I82</f>
        <v>2324042.1340000504</v>
      </c>
      <c r="H640" s="159">
        <f>CE_GL!J82</f>
        <v>0</v>
      </c>
      <c r="I640" s="136">
        <f>CE_GL!K82</f>
        <v>1872435.155999999</v>
      </c>
      <c r="J640" s="135">
        <f>CE_GL!L82</f>
        <v>0</v>
      </c>
      <c r="K640" s="136">
        <f>CE_GL!M82</f>
        <v>1050762.9940000034</v>
      </c>
      <c r="L640" s="135">
        <f>CE_GL!N82</f>
        <v>0</v>
      </c>
      <c r="M640" s="136">
        <f>CE_GL!O82</f>
        <v>2014412.3839999998</v>
      </c>
      <c r="N640" s="135">
        <f>CE_GL!P82</f>
        <v>0</v>
      </c>
      <c r="O640" s="136">
        <f>CE_GL!Q82</f>
        <v>99821.321999999927</v>
      </c>
      <c r="P640" s="135">
        <f>CE_GL!R82</f>
        <v>0</v>
      </c>
      <c r="Q640" s="159">
        <f>CE_GL!S82</f>
        <v>-1715847.373999998</v>
      </c>
      <c r="R640" s="135">
        <f>CE_GL!T82</f>
        <v>0</v>
      </c>
      <c r="S640" s="136">
        <f>CE_GL!U82</f>
        <v>1439.9340000000175</v>
      </c>
      <c r="T640" s="135">
        <f>CE_GL!V82</f>
        <v>0</v>
      </c>
      <c r="U640" s="135">
        <f>CE_GL!W82</f>
        <v>0</v>
      </c>
      <c r="V640" s="135">
        <f>CE_GL!X82</f>
        <v>0</v>
      </c>
      <c r="W640" s="135">
        <f>CE_GL!Y82</f>
        <v>0</v>
      </c>
      <c r="X640" s="135">
        <f>CE_GL!Z82</f>
        <v>0</v>
      </c>
      <c r="Y640" s="135">
        <f>CE_GL!AA82</f>
        <v>0</v>
      </c>
      <c r="Z640" s="135">
        <f>CE_GL!AB82</f>
        <v>0</v>
      </c>
      <c r="AA640" s="135">
        <f>CE_GL!AC82</f>
        <v>0</v>
      </c>
      <c r="AB640" s="135">
        <f>CE_GL!AD82</f>
        <v>0</v>
      </c>
      <c r="AC640" s="137">
        <f>CE_GL!AE82</f>
        <v>0</v>
      </c>
    </row>
    <row r="641" spans="4:31" x14ac:dyDescent="0.25">
      <c r="D641" s="133" t="s">
        <v>142</v>
      </c>
      <c r="E641" s="134"/>
      <c r="F641" s="135">
        <f>+'EAST-EGM-GL'!H82</f>
        <v>0</v>
      </c>
      <c r="G641" s="136">
        <f>+'EAST-EGM-GL'!I82</f>
        <v>7848544.1050000181</v>
      </c>
      <c r="H641" s="159">
        <f>+'EAST-EGM-GL'!J82</f>
        <v>0</v>
      </c>
      <c r="I641" s="136">
        <f>+'EAST-EGM-GL'!K82</f>
        <v>-5669632.1680000024</v>
      </c>
      <c r="J641" s="135">
        <f>+'EAST-EGM-GL'!L82</f>
        <v>0</v>
      </c>
      <c r="K641" s="136">
        <f>+'EAST-EGM-GL'!M82</f>
        <v>392120.2719999901</v>
      </c>
      <c r="L641" s="135">
        <f>+'EAST-EGM-GL'!N82</f>
        <v>0</v>
      </c>
      <c r="M641" s="136">
        <f>+'EAST-EGM-GL'!O82</f>
        <v>-69305.692999998369</v>
      </c>
      <c r="N641" s="135">
        <f>+'EAST-EGM-GL'!P82</f>
        <v>0</v>
      </c>
      <c r="O641" s="136">
        <f>+'EAST-EGM-GL'!Q82</f>
        <v>1366096.4389999998</v>
      </c>
      <c r="P641" s="135">
        <f>+'EAST-EGM-GL'!R82</f>
        <v>0</v>
      </c>
      <c r="Q641" s="159">
        <f>+'EAST-EGM-GL'!S82</f>
        <v>-1661987.580000004</v>
      </c>
      <c r="R641" s="135">
        <f>+'EAST-EGM-GL'!T82</f>
        <v>0</v>
      </c>
      <c r="S641" s="136">
        <f>+'EAST-EGM-GL'!U82</f>
        <v>128283.4290000004</v>
      </c>
      <c r="T641" s="135">
        <f>+'EAST-EGM-GL'!V82</f>
        <v>0</v>
      </c>
      <c r="U641" s="135">
        <f>+'EAST-EGM-GL'!W82</f>
        <v>0</v>
      </c>
      <c r="V641" s="135">
        <f>+'EAST-EGM-GL'!X82</f>
        <v>0</v>
      </c>
      <c r="W641" s="135">
        <f>+'EAST-EGM-GL'!Y82</f>
        <v>0</v>
      </c>
      <c r="X641" s="135">
        <f>+'EAST-EGM-GL'!Z82</f>
        <v>0</v>
      </c>
      <c r="Y641" s="135">
        <f>+'EAST-EGM-GL'!AA82</f>
        <v>0</v>
      </c>
      <c r="Z641" s="135">
        <f>+'EAST-EGM-GL'!AB82</f>
        <v>0</v>
      </c>
      <c r="AA641" s="135">
        <f>+'EAST-EGM-GL'!AC82</f>
        <v>0</v>
      </c>
      <c r="AB641" s="135">
        <f>+'EAST-EGM-GL'!AD82</f>
        <v>0</v>
      </c>
      <c r="AC641" s="137">
        <f>+'EAST-EGM-GL'!AE82</f>
        <v>0</v>
      </c>
      <c r="AD641" s="14"/>
      <c r="AE641" s="14"/>
    </row>
    <row r="642" spans="4:31" x14ac:dyDescent="0.25">
      <c r="D642" s="133" t="s">
        <v>150</v>
      </c>
      <c r="E642" s="134"/>
      <c r="F642" s="135">
        <f>+'EAST-LRC-GL'!H82</f>
        <v>0</v>
      </c>
      <c r="G642" s="136">
        <f>+'EAST-LRC-GL'!I82</f>
        <v>-424114.6250000014</v>
      </c>
      <c r="H642" s="159">
        <f>+'EAST-LRC-GL'!J82</f>
        <v>0</v>
      </c>
      <c r="I642" s="136">
        <f>+'EAST-LRC-GL'!K82</f>
        <v>65073.127999999931</v>
      </c>
      <c r="J642" s="135">
        <f>+'EAST-LRC-GL'!L82</f>
        <v>0</v>
      </c>
      <c r="K642" s="136">
        <f>+'EAST-LRC-GL'!M82</f>
        <v>10605.02999999997</v>
      </c>
      <c r="L642" s="135">
        <f>+'EAST-LRC-GL'!N82</f>
        <v>0</v>
      </c>
      <c r="M642" s="136">
        <f>+'EAST-LRC-GL'!O82</f>
        <v>-25689.174000000003</v>
      </c>
      <c r="N642" s="135">
        <f>+'EAST-LRC-GL'!P82</f>
        <v>0</v>
      </c>
      <c r="O642" s="136">
        <f>+'EAST-LRC-GL'!Q82</f>
        <v>66043.22</v>
      </c>
      <c r="P642" s="135">
        <f>+'EAST-LRC-GL'!R82</f>
        <v>0</v>
      </c>
      <c r="Q642" s="159">
        <f>+'EAST-LRC-GL'!S82</f>
        <v>4463.4479999999894</v>
      </c>
      <c r="R642" s="135">
        <f>+'EAST-LRC-GL'!T82</f>
        <v>0</v>
      </c>
      <c r="S642" s="136">
        <f>+'EAST-LRC-GL'!U82</f>
        <v>6744.7420000000002</v>
      </c>
      <c r="T642" s="135">
        <f>+'EAST-LRC-GL'!V82</f>
        <v>0</v>
      </c>
      <c r="U642" s="135">
        <f>+'EAST-LRC-GL'!W82</f>
        <v>0</v>
      </c>
      <c r="V642" s="135">
        <f>+'EAST-LRC-GL'!X82</f>
        <v>0</v>
      </c>
      <c r="W642" s="135">
        <f>+'EAST-LRC-GL'!Y82</f>
        <v>0</v>
      </c>
      <c r="X642" s="135">
        <f>+'EAST-LRC-GL'!Z82</f>
        <v>0</v>
      </c>
      <c r="Y642" s="135">
        <f>+'EAST-LRC-GL'!AA82</f>
        <v>0</v>
      </c>
      <c r="Z642" s="135">
        <f>+'EAST-LRC-GL'!AB82</f>
        <v>0</v>
      </c>
      <c r="AA642" s="135">
        <f>+'EAST-LRC-GL'!AC82</f>
        <v>0</v>
      </c>
      <c r="AB642" s="135">
        <f>+'EAST-LRC-GL'!AD82</f>
        <v>0</v>
      </c>
      <c r="AC642" s="137">
        <f>+'EAST-LRC-GL'!AE82</f>
        <v>0</v>
      </c>
      <c r="AD642" s="14"/>
      <c r="AE642" s="14"/>
    </row>
    <row r="643" spans="4:31" x14ac:dyDescent="0.25">
      <c r="D643" s="133" t="s">
        <v>151</v>
      </c>
      <c r="E643" s="134"/>
      <c r="F643" s="135">
        <f>+'BGC-EGM-GL'!H82</f>
        <v>0</v>
      </c>
      <c r="G643" s="159">
        <f>+'BGC-EGM-GL'!I82</f>
        <v>0</v>
      </c>
      <c r="H643" s="159">
        <f>+'BGC-EGM-GL'!J82</f>
        <v>0</v>
      </c>
      <c r="I643" s="159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5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59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0</v>
      </c>
      <c r="AB643" s="135">
        <f>+'BGC-EGM-GL'!AD82</f>
        <v>0</v>
      </c>
      <c r="AC643" s="137">
        <f>+'BGC-EGM-GL'!AE82</f>
        <v>0</v>
      </c>
      <c r="AD643" s="14"/>
      <c r="AE643" s="14"/>
    </row>
    <row r="644" spans="4:31" x14ac:dyDescent="0.25">
      <c r="D644" s="133" t="s">
        <v>152</v>
      </c>
      <c r="E644" s="134"/>
      <c r="F644" s="135">
        <f>+'EAST-CON-GL '!H82</f>
        <v>0</v>
      </c>
      <c r="G644" s="136">
        <f>+'EAST-CON-GL '!I82</f>
        <v>7424429.4799999967</v>
      </c>
      <c r="H644" s="159">
        <f>+'EAST-CON-GL '!J82</f>
        <v>0</v>
      </c>
      <c r="I644" s="136">
        <f>+'EAST-CON-GL '!K82</f>
        <v>-5604559.040000001</v>
      </c>
      <c r="J644" s="135">
        <f>+'EAST-CON-GL '!L82</f>
        <v>0</v>
      </c>
      <c r="K644" s="136">
        <f>+'EAST-CON-GL '!M82</f>
        <v>402725.30199999688</v>
      </c>
      <c r="L644" s="135">
        <f>+'EAST-CON-GL '!N82</f>
        <v>0</v>
      </c>
      <c r="M644" s="136">
        <f>+'EAST-CON-GL '!O82</f>
        <v>-94994.876999998727</v>
      </c>
      <c r="N644" s="135">
        <f>+'EAST-CON-GL '!P82</f>
        <v>0</v>
      </c>
      <c r="O644" s="135">
        <f>+'EAST-CON-GL '!Q82</f>
        <v>1432139.659</v>
      </c>
      <c r="P644" s="135">
        <f>+'EAST-CON-GL '!R82</f>
        <v>0</v>
      </c>
      <c r="Q644" s="159">
        <f>+'EAST-CON-GL '!S82</f>
        <v>-1657524.1320000051</v>
      </c>
      <c r="R644" s="135">
        <f>+'EAST-CON-GL '!T82</f>
        <v>0</v>
      </c>
      <c r="S644" s="135">
        <f>+'EAST-CON-GL '!U82</f>
        <v>136151.83100000038</v>
      </c>
      <c r="T644" s="135">
        <f>+'EAST-CON-GL '!V82</f>
        <v>0</v>
      </c>
      <c r="U644" s="135">
        <f>+'EAST-CON-GL '!W82</f>
        <v>0</v>
      </c>
      <c r="V644" s="135">
        <f>+'EAST-CON-GL '!X82</f>
        <v>0</v>
      </c>
      <c r="W644" s="135">
        <f>+'EAST-CON-GL '!Y82</f>
        <v>0</v>
      </c>
      <c r="X644" s="135">
        <f>+'EAST-CON-GL '!Z82</f>
        <v>0</v>
      </c>
      <c r="Y644" s="135">
        <f>+'EAST-CON-GL '!AA82</f>
        <v>0</v>
      </c>
      <c r="Z644" s="135">
        <f>+'EAST-CON-GL '!AB82</f>
        <v>0</v>
      </c>
      <c r="AA644" s="135">
        <f>+'EAST-CON-GL '!AC82</f>
        <v>0</v>
      </c>
      <c r="AB644" s="135">
        <f>+'EAST-CON-GL '!AD82</f>
        <v>0</v>
      </c>
      <c r="AC644" s="137">
        <f>+'EAST-CON-GL '!AE82</f>
        <v>0</v>
      </c>
      <c r="AD644" s="14"/>
      <c r="AE644" s="14"/>
    </row>
    <row r="645" spans="4:31" x14ac:dyDescent="0.25">
      <c r="D645" s="133" t="s">
        <v>153</v>
      </c>
      <c r="E645" s="134"/>
      <c r="F645" s="135">
        <f>+'TX-EGM-GL'!H82</f>
        <v>0</v>
      </c>
      <c r="G645" s="136">
        <f>+'TX-EGM-GL'!I82</f>
        <v>1117345.700000002</v>
      </c>
      <c r="H645" s="159">
        <f>+'TX-EGM-GL'!J82</f>
        <v>0</v>
      </c>
      <c r="I645" s="136">
        <f>+'TX-EGM-GL'!K91</f>
        <v>-1133469.4499999993</v>
      </c>
      <c r="J645" s="135">
        <f>+'TX-EGM-GL'!L82</f>
        <v>0</v>
      </c>
      <c r="K645" s="136">
        <f>+'TX-EGM-GL'!M82</f>
        <v>734596.98999999953</v>
      </c>
      <c r="L645" s="135">
        <f>+'TX-EGM-GL'!N82</f>
        <v>0</v>
      </c>
      <c r="M645" s="135">
        <f>+'TX-EGM-GL'!O82</f>
        <v>-826944.42500000319</v>
      </c>
      <c r="N645" s="135">
        <f>+'TX-EGM-GL'!P82</f>
        <v>0</v>
      </c>
      <c r="O645" s="136">
        <f>+'TX-EGM-GL'!Q82</f>
        <v>1079670.56</v>
      </c>
      <c r="P645" s="135">
        <f>+'TX-EGM-GL'!R82</f>
        <v>0</v>
      </c>
      <c r="Q645" s="159">
        <f>+'TX-EGM-GL'!S82</f>
        <v>-79086.924999999712</v>
      </c>
      <c r="R645" s="135">
        <f>+'TX-EGM-GL'!T82</f>
        <v>0</v>
      </c>
      <c r="S645" s="136">
        <f>+'TX-EGM-GL'!U82</f>
        <v>-2842.5000000000018</v>
      </c>
      <c r="T645" s="135">
        <f>+'TX-EGM-GL'!V82</f>
        <v>0</v>
      </c>
      <c r="U645" s="135">
        <f>+'TX-EGM-GL'!W82</f>
        <v>0</v>
      </c>
      <c r="V645" s="135">
        <f>+'TX-EGM-GL'!X82</f>
        <v>0</v>
      </c>
      <c r="W645" s="135">
        <f>+'TX-EGM-GL'!Y82</f>
        <v>0</v>
      </c>
      <c r="X645" s="135">
        <f>+'TX-EGM-GL'!Z82</f>
        <v>0</v>
      </c>
      <c r="Y645" s="135">
        <f>+'TX-EGM-GL'!AA82</f>
        <v>0</v>
      </c>
      <c r="Z645" s="135">
        <f>+'TX-EGM-GL'!AB82</f>
        <v>0</v>
      </c>
      <c r="AA645" s="135">
        <f>+'TX-EGM-GL'!AC82</f>
        <v>0</v>
      </c>
      <c r="AB645" s="135">
        <f>+'TX-EGM-GL'!AD82</f>
        <v>0</v>
      </c>
      <c r="AC645" s="137">
        <f>+'TX-EGM-GL'!AE82</f>
        <v>0</v>
      </c>
      <c r="AD645" s="14"/>
      <c r="AE645" s="14"/>
    </row>
    <row r="646" spans="4:31" x14ac:dyDescent="0.25">
      <c r="D646" s="133" t="s">
        <v>181</v>
      </c>
      <c r="E646" s="134"/>
      <c r="F646" s="135">
        <f>+'TX-HPLR-GL '!H82</f>
        <v>0</v>
      </c>
      <c r="G646" s="136">
        <f>+'TX-HPLR-GL '!I82</f>
        <v>3254.4900000000443</v>
      </c>
      <c r="H646" s="159">
        <f>+'TX-HPLR-GL '!J82</f>
        <v>0</v>
      </c>
      <c r="I646" s="136">
        <f>+'TX-HPLR-GL '!K82</f>
        <v>-7.8899999999999864</v>
      </c>
      <c r="J646" s="135">
        <f>+'TX-HPLR-GL '!L82</f>
        <v>0</v>
      </c>
      <c r="K646" s="136">
        <f>+'TX-HPLR-GL '!M82</f>
        <v>-0.44000000000050932</v>
      </c>
      <c r="L646" s="135">
        <f>+'TX-HPLR-GL '!N82</f>
        <v>0</v>
      </c>
      <c r="M646" s="135">
        <f>+'TX-HPLR-GL '!O82</f>
        <v>0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59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5">
        <f>+'TX-HPLR-GL '!W82</f>
        <v>0</v>
      </c>
      <c r="V646" s="135">
        <f>+'TX-HPLR-GL '!X82</f>
        <v>0</v>
      </c>
      <c r="W646" s="135">
        <f>+'TX-HPLR-GL '!Y82</f>
        <v>0</v>
      </c>
      <c r="X646" s="135">
        <f>+'TX-HPLR-GL '!Z82</f>
        <v>0</v>
      </c>
      <c r="Y646" s="135">
        <f>+'TX-HPLR-GL '!AA82</f>
        <v>0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0</v>
      </c>
      <c r="AD646" s="14"/>
      <c r="AE646" s="14"/>
    </row>
    <row r="647" spans="4:31" x14ac:dyDescent="0.25">
      <c r="D647" s="133" t="s">
        <v>180</v>
      </c>
      <c r="E647" s="134"/>
      <c r="F647" s="135">
        <f>+'TX-HPLC-GL'!H82</f>
        <v>0</v>
      </c>
      <c r="G647" s="136">
        <f>+'TX-HPLC-GL'!I82</f>
        <v>4519717</v>
      </c>
      <c r="H647" s="159">
        <f>+'TX-HPLC-GL'!J82</f>
        <v>0</v>
      </c>
      <c r="I647" s="159">
        <f>+'TX-HPLC-GL'!K82</f>
        <v>-665825</v>
      </c>
      <c r="J647" s="135">
        <f>+'TX-HPLC-GL'!L82</f>
        <v>0</v>
      </c>
      <c r="K647" s="135">
        <f>+'TX-HPLC-GL'!M82</f>
        <v>154425</v>
      </c>
      <c r="L647" s="135">
        <f>+'TX-HPLC-GL'!N82</f>
        <v>0</v>
      </c>
      <c r="M647" s="135">
        <f>+'TX-HPLC-GL'!O82</f>
        <v>119055</v>
      </c>
      <c r="N647" s="135">
        <f>+'TX-HPLC-GL'!P82</f>
        <v>0</v>
      </c>
      <c r="O647" s="136">
        <f>+'TX-HPLC-GL'!Q82</f>
        <v>-92171</v>
      </c>
      <c r="P647" s="135">
        <f>+'TX-HPLC-GL'!R82</f>
        <v>0</v>
      </c>
      <c r="Q647" s="159">
        <f>+'TX-HPLC-GL'!S82</f>
        <v>207813</v>
      </c>
      <c r="R647" s="135">
        <f>+'TX-HPLC-GL'!T82</f>
        <v>0</v>
      </c>
      <c r="S647" s="136">
        <f>+'TX-HPLC-GL'!U82</f>
        <v>-11165</v>
      </c>
      <c r="T647" s="135">
        <f>+'TX-HPLC-GL'!V82</f>
        <v>0</v>
      </c>
      <c r="U647" s="135">
        <f>+'TX-HPLC-GL'!W82</f>
        <v>0</v>
      </c>
      <c r="V647" s="135">
        <f>+'TX-HPLC-GL'!X82</f>
        <v>0</v>
      </c>
      <c r="W647" s="135">
        <f>+'TX-HPLC-GL'!Y82</f>
        <v>0</v>
      </c>
      <c r="X647" s="135">
        <f>+'TX-HPLC-GL'!Z82</f>
        <v>0</v>
      </c>
      <c r="Y647" s="135">
        <f>+'TX-HPLC-GL'!AA82</f>
        <v>0</v>
      </c>
      <c r="Z647" s="135">
        <f>+'TX-HPLC-GL'!AB82</f>
        <v>0</v>
      </c>
      <c r="AA647" s="135">
        <f>+'TX-HPLC-GL'!AC82</f>
        <v>0</v>
      </c>
      <c r="AB647" s="135">
        <f>+'TX-HPLC-GL'!AD82</f>
        <v>0</v>
      </c>
      <c r="AC647" s="135">
        <f>+'TX-HPLC-GL'!AE82</f>
        <v>0</v>
      </c>
      <c r="AD647" s="14"/>
      <c r="AE647" s="14"/>
    </row>
    <row r="648" spans="4:31" x14ac:dyDescent="0.25">
      <c r="D648" s="133" t="s">
        <v>154</v>
      </c>
      <c r="E648" s="134"/>
      <c r="F648" s="135">
        <f>+'TX-CON-GL '!H82</f>
        <v>0</v>
      </c>
      <c r="G648" s="159">
        <f>+'TX-CON-GL '!I82</f>
        <v>5640317.1899999911</v>
      </c>
      <c r="H648" s="159">
        <f>+'TX-CON-GL '!J82</f>
        <v>0</v>
      </c>
      <c r="I648" s="136">
        <f>+'TX-CON-GL '!K82</f>
        <v>-1799302.3400000033</v>
      </c>
      <c r="J648" s="135">
        <f>+'TX-CON-GL '!L82</f>
        <v>0</v>
      </c>
      <c r="K648" s="135">
        <f>+'TX-CON-GL '!M82</f>
        <v>734596.54999999981</v>
      </c>
      <c r="L648" s="135">
        <f>+'TX-CON-GL '!N82</f>
        <v>0</v>
      </c>
      <c r="M648" s="135">
        <f>+'TX-CON-GL '!O82</f>
        <v>-826944.42500000319</v>
      </c>
      <c r="N648" s="135">
        <f>+'TX-CON-GL '!P82</f>
        <v>0</v>
      </c>
      <c r="O648" s="136">
        <f>+'TX-CON-GL '!Q82</f>
        <v>1079670.56</v>
      </c>
      <c r="P648" s="135">
        <f>+'TX-CON-GL '!R82</f>
        <v>0</v>
      </c>
      <c r="Q648" s="159">
        <f>+'TX-CON-GL '!S82</f>
        <v>-79086.924999999712</v>
      </c>
      <c r="R648" s="135">
        <f>+'TX-CON-GL '!T82</f>
        <v>0</v>
      </c>
      <c r="S648" s="135">
        <f>+'TX-CON-GL '!U82</f>
        <v>-2842.5000000000018</v>
      </c>
      <c r="T648" s="135">
        <f>+'TX-CON-GL '!V82</f>
        <v>0</v>
      </c>
      <c r="U648" s="135">
        <f>+'TX-CON-GL '!W82</f>
        <v>0</v>
      </c>
      <c r="V648" s="135">
        <f>+'TX-CON-GL '!X82</f>
        <v>0</v>
      </c>
      <c r="W648" s="135">
        <f>+'TX-CON-GL '!Y82</f>
        <v>0</v>
      </c>
      <c r="X648" s="135">
        <f>+'TX-CON-GL '!Z82</f>
        <v>0</v>
      </c>
      <c r="Y648" s="135">
        <f>+'TX-CON-GL '!AA82</f>
        <v>0</v>
      </c>
      <c r="Z648" s="135">
        <f>+'TX-CON-GL '!AB82</f>
        <v>0</v>
      </c>
      <c r="AA648" s="135">
        <f>+'TX-CON-GL '!AC82</f>
        <v>0</v>
      </c>
      <c r="AB648" s="135">
        <f>+'TX-CON-GL '!AD82</f>
        <v>0</v>
      </c>
      <c r="AC648" s="137">
        <f>+'TX-CON-GL '!AE82</f>
        <v>0</v>
      </c>
      <c r="AD648" s="14"/>
      <c r="AE648" s="14"/>
    </row>
    <row r="649" spans="4:31" x14ac:dyDescent="0.25">
      <c r="D649" s="133" t="s">
        <v>144</v>
      </c>
      <c r="E649" s="134"/>
      <c r="F649" s="135">
        <f>+'WE-GL '!H82</f>
        <v>0</v>
      </c>
      <c r="G649" s="136">
        <f>+'WE-GL '!I82</f>
        <v>-1850565.5399999823</v>
      </c>
      <c r="H649" s="159">
        <f>+'WE-GL '!J82</f>
        <v>0</v>
      </c>
      <c r="I649" s="136">
        <f>+'WE-GL '!K82</f>
        <v>152666.7699999999</v>
      </c>
      <c r="J649" s="135">
        <f>+'WE-GL '!L82</f>
        <v>0</v>
      </c>
      <c r="K649" s="136">
        <f>+'WE-GL '!M82</f>
        <v>-274690.55999999883</v>
      </c>
      <c r="L649" s="135">
        <f>+'WE-GL '!N82</f>
        <v>0</v>
      </c>
      <c r="M649" s="136">
        <f>+'WE-GL '!O82</f>
        <v>-98068.230000002164</v>
      </c>
      <c r="N649" s="135">
        <f>+'WE-GL '!P82</f>
        <v>0</v>
      </c>
      <c r="O649" s="136">
        <f>+'WE-GL '!Q82</f>
        <v>61510.739999999991</v>
      </c>
      <c r="P649" s="135">
        <f>+'WE-GL '!R82</f>
        <v>0</v>
      </c>
      <c r="Q649" s="159">
        <f>+'WE-GL '!S82</f>
        <v>353540.5100000024</v>
      </c>
      <c r="R649" s="135">
        <f>+'WE-GL '!T82</f>
        <v>0</v>
      </c>
      <c r="S649" s="136">
        <f>+'WE-GL '!U82</f>
        <v>67428.010000000009</v>
      </c>
      <c r="T649" s="135">
        <f>+'WE-GL '!V82</f>
        <v>0</v>
      </c>
      <c r="U649" s="135">
        <f>+'WE-GL '!W82</f>
        <v>0</v>
      </c>
      <c r="V649" s="135">
        <f>+'WE-GL '!X82</f>
        <v>0</v>
      </c>
      <c r="W649" s="135">
        <f>+'WE-GL '!Y82</f>
        <v>0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4"/>
      <c r="AE649" s="14"/>
    </row>
    <row r="650" spans="4:31" x14ac:dyDescent="0.25">
      <c r="D650" t="s">
        <v>146</v>
      </c>
      <c r="F650" s="138">
        <f>+STG_GL!H82</f>
        <v>0</v>
      </c>
      <c r="G650" s="160">
        <f>+STG_GL!I82</f>
        <v>-964594</v>
      </c>
      <c r="H650" s="160">
        <f>+STG_GL!J82</f>
        <v>0</v>
      </c>
      <c r="I650" s="160">
        <f>+STG_GL!K82</f>
        <v>-439943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956844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60">
        <f>+STG_GL!S82</f>
        <v>-2626533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4"/>
      <c r="AE650" s="14"/>
    </row>
    <row r="651" spans="4:31" x14ac:dyDescent="0.25">
      <c r="D651" t="s">
        <v>160</v>
      </c>
      <c r="F651" s="138">
        <f>+'ONT_GL '!H82</f>
        <v>0</v>
      </c>
      <c r="G651" s="192">
        <f>+'ONT_GL '!I82</f>
        <v>4580116</v>
      </c>
      <c r="H651" s="160">
        <f>+'ONT_GL '!J82</f>
        <v>0</v>
      </c>
      <c r="I651" s="192">
        <f>+'ONT_GL '!K82</f>
        <v>1240399.3900000001</v>
      </c>
      <c r="J651" s="138">
        <f>+'ONT_GL '!L82</f>
        <v>0</v>
      </c>
      <c r="K651" s="192">
        <f>+'ONT_GL '!M82</f>
        <v>1018485</v>
      </c>
      <c r="L651" s="138">
        <f>+'ONT_GL '!N82</f>
        <v>0</v>
      </c>
      <c r="M651" s="192">
        <f>+'ONT_GL '!O82</f>
        <v>157391.00999999978</v>
      </c>
      <c r="N651" s="138">
        <f>+'ONT_GL '!P82</f>
        <v>0</v>
      </c>
      <c r="O651" s="192">
        <f>+'ONT_GL '!Q82</f>
        <v>-2930.8599999999997</v>
      </c>
      <c r="P651" s="138">
        <f>+'ONT_GL '!R82</f>
        <v>0</v>
      </c>
      <c r="Q651" s="160">
        <f>+'ONT_GL '!S82</f>
        <v>6509799.290000001</v>
      </c>
      <c r="R651" s="138">
        <f>+'ONT_GL '!T82</f>
        <v>0</v>
      </c>
      <c r="S651" s="192">
        <f>+'ONT_GL '!U82</f>
        <v>57337.14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1" x14ac:dyDescent="0.25">
      <c r="D652" t="s">
        <v>197</v>
      </c>
      <c r="F652" s="160">
        <f>+ARUBA_GL!H82</f>
        <v>0</v>
      </c>
      <c r="G652" s="192">
        <f>+ARUBA_GL!I82</f>
        <v>-570616</v>
      </c>
      <c r="H652" s="160">
        <f>+ARUBA_GL!J82</f>
        <v>0</v>
      </c>
      <c r="I652" s="192">
        <f>+ARUBA_GL!K82</f>
        <v>1734736</v>
      </c>
      <c r="J652" s="160">
        <f>+ARUBA_GL!L82</f>
        <v>0</v>
      </c>
      <c r="K652" s="160">
        <f>+ARUBA_GL!M82</f>
        <v>0</v>
      </c>
      <c r="L652" s="160">
        <f>+ARUBA_GL!N82</f>
        <v>0</v>
      </c>
      <c r="M652" s="192">
        <f>+ARUBA_GL!O82</f>
        <v>-336095.49</v>
      </c>
      <c r="N652" s="160">
        <f>+ARUBA_GL!P82</f>
        <v>0</v>
      </c>
      <c r="O652" s="192">
        <f>+ARUBA_GL!Q82</f>
        <v>4</v>
      </c>
      <c r="P652" s="160">
        <f>+ARUBA_GL!R82</f>
        <v>0</v>
      </c>
      <c r="Q652" s="160">
        <f>+ARUBA_GL!S82</f>
        <v>-155756.98500000045</v>
      </c>
      <c r="R652" s="160">
        <f>+ARUBA_GL!T82</f>
        <v>0</v>
      </c>
      <c r="S652" s="160">
        <f>+ARUBA_GL!U82</f>
        <v>0</v>
      </c>
      <c r="T652" s="160">
        <f>+ARUBA_GL!V82</f>
        <v>0</v>
      </c>
      <c r="U652" s="160">
        <f>+ARUBA_GL!W82</f>
        <v>0</v>
      </c>
      <c r="V652" s="160">
        <f>+ARUBA_GL!X82</f>
        <v>0</v>
      </c>
      <c r="W652" s="160">
        <f>+ARUBA_GL!Y82</f>
        <v>0</v>
      </c>
      <c r="X652" s="160">
        <f>+ARUBA_GL!Z82</f>
        <v>0</v>
      </c>
      <c r="Y652" s="160">
        <f>+ARUBA_GL!AA82</f>
        <v>0</v>
      </c>
      <c r="Z652" s="160">
        <f>+ARUBA_GL!AB82</f>
        <v>0</v>
      </c>
      <c r="AA652" s="160">
        <f>+ARUBA_GL!AC82</f>
        <v>0</v>
      </c>
      <c r="AB652" s="160">
        <f>+ARUBA_GL!AD82</f>
        <v>0</v>
      </c>
      <c r="AC652" s="160">
        <f>+ARUBA_GL!AE82</f>
        <v>0</v>
      </c>
      <c r="AD652" s="14"/>
      <c r="AE652" s="14"/>
    </row>
    <row r="653" spans="4:31" x14ac:dyDescent="0.25">
      <c r="D653" t="s">
        <v>2</v>
      </c>
    </row>
    <row r="654" spans="4:31" x14ac:dyDescent="0.25">
      <c r="N654" s="14">
        <v>-478761</v>
      </c>
      <c r="O654" s="14">
        <v>-1338024.2909999997</v>
      </c>
    </row>
    <row r="655" spans="4:31" x14ac:dyDescent="0.25">
      <c r="N655" s="14">
        <v>0</v>
      </c>
      <c r="O655" s="14">
        <v>99821.321999999927</v>
      </c>
    </row>
    <row r="656" spans="4:31" x14ac:dyDescent="0.25">
      <c r="N656" s="14">
        <v>478761</v>
      </c>
      <c r="O656" s="14">
        <v>1366096.4389999998</v>
      </c>
    </row>
    <row r="657" spans="14:15" x14ac:dyDescent="0.25">
      <c r="N657" s="14">
        <v>0</v>
      </c>
      <c r="O657" s="14">
        <v>66043.22</v>
      </c>
    </row>
    <row r="658" spans="14:15" x14ac:dyDescent="0.25">
      <c r="N658" s="14">
        <v>0</v>
      </c>
      <c r="O658" s="14">
        <v>0</v>
      </c>
    </row>
    <row r="659" spans="14:15" x14ac:dyDescent="0.25">
      <c r="N659" s="14">
        <v>478761</v>
      </c>
      <c r="O659" s="14">
        <v>1432139.659</v>
      </c>
    </row>
    <row r="660" spans="14:15" x14ac:dyDescent="0.25">
      <c r="N660" s="14">
        <v>0</v>
      </c>
      <c r="O660" s="14">
        <v>1079670.56</v>
      </c>
    </row>
    <row r="661" spans="14:15" x14ac:dyDescent="0.25">
      <c r="N661" s="14">
        <v>0</v>
      </c>
      <c r="O661" s="14">
        <v>0</v>
      </c>
    </row>
    <row r="662" spans="14:15" x14ac:dyDescent="0.25">
      <c r="N662" s="14">
        <v>0</v>
      </c>
      <c r="O662" s="14">
        <v>-92171</v>
      </c>
    </row>
    <row r="663" spans="14:15" x14ac:dyDescent="0.25">
      <c r="N663" s="14">
        <v>0</v>
      </c>
      <c r="O663" s="14">
        <v>1079670.56</v>
      </c>
    </row>
    <row r="664" spans="14:15" x14ac:dyDescent="0.25">
      <c r="N664" s="14">
        <v>0</v>
      </c>
      <c r="O664" s="14">
        <v>61510.74</v>
      </c>
    </row>
    <row r="665" spans="14:15" x14ac:dyDescent="0.25">
      <c r="N665" s="14">
        <v>0</v>
      </c>
      <c r="O665" s="14">
        <v>0</v>
      </c>
    </row>
    <row r="666" spans="14:15" x14ac:dyDescent="0.25">
      <c r="N666" s="14">
        <v>0</v>
      </c>
      <c r="O666" s="14">
        <v>-2930.86</v>
      </c>
    </row>
    <row r="667" spans="14:15" x14ac:dyDescent="0.25">
      <c r="N667" s="14">
        <v>0</v>
      </c>
      <c r="O667" s="14">
        <v>4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AB637:AC637"/>
    <mergeCell ref="AD637:AE637"/>
    <mergeCell ref="T637:U637"/>
    <mergeCell ref="V637:W637"/>
    <mergeCell ref="X637:Y637"/>
    <mergeCell ref="Z637:AA637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Y66" activePane="bottomRight" state="frozen"/>
      <selection activeCell="G20" sqref="G20"/>
      <selection pane="topRight" activeCell="G20" sqref="G20"/>
      <selection pane="bottomLeft" activeCell="G20" sqref="G20"/>
      <selection pane="bottomRight" activeCell="H66" sqref="H66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8" customWidth="1"/>
    <col min="6" max="31" width="15" customWidth="1"/>
  </cols>
  <sheetData>
    <row r="1" spans="1:31" x14ac:dyDescent="0.25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5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5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5">
      <c r="A5" s="48" t="str">
        <f>Check!A5</f>
        <v>PRODUCTION MONTH: 9910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190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200</v>
      </c>
      <c r="AC8" s="27"/>
      <c r="AD8" s="26" t="s">
        <v>113</v>
      </c>
      <c r="AE8" s="27"/>
    </row>
    <row r="9" spans="1:31" s="80" customFormat="1" x14ac:dyDescent="0.25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5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F11+J11+L11+N11+P11+R11+T11+X11+Z11+AD11+V11</f>
        <v>0</v>
      </c>
      <c r="E11" s="195">
        <f>G11+K11+M11+O11+Q11+S11+U11+Y11+AA11+AE11+W11+AC11+I11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>F12+J12+L12+N12+P12+R12+T12+X12+Z12+AD12+V12</f>
        <v>0</v>
      </c>
      <c r="E12" s="207">
        <f>G12+K12+M12+O12+Q12+S12+U12+Y12+AA12+AE12+W12+AC12+I12</f>
        <v>3686603.7399999998</v>
      </c>
      <c r="F12" s="65"/>
      <c r="G12" s="38">
        <f>-1375427.49-338733.53</f>
        <v>-1714161.02</v>
      </c>
      <c r="H12" s="65"/>
      <c r="I12" s="38">
        <v>3924630</v>
      </c>
      <c r="J12" s="65">
        <v>0</v>
      </c>
      <c r="K12" s="38">
        <f>-883206.64-306908.66</f>
        <v>-1190115.3</v>
      </c>
      <c r="L12" s="65"/>
      <c r="M12" s="38">
        <v>110653.6</v>
      </c>
      <c r="N12" s="65"/>
      <c r="O12" s="38">
        <v>0</v>
      </c>
      <c r="P12" s="65"/>
      <c r="Q12" s="38">
        <f>3283110.07</f>
        <v>3283110.07</v>
      </c>
      <c r="R12" s="65"/>
      <c r="S12" s="38">
        <v>-2901.6</v>
      </c>
      <c r="T12" s="65"/>
      <c r="U12" s="38">
        <f>-654557.14-187531.67</f>
        <v>-842088.81</v>
      </c>
      <c r="V12" s="65">
        <v>0</v>
      </c>
      <c r="W12" s="38">
        <f>-164978</f>
        <v>-164978</v>
      </c>
      <c r="X12" s="65"/>
      <c r="Y12" s="38">
        <v>0</v>
      </c>
      <c r="Z12" s="65">
        <v>0</v>
      </c>
      <c r="AA12" s="38">
        <f>282454.8</f>
        <v>282454.8</v>
      </c>
      <c r="AB12" s="65"/>
      <c r="AC12" s="38">
        <v>0</v>
      </c>
      <c r="AD12" s="65"/>
      <c r="AE12" s="38">
        <v>0</v>
      </c>
    </row>
    <row r="13" spans="1:31" x14ac:dyDescent="0.25">
      <c r="A13" s="9">
        <v>3</v>
      </c>
      <c r="B13" s="7"/>
      <c r="C13" s="18" t="s">
        <v>27</v>
      </c>
      <c r="D13" s="60">
        <f>F13+J13+L13+N13+P13+R13+T13+X13+Z13+AD13+V13</f>
        <v>0</v>
      </c>
      <c r="E13" s="195">
        <f>G13+K13+M13+O13+Q13+S13+U13+Y13+AA13+AE13+W13+AC13+I13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>F14+J14+L14+N14+P14+R14+T14+X14+Z14+AD14+V14</f>
        <v>0</v>
      </c>
      <c r="E14" s="195">
        <f>G14+K14+M14+O14+Q14+S14+U14+Y14+AA14+AE14+W14+AC14+I14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>F15+J15+L15+N15+P15+R15+T15+X15+Z15+AD15+V15</f>
        <v>0</v>
      </c>
      <c r="E15" s="195">
        <f>G15+K15+M15+O15+Q15+S15+U15+Y15+AA15+AE15+W15+AC15+I15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 t="shared" ref="D16:AE16" si="0">SUM(D11:D15)</f>
        <v>0</v>
      </c>
      <c r="E16" s="202">
        <f t="shared" si="0"/>
        <v>3686603.7399999998</v>
      </c>
      <c r="F16" s="61">
        <f t="shared" si="0"/>
        <v>0</v>
      </c>
      <c r="G16" s="39">
        <f t="shared" si="0"/>
        <v>-1714161.02</v>
      </c>
      <c r="H16" s="61">
        <f>SUM(H11:H15)</f>
        <v>0</v>
      </c>
      <c r="I16" s="39">
        <f>SUM(I11:I15)</f>
        <v>3924630</v>
      </c>
      <c r="J16" s="61">
        <f t="shared" si="0"/>
        <v>0</v>
      </c>
      <c r="K16" s="39">
        <f t="shared" si="0"/>
        <v>-1190115.3</v>
      </c>
      <c r="L16" s="61">
        <f t="shared" si="0"/>
        <v>0</v>
      </c>
      <c r="M16" s="39">
        <f t="shared" si="0"/>
        <v>110653.6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3283110.07</v>
      </c>
      <c r="R16" s="61">
        <f t="shared" si="0"/>
        <v>0</v>
      </c>
      <c r="S16" s="39">
        <f t="shared" si="0"/>
        <v>-2901.6</v>
      </c>
      <c r="T16" s="61">
        <f t="shared" si="0"/>
        <v>0</v>
      </c>
      <c r="U16" s="39">
        <f t="shared" si="0"/>
        <v>-842088.81</v>
      </c>
      <c r="V16" s="61">
        <f>SUM(V11:V15)</f>
        <v>0</v>
      </c>
      <c r="W16" s="39">
        <f>SUM(W11:W15)</f>
        <v>-164978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282454.8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5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>F19+J19+L19+N19+P19+R19+T19+X19+Z19+AD19+V19</f>
        <v>0</v>
      </c>
      <c r="E19" s="195">
        <f>G19+K19+M19+O19+Q19+S19+U19+Y19+AA19+AE19+W19+AC19+I19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>F20+J20+L20+N20+P20+R20+T20+X20+Z20+AD20+V20</f>
        <v>0</v>
      </c>
      <c r="E20" s="195">
        <f>G20+K20+M20+O20+Q20+S20+U20+Y20+AA20+AE20+W20+AC20+I20</f>
        <v>-7908292.1400000006</v>
      </c>
      <c r="F20" s="65"/>
      <c r="G20" s="38">
        <f>-1931012.88+137907.53</f>
        <v>-1793105.3499999999</v>
      </c>
      <c r="H20" s="65"/>
      <c r="I20" s="38">
        <v>0</v>
      </c>
      <c r="J20" s="65"/>
      <c r="K20" s="38">
        <f>57420.55+27502.3</f>
        <v>84922.85</v>
      </c>
      <c r="L20" s="65"/>
      <c r="M20" s="38">
        <v>0</v>
      </c>
      <c r="N20" s="65"/>
      <c r="O20" s="38">
        <v>0</v>
      </c>
      <c r="P20" s="65"/>
      <c r="Q20" s="38">
        <f>-1819771.8</f>
        <v>-1819771.8</v>
      </c>
      <c r="R20" s="65"/>
      <c r="S20" s="38">
        <v>0</v>
      </c>
      <c r="T20" s="65"/>
      <c r="U20" s="38">
        <f>10113.88+111212.29</f>
        <v>121326.17</v>
      </c>
      <c r="V20" s="65"/>
      <c r="W20" s="38">
        <v>-3633160.93</v>
      </c>
      <c r="X20" s="65"/>
      <c r="Y20" s="38">
        <v>0</v>
      </c>
      <c r="Z20" s="65">
        <v>0</v>
      </c>
      <c r="AA20" s="38">
        <f>-738613.08</f>
        <v>-738613.08</v>
      </c>
      <c r="AB20" s="65"/>
      <c r="AC20" s="38">
        <v>0</v>
      </c>
      <c r="AD20" s="65"/>
      <c r="AE20" s="38">
        <v>-129890</v>
      </c>
    </row>
    <row r="21" spans="1:31" x14ac:dyDescent="0.25">
      <c r="A21" s="9">
        <v>8</v>
      </c>
      <c r="B21" s="7"/>
      <c r="C21" s="18" t="s">
        <v>27</v>
      </c>
      <c r="D21" s="60">
        <f>F21+J21+L21+N21+P21+R21+T21+X21+Z21+AD21+V21</f>
        <v>0</v>
      </c>
      <c r="E21" s="195">
        <f>G21+K21+M21+O21+Q21+S21+U21+Y21+AA21+AE21+W21+AC21+I21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>F22+J22+L22+N22+P22+R22+T22+X22+Z22+AD22+V22</f>
        <v>0</v>
      </c>
      <c r="E22" s="195">
        <f>G22+K22+M22+O22+Q22+S22+U22+Y22+AA22+AE22+W22+AC22+I22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>F23+J23+L23+N23+P23+R23+T23+X23+Z23+AD23+V23</f>
        <v>0</v>
      </c>
      <c r="E23" s="195">
        <f>G23+K23+M23+O23+Q23+S23+U23+Y23+AA23+AE23+W23+AC23+I23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 t="shared" ref="D24:AE24" si="1">SUM(D19:D23)</f>
        <v>0</v>
      </c>
      <c r="E24" s="202">
        <f t="shared" si="1"/>
        <v>-7908292.1400000006</v>
      </c>
      <c r="F24" s="61">
        <f t="shared" si="1"/>
        <v>0</v>
      </c>
      <c r="G24" s="39">
        <f t="shared" si="1"/>
        <v>-1793105.3499999999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84922.85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-1819771.8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121326.17</v>
      </c>
      <c r="V24" s="61">
        <f>SUM(V19:V23)</f>
        <v>0</v>
      </c>
      <c r="W24" s="39">
        <f>SUM(W19:W23)</f>
        <v>-3633160.93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-738613.08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-129890</v>
      </c>
    </row>
    <row r="25" spans="1:31" x14ac:dyDescent="0.25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F27+J27+L27+N27+P27+R27+T27+X27+Z27+AD27+V27</f>
        <v>0</v>
      </c>
      <c r="E27" s="195">
        <f>G27+K27+M27+O27+Q27+S27+U27+Y27+AA27+AE27+W27+AC27+I27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F28+J28+L28+N28+P28+R28+T28+X28+Z28+AD28+V28</f>
        <v>0</v>
      </c>
      <c r="E28" s="195">
        <f>G28+K28+M28+O28+Q28+S28+U28+Y28+AA28+AE28+W28+AC28+I28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6"/>
      <c r="D29" s="61">
        <f t="shared" ref="D29:AE29" si="2">SUM(D27:D28)</f>
        <v>0</v>
      </c>
      <c r="E29" s="202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5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>F32+J32+L32+N32+P32+R32+T32+X32+Z32+AD32+V32</f>
        <v>0</v>
      </c>
      <c r="E32" s="195">
        <f>G32+K32+M32+O32+Q32+S32+U32+Y32+AA32+AE32+W32+AC32+I32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>F33+J33+L33+N33+P33+R33+T33+X33+Z33+AD33+V33</f>
        <v>0</v>
      </c>
      <c r="E33" s="195">
        <f>G33+K33+M33+O33+Q33+S33+U33+Y33+AA33+AE33+W33+AC33+I33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>F34+J34+L34+N34+P34+R34+T34+X34+Z34+AD34+V34</f>
        <v>0</v>
      </c>
      <c r="E34" s="195">
        <f>G34+K34+M34+O34+Q34+S34+U34+Y34+AA34+AE34+W34+AC34+I34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>F35+J35+L35+N35+P35+R35+T35+X35+Z35+AD35+V35</f>
        <v>0</v>
      </c>
      <c r="E35" s="195">
        <f>G35+K35+M35+O35+Q35+S35+U35+Y35+AA35+AE35+W35+AC35+I35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5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>F39+J39+L39+N39+P39+R39+T39+X39+Z39+AD39+V39</f>
        <v>0</v>
      </c>
      <c r="E39" s="195">
        <f>G39+K39+M39+O39+Q39+S39+U39+Y39+AA39+AE39+W39+AC39+I39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>F40+J40+L40+N40+P40+R40+T40+X40+Z40+AD40+V40</f>
        <v>0</v>
      </c>
      <c r="E40" s="195">
        <f>G40+K40+M40+O40+Q40+S40+U40+Y40+AA40+AE40+W40+AC40+I40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>F41+J41+L41+N41+P41+R41+T41+X41+Z41+AD41+V41</f>
        <v>0</v>
      </c>
      <c r="E41" s="195">
        <f>G41+K41+M41+O41+Q41+S41+U41+Y41+AA41+AE41+W41+AC41+I41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5">
      <c r="A42" s="9"/>
      <c r="B42" s="7"/>
      <c r="C42" s="53" t="s">
        <v>48</v>
      </c>
      <c r="D42" s="61">
        <f t="shared" ref="D42:AE42" si="4">SUM(D40:D41)</f>
        <v>0</v>
      </c>
      <c r="E42" s="202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5">D42+D39</f>
        <v>0</v>
      </c>
      <c r="E43" s="202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5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F45+J45+L45+N45+P45+R45+T45+X45+Z45+AD45+V45</f>
        <v>0</v>
      </c>
      <c r="E45" s="195">
        <f>G45+K45+M45+O45+Q45+S45+U45+Y45+AA45+AE45+W45+AC45+I45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F47+J47+L47+N47+P47+R47+T47+X47+Z47+AD47+V47</f>
        <v>0</v>
      </c>
      <c r="E47" s="195">
        <f>G47+K47+M47+O47+Q47+S47+U47+Y47+AA47+AE47+W47+AC47+I47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F49+J49+L49+N49+P49+R49+T49+X49+Z49+AD49+V49</f>
        <v>0</v>
      </c>
      <c r="E49" s="195">
        <f>G49+K49+M49+O49+Q49+S49+U49+Y49+AA49+AE49+W49+AC49+I49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5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F51+J51+L51+N51+P51+R51+T51+X51+Z51+AD51+V51</f>
        <v>0</v>
      </c>
      <c r="E51" s="195">
        <f>G51+K51+M51+O51+Q51+S51+U51+Y51+AA51+AE51+W51+AC51+I51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5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F54+J54+L54+N54+P54+R54+T54+X54+Z54+AD54+V54</f>
        <v>0</v>
      </c>
      <c r="E54" s="213">
        <f>G54+K54+M54+O54+Q54+S54+U54+Y54+AA54+AE54+W54+AC54+I54</f>
        <v>-1393008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-1393008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F55+J55+L55+N55+P55+R55+T55+X55+Z55+AD55+V55</f>
        <v>0</v>
      </c>
      <c r="E55" s="195">
        <f>G55+K55+M55+O55+Q55+S55+U55+Y55+AA55+AE55+W55+AC55+I55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5">
      <c r="A56" s="9"/>
      <c r="B56" s="7" t="s">
        <v>57</v>
      </c>
      <c r="C56" s="6"/>
      <c r="D56" s="61">
        <f t="shared" ref="D56:AE56" si="6">SUM(D54:D55)</f>
        <v>0</v>
      </c>
      <c r="E56" s="202">
        <f t="shared" si="6"/>
        <v>-1393008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-1393008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5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F59+J59+L59+N59+P59+R59+T59+X59+Z59+AD59+V59</f>
        <v>0</v>
      </c>
      <c r="E59" s="195">
        <f>G59+K59+M59+O59+Q59+S59+U59+Y59+AA59+AE59+W59+AC59+I59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5">
      <c r="A60" s="9">
        <v>27</v>
      </c>
      <c r="B60" s="11"/>
      <c r="C60" s="18" t="s">
        <v>60</v>
      </c>
      <c r="D60" s="60">
        <f>F60+J60+L60+N60+P60+R60+T60+X60+Z60+AD60+V60</f>
        <v>0</v>
      </c>
      <c r="E60" s="195">
        <f>G60+K60+M60+O60+Q60+S60+U60+Y60+AA60+AE60+W60+AC60+I60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 t="shared" ref="D61:AE61" si="7">SUM(D59:D60)</f>
        <v>0</v>
      </c>
      <c r="E61" s="202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5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F64+J64+L64+N64+P64+R64+T64+X64+Z64+AD64+V64</f>
        <v>0</v>
      </c>
      <c r="E64" s="195">
        <f>G64+K64+M64+O64+Q64+S64+U64+Y64+AA64+AE64+W64+AC64+I64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F65+J65+L65+N65+P65+R65+T65+X65+Z65+AD65+V65</f>
        <v>0</v>
      </c>
      <c r="E65" s="195">
        <f>G65+K65+M65+O65+Q65+S65+U65+Y65+AA65+AE65+W65+AC65+I65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 t="shared" ref="D66:AE66" si="8">SUM(D64:D65)</f>
        <v>0</v>
      </c>
      <c r="E66" s="202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5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F70+J70+L70+N70+P70+R70+T70+X70+Z70+AD70+V70</f>
        <v>0</v>
      </c>
      <c r="E70" s="195">
        <f>G70+K70+M70+O70+Q70+S70+U70+Y70+AA70+AE70+W70+AC70+I70</f>
        <v>35531864.200000003</v>
      </c>
      <c r="F70" s="60"/>
      <c r="G70" s="38">
        <v>2723828.88</v>
      </c>
      <c r="H70" s="60"/>
      <c r="I70" s="38">
        <v>16562230</v>
      </c>
      <c r="J70" s="60"/>
      <c r="K70" s="38">
        <v>6851832</v>
      </c>
      <c r="L70" s="60"/>
      <c r="M70" s="38">
        <v>0</v>
      </c>
      <c r="N70" s="60"/>
      <c r="O70" s="38">
        <v>0</v>
      </c>
      <c r="P70" s="60">
        <v>0</v>
      </c>
      <c r="Q70" s="38">
        <v>-1343082</v>
      </c>
      <c r="R70" s="60"/>
      <c r="S70" s="38">
        <v>0</v>
      </c>
      <c r="T70" s="60">
        <v>0</v>
      </c>
      <c r="U70" s="38">
        <f>-876739.35</f>
        <v>-876739.35</v>
      </c>
      <c r="V70" s="60">
        <v>0</v>
      </c>
      <c r="W70" s="38">
        <v>0</v>
      </c>
      <c r="X70" s="60">
        <v>0</v>
      </c>
      <c r="Y70" s="38">
        <v>4385342</v>
      </c>
      <c r="Z70" s="60"/>
      <c r="AA70" s="38">
        <v>-837625.48</v>
      </c>
      <c r="AB70" s="60"/>
      <c r="AC70" s="38">
        <v>0</v>
      </c>
      <c r="AD70" s="60"/>
      <c r="AE70" s="38">
        <v>8066078.1500000004</v>
      </c>
    </row>
    <row r="71" spans="1:31" x14ac:dyDescent="0.25">
      <c r="A71" s="9">
        <v>31</v>
      </c>
      <c r="B71" s="3"/>
      <c r="C71" s="10" t="s">
        <v>68</v>
      </c>
      <c r="D71" s="60">
        <f>F71+J71+L71+N71+P71+R71+T71+X71+Z71+AD71+V71</f>
        <v>0</v>
      </c>
      <c r="E71" s="195">
        <f>G71+K71+M71+O71+Q71+S71+U71+Y71+AA71+AE71+W71+AC71+I71</f>
        <v>-37111490.700000003</v>
      </c>
      <c r="F71" s="60"/>
      <c r="G71" s="38">
        <v>-845380</v>
      </c>
      <c r="H71" s="60"/>
      <c r="I71" s="38">
        <v>-22061170</v>
      </c>
      <c r="J71" s="60"/>
      <c r="K71" s="38">
        <v>-7144978.9500000002</v>
      </c>
      <c r="L71" s="60"/>
      <c r="M71" s="38">
        <v>0</v>
      </c>
      <c r="N71" s="60"/>
      <c r="O71" s="38">
        <v>0</v>
      </c>
      <c r="P71" s="60"/>
      <c r="Q71" s="38">
        <v>-2316418.4</v>
      </c>
      <c r="R71" s="60"/>
      <c r="S71" s="38">
        <v>0</v>
      </c>
      <c r="T71" s="60"/>
      <c r="U71" s="38">
        <v>1489400.93</v>
      </c>
      <c r="V71" s="60"/>
      <c r="W71" s="38">
        <v>0</v>
      </c>
      <c r="X71" s="60"/>
      <c r="Y71" s="38">
        <v>0</v>
      </c>
      <c r="Z71" s="60"/>
      <c r="AA71" s="38">
        <v>756466</v>
      </c>
      <c r="AB71" s="60"/>
      <c r="AC71" s="38">
        <v>0</v>
      </c>
      <c r="AD71" s="60"/>
      <c r="AE71" s="38">
        <v>-6989410.2800000003</v>
      </c>
    </row>
    <row r="72" spans="1:31" x14ac:dyDescent="0.25">
      <c r="A72" s="9"/>
      <c r="B72" s="3"/>
      <c r="C72" s="55" t="s">
        <v>69</v>
      </c>
      <c r="D72" s="61">
        <f t="shared" ref="D72:AE72" si="9">SUM(D70:D71)</f>
        <v>0</v>
      </c>
      <c r="E72" s="210">
        <f t="shared" si="9"/>
        <v>-1579626.5</v>
      </c>
      <c r="F72" s="61">
        <f t="shared" si="9"/>
        <v>0</v>
      </c>
      <c r="G72" s="39">
        <f t="shared" si="9"/>
        <v>1878448.88</v>
      </c>
      <c r="H72" s="61">
        <f>SUM(H70:H71)</f>
        <v>0</v>
      </c>
      <c r="I72" s="39">
        <f>SUM(I70:I71)</f>
        <v>-5498940</v>
      </c>
      <c r="J72" s="61">
        <f t="shared" si="9"/>
        <v>0</v>
      </c>
      <c r="K72" s="39">
        <f t="shared" si="9"/>
        <v>-293146.95000000019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-3659500.4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612661.57999999996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4385342</v>
      </c>
      <c r="Z72" s="61">
        <f t="shared" si="9"/>
        <v>0</v>
      </c>
      <c r="AA72" s="39">
        <f t="shared" si="9"/>
        <v>-81159.479999999981</v>
      </c>
      <c r="AB72" s="61">
        <f>SUM(AB70:AB71)</f>
        <v>0</v>
      </c>
      <c r="AC72" s="39">
        <f>SUM(AC70:AC71)</f>
        <v>0</v>
      </c>
      <c r="AD72" s="61">
        <f t="shared" si="9"/>
        <v>0</v>
      </c>
      <c r="AE72" s="39">
        <f t="shared" si="9"/>
        <v>1076667.8700000001</v>
      </c>
    </row>
    <row r="73" spans="1:31" x14ac:dyDescent="0.25">
      <c r="A73" s="9">
        <v>32</v>
      </c>
      <c r="B73" s="3"/>
      <c r="C73" s="10" t="s">
        <v>70</v>
      </c>
      <c r="D73" s="60">
        <f>F73+J73+L73+N73+P73+R73+T73+X73+Z73+AD73+V73</f>
        <v>0</v>
      </c>
      <c r="E73" s="195">
        <f t="shared" ref="E73:E81" si="10">G73+K73+M73+O73+Q73+S73+U73+Y73+AA73+AE73+W73+AC73+I73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ref="D74:D81" si="11">F74+J74+L74+N74+P74+R74+T74+X74+Z74+AD74+V74</f>
        <v>0</v>
      </c>
      <c r="E74" s="195">
        <f t="shared" si="10"/>
        <v>-193782</v>
      </c>
      <c r="F74" s="65"/>
      <c r="G74" s="66">
        <f>-1912945+1213819.88-1213819.88</f>
        <v>-1912945</v>
      </c>
      <c r="H74" s="65"/>
      <c r="I74" s="66">
        <v>21254</v>
      </c>
      <c r="J74" s="65"/>
      <c r="K74" s="66">
        <f>3876373-15676</f>
        <v>3860697</v>
      </c>
      <c r="L74" s="65"/>
      <c r="M74" s="66">
        <v>0</v>
      </c>
      <c r="N74" s="65"/>
      <c r="O74" s="66">
        <v>0</v>
      </c>
      <c r="P74" s="65"/>
      <c r="Q74" s="66">
        <f>4256427-104042-40800+104042+40800</f>
        <v>4256427</v>
      </c>
      <c r="R74" s="65"/>
      <c r="S74" s="66">
        <v>0</v>
      </c>
      <c r="T74" s="65"/>
      <c r="U74" s="66">
        <v>0</v>
      </c>
      <c r="V74" s="65"/>
      <c r="W74" s="66">
        <f>170583+2487130</f>
        <v>2657713</v>
      </c>
      <c r="X74" s="65"/>
      <c r="Y74" s="214">
        <v>-1335141</v>
      </c>
      <c r="Z74" s="65"/>
      <c r="AA74" s="214">
        <v>-5778271</v>
      </c>
      <c r="AB74" s="65"/>
      <c r="AC74" s="66">
        <v>0</v>
      </c>
      <c r="AD74" s="65"/>
      <c r="AE74" s="214">
        <v>-1963516</v>
      </c>
    </row>
    <row r="75" spans="1:31" x14ac:dyDescent="0.25">
      <c r="A75" s="9">
        <v>34</v>
      </c>
      <c r="B75" s="3"/>
      <c r="C75" s="10" t="s">
        <v>72</v>
      </c>
      <c r="D75" s="60">
        <f t="shared" si="11"/>
        <v>0</v>
      </c>
      <c r="E75" s="213">
        <f t="shared" si="10"/>
        <v>141500</v>
      </c>
      <c r="F75" s="65"/>
      <c r="G75" s="38">
        <v>96400</v>
      </c>
      <c r="H75" s="65"/>
      <c r="I75" s="38">
        <v>0</v>
      </c>
      <c r="J75" s="65"/>
      <c r="K75" s="38">
        <v>8100</v>
      </c>
      <c r="L75" s="65"/>
      <c r="M75" s="38">
        <v>0</v>
      </c>
      <c r="N75" s="65"/>
      <c r="O75" s="38">
        <v>0</v>
      </c>
      <c r="P75" s="65"/>
      <c r="Q75" s="38">
        <v>11300</v>
      </c>
      <c r="R75" s="65"/>
      <c r="S75" s="38"/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25700</v>
      </c>
    </row>
    <row r="76" spans="1:31" x14ac:dyDescent="0.25">
      <c r="A76" s="9">
        <v>35</v>
      </c>
      <c r="B76" s="3"/>
      <c r="C76" s="10" t="s">
        <v>73</v>
      </c>
      <c r="D76" s="60">
        <f t="shared" si="11"/>
        <v>0</v>
      </c>
      <c r="E76" s="213">
        <f t="shared" si="10"/>
        <v>-8200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-8200</v>
      </c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11"/>
        <v>0</v>
      </c>
      <c r="E77" s="213">
        <f t="shared" si="10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11"/>
        <v>0</v>
      </c>
      <c r="E78" s="195">
        <f t="shared" si="10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11"/>
        <v>0</v>
      </c>
      <c r="E79" s="195">
        <f t="shared" si="10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11"/>
        <v>0</v>
      </c>
      <c r="E80" s="195">
        <f t="shared" si="10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5">
      <c r="A81" s="9">
        <v>40</v>
      </c>
      <c r="B81" s="3"/>
      <c r="C81" s="10" t="s">
        <v>78</v>
      </c>
      <c r="D81" s="60">
        <f t="shared" si="11"/>
        <v>0</v>
      </c>
      <c r="E81" s="195">
        <f t="shared" si="10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3">
      <c r="A82" s="88"/>
      <c r="B82" s="89"/>
      <c r="C82" s="90" t="s">
        <v>168</v>
      </c>
      <c r="D82" s="91">
        <f>D16+D24+D29+D36+D43+D45+D47+D49</f>
        <v>0</v>
      </c>
      <c r="E82" s="204">
        <f>SUM(E72:E81)+E16+E24+E29+E36+E43+E45+E47+E49+E51+E56+E61+E66</f>
        <v>-11188613.9</v>
      </c>
      <c r="F82" s="91">
        <f>F16+F24+F29+F36+F43+F45+F47+F49</f>
        <v>0</v>
      </c>
      <c r="G82" s="92">
        <f>SUM(G72:G81)+G16+G24+G29+G36+G43+G45+G47+G49+G51+G56+G61+G66</f>
        <v>-3445362.49</v>
      </c>
      <c r="H82" s="91">
        <f>H16+H24+H29+H36+H43+H45+H47+H49</f>
        <v>0</v>
      </c>
      <c r="I82" s="92">
        <f>SUM(I72:I81)+I16+I24+I29+I36+I43+I45+I47+I49+I51+I56+I61+I66</f>
        <v>-1553056</v>
      </c>
      <c r="J82" s="91">
        <f>J16+J24+J29+J36+J43+J45+J47+J49</f>
        <v>0</v>
      </c>
      <c r="K82" s="92">
        <f>SUM(K72:K81)+K16+K24+K29+K36+K43+K45+K47+K49+K51+K56+K61+K66</f>
        <v>-1463351.4000000001</v>
      </c>
      <c r="L82" s="91">
        <f>L16+L24+L29+L36+L43+L45+L47+L49</f>
        <v>0</v>
      </c>
      <c r="M82" s="92">
        <f>SUM(M72:M81)+M16+M24+M29+M36+M43+M45+M47+M49+M51+M56+M61+M66</f>
        <v>110653.6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2071564.8699999999</v>
      </c>
      <c r="R82" s="91">
        <f>R16+R24+R29+R36+R43+R45+R47+R49</f>
        <v>0</v>
      </c>
      <c r="S82" s="92">
        <f>SUM(S72:S81)+S16+S24+S29+S36+S43+S45+S47+S49+S51+S56+S61+S66</f>
        <v>-2901.6</v>
      </c>
      <c r="T82" s="91">
        <f>T16+T24+T29+T36+T43+T45+T47+T49</f>
        <v>0</v>
      </c>
      <c r="U82" s="92">
        <f>SUM(U72:U81)+U16+U24+U29+U36+U43+U45+U47+U49+U51+U56+U61+U66</f>
        <v>-108101.0600000001</v>
      </c>
      <c r="V82" s="91">
        <f>V16+V24+V29+V36+V43+V45+V47+V49</f>
        <v>0</v>
      </c>
      <c r="W82" s="92">
        <f>SUM(W72:W81)+W16+W24+W29+W36+W43+W45+W47+W49+W51+W56+W61+W66</f>
        <v>-2533433.9300000002</v>
      </c>
      <c r="X82" s="91">
        <f>X16+X24+X29+X36+X43+X45+X47+X49</f>
        <v>0</v>
      </c>
      <c r="Y82" s="92">
        <f>SUM(Y72:Y81)+Y16+Y24+Y29+Y36+Y43+Y45+Y47+Y49+Y51+Y56+Y61+Y66</f>
        <v>3042001</v>
      </c>
      <c r="Z82" s="91">
        <f>Z16+Z24+Z29+Z36+Z43+Z45+Z47+Z49</f>
        <v>0</v>
      </c>
      <c r="AA82" s="92">
        <f>SUM(AA72:AA81)+AA16+AA24+AA29+AA36+AA43+AA45+AA47+AA49+AA51+AA56+AA61+AA66</f>
        <v>-6315588.7600000007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-991038.12999999989</v>
      </c>
      <c r="AF82" s="93"/>
    </row>
    <row r="83" spans="1:32" ht="13.8" thickTop="1" x14ac:dyDescent="0.25">
      <c r="A83" s="4" t="s">
        <v>2</v>
      </c>
      <c r="B83" s="3"/>
    </row>
    <row r="84" spans="1:32" x14ac:dyDescent="0.25">
      <c r="A84" s="4"/>
      <c r="B84" s="3"/>
      <c r="O84" s="45"/>
    </row>
    <row r="85" spans="1:32" x14ac:dyDescent="0.25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5">
      <c r="A86" s="168"/>
      <c r="C86" s="10" t="s">
        <v>166</v>
      </c>
      <c r="D86" s="169">
        <f t="shared" ref="D86:E88" si="12">F86+J86+L86+N86+P86+R86+T86+X86+Z86+AD86+V86</f>
        <v>0</v>
      </c>
      <c r="E86" s="211">
        <f t="shared" si="12"/>
        <v>3932315.2</v>
      </c>
      <c r="F86" s="169"/>
      <c r="G86" s="169">
        <v>0</v>
      </c>
      <c r="H86" s="169"/>
      <c r="I86" s="169">
        <v>0</v>
      </c>
      <c r="J86" s="169"/>
      <c r="K86" s="169">
        <v>206809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f>3170977-417.8+278190</f>
        <v>3448749.2</v>
      </c>
      <c r="X86" s="169"/>
      <c r="Y86" s="169"/>
      <c r="Z86" s="169"/>
      <c r="AA86" s="169">
        <v>276757</v>
      </c>
      <c r="AB86" s="169"/>
      <c r="AC86" s="169"/>
      <c r="AD86" s="169"/>
      <c r="AE86" s="169"/>
    </row>
    <row r="87" spans="1:32" s="3" customFormat="1" x14ac:dyDescent="0.25">
      <c r="A87" s="168"/>
      <c r="C87" s="10" t="s">
        <v>71</v>
      </c>
      <c r="D87" s="170">
        <f t="shared" si="12"/>
        <v>0</v>
      </c>
      <c r="E87" s="205">
        <f t="shared" si="12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5">
      <c r="A88" s="168"/>
      <c r="C88" s="10" t="s">
        <v>72</v>
      </c>
      <c r="D88" s="171">
        <f t="shared" si="12"/>
        <v>0</v>
      </c>
      <c r="E88" s="212">
        <f t="shared" si="12"/>
        <v>-3188323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-3174200</v>
      </c>
      <c r="X88" s="171">
        <f>Z88+AD88+AF88+AH88+AJ88+AL88+AN88+AP88+AR88+AT88</f>
        <v>0</v>
      </c>
      <c r="Y88" s="171"/>
      <c r="Z88" s="171"/>
      <c r="AA88" s="171">
        <v>-14123</v>
      </c>
      <c r="AB88" s="171"/>
      <c r="AC88" s="171"/>
      <c r="AD88" s="171"/>
      <c r="AE88" s="171"/>
    </row>
    <row r="89" spans="1:32" s="143" customFormat="1" ht="20.25" customHeight="1" x14ac:dyDescent="0.25">
      <c r="A89" s="182"/>
      <c r="B89" s="183"/>
      <c r="C89" s="185" t="s">
        <v>174</v>
      </c>
      <c r="D89" s="184">
        <f>SUM(D86:D88)</f>
        <v>0</v>
      </c>
      <c r="E89" s="206">
        <f t="shared" ref="E89:O89" si="13">SUM(E86:E88)</f>
        <v>743992.20000000019</v>
      </c>
      <c r="F89" s="184">
        <f t="shared" si="13"/>
        <v>0</v>
      </c>
      <c r="G89" s="184">
        <f t="shared" si="13"/>
        <v>0</v>
      </c>
      <c r="H89" s="184">
        <f>SUM(H86:H88)</f>
        <v>0</v>
      </c>
      <c r="I89" s="184">
        <f>SUM(I86:I88)</f>
        <v>0</v>
      </c>
      <c r="J89" s="184">
        <f t="shared" si="13"/>
        <v>0</v>
      </c>
      <c r="K89" s="184">
        <f t="shared" si="13"/>
        <v>206809</v>
      </c>
      <c r="L89" s="184">
        <f t="shared" si="13"/>
        <v>0</v>
      </c>
      <c r="M89" s="184">
        <f t="shared" si="13"/>
        <v>0</v>
      </c>
      <c r="N89" s="184">
        <f t="shared" si="13"/>
        <v>0</v>
      </c>
      <c r="O89" s="184">
        <f t="shared" si="13"/>
        <v>0</v>
      </c>
      <c r="P89" s="184">
        <f t="shared" ref="P89:AE89" si="14">SUM(P86:P88)</f>
        <v>0</v>
      </c>
      <c r="Q89" s="184">
        <f t="shared" si="14"/>
        <v>0</v>
      </c>
      <c r="R89" s="184">
        <f t="shared" si="14"/>
        <v>0</v>
      </c>
      <c r="S89" s="184">
        <f t="shared" si="14"/>
        <v>0</v>
      </c>
      <c r="T89" s="184">
        <f t="shared" si="14"/>
        <v>0</v>
      </c>
      <c r="U89" s="184">
        <f t="shared" si="14"/>
        <v>0</v>
      </c>
      <c r="V89" s="184">
        <f>SUM(V86:V88)</f>
        <v>0</v>
      </c>
      <c r="W89" s="184">
        <f>SUM(W86:W88)</f>
        <v>274549.20000000019</v>
      </c>
      <c r="X89" s="184">
        <f t="shared" si="14"/>
        <v>0</v>
      </c>
      <c r="Y89" s="184">
        <f t="shared" si="14"/>
        <v>0</v>
      </c>
      <c r="Z89" s="184">
        <f t="shared" si="14"/>
        <v>0</v>
      </c>
      <c r="AA89" s="184">
        <f t="shared" si="14"/>
        <v>262634</v>
      </c>
      <c r="AB89" s="184">
        <f>SUM(AB86:AB88)</f>
        <v>0</v>
      </c>
      <c r="AC89" s="184">
        <f>SUM(AC86:AC88)</f>
        <v>0</v>
      </c>
      <c r="AD89" s="184">
        <f t="shared" si="14"/>
        <v>0</v>
      </c>
      <c r="AE89" s="184">
        <f t="shared" si="14"/>
        <v>0</v>
      </c>
    </row>
    <row r="90" spans="1:32" x14ac:dyDescent="0.25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5">
      <c r="A91" s="182"/>
      <c r="B91" s="183"/>
      <c r="C91" s="181" t="s">
        <v>175</v>
      </c>
      <c r="D91" s="184">
        <f>+D82+D89</f>
        <v>0</v>
      </c>
      <c r="E91" s="206">
        <f t="shared" ref="E91:O91" si="15">+E82+E89</f>
        <v>-10444621.699999999</v>
      </c>
      <c r="F91" s="184">
        <f t="shared" si="15"/>
        <v>0</v>
      </c>
      <c r="G91" s="184">
        <f t="shared" si="15"/>
        <v>-3445362.49</v>
      </c>
      <c r="H91" s="184">
        <f>+H82+H89</f>
        <v>0</v>
      </c>
      <c r="I91" s="184">
        <f>+I82+I89</f>
        <v>-1553056</v>
      </c>
      <c r="J91" s="184">
        <f t="shared" si="15"/>
        <v>0</v>
      </c>
      <c r="K91" s="184">
        <f t="shared" si="15"/>
        <v>-1256542.4000000001</v>
      </c>
      <c r="L91" s="184">
        <f t="shared" si="15"/>
        <v>0</v>
      </c>
      <c r="M91" s="184">
        <f t="shared" si="15"/>
        <v>110653.6</v>
      </c>
      <c r="N91" s="184">
        <f t="shared" si="15"/>
        <v>0</v>
      </c>
      <c r="O91" s="184">
        <f t="shared" si="15"/>
        <v>0</v>
      </c>
      <c r="P91" s="184">
        <f t="shared" ref="P91:AE91" si="16">+P82+P89</f>
        <v>0</v>
      </c>
      <c r="Q91" s="184">
        <f t="shared" si="16"/>
        <v>2071564.8699999999</v>
      </c>
      <c r="R91" s="184">
        <f t="shared" si="16"/>
        <v>0</v>
      </c>
      <c r="S91" s="184">
        <f t="shared" si="16"/>
        <v>-2901.6</v>
      </c>
      <c r="T91" s="184">
        <f t="shared" si="16"/>
        <v>0</v>
      </c>
      <c r="U91" s="184">
        <f t="shared" si="16"/>
        <v>-108101.0600000001</v>
      </c>
      <c r="V91" s="184">
        <f>+V82+V89</f>
        <v>0</v>
      </c>
      <c r="W91" s="184">
        <f>+W82+W89</f>
        <v>-2258884.73</v>
      </c>
      <c r="X91" s="184">
        <f t="shared" si="16"/>
        <v>0</v>
      </c>
      <c r="Y91" s="184">
        <f t="shared" si="16"/>
        <v>3042001</v>
      </c>
      <c r="Z91" s="184">
        <f t="shared" si="16"/>
        <v>0</v>
      </c>
      <c r="AA91" s="184">
        <f t="shared" si="16"/>
        <v>-6052954.7600000007</v>
      </c>
      <c r="AB91" s="184">
        <f>+AB82+AB89</f>
        <v>0</v>
      </c>
      <c r="AC91" s="184">
        <f>+AC82+AC89</f>
        <v>0</v>
      </c>
      <c r="AD91" s="184">
        <f t="shared" si="16"/>
        <v>0</v>
      </c>
      <c r="AE91" s="184">
        <f t="shared" si="16"/>
        <v>-991038.12999999989</v>
      </c>
    </row>
    <row r="92" spans="1:32" x14ac:dyDescent="0.25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5">
      <c r="A93" s="4"/>
      <c r="B93" s="3"/>
    </row>
    <row r="94" spans="1:32" x14ac:dyDescent="0.25">
      <c r="A94" s="4"/>
      <c r="B94" s="3"/>
      <c r="E94" s="198">
        <f>+E74+E12+E20</f>
        <v>-4415470.4000000004</v>
      </c>
      <c r="G94" s="187">
        <f>+G12+G20+G74</f>
        <v>-5420211.3700000001</v>
      </c>
      <c r="I94" s="187">
        <f>+I12+I20+I74</f>
        <v>3945884</v>
      </c>
      <c r="K94" s="187">
        <f>+K12+K20+K74</f>
        <v>2755504.55</v>
      </c>
      <c r="M94" s="187">
        <f>+M12+M20+M74</f>
        <v>110653.6</v>
      </c>
      <c r="O94" s="187">
        <f>+O12+O20+O74</f>
        <v>0</v>
      </c>
      <c r="Q94" s="187">
        <f>+Q12+Q20+Q74</f>
        <v>5719765.2699999996</v>
      </c>
      <c r="S94" s="187">
        <f>+S12+S20+S74</f>
        <v>-2901.6</v>
      </c>
      <c r="U94" s="187">
        <f>+U12+U20+U74</f>
        <v>-720762.64</v>
      </c>
      <c r="W94" s="187">
        <f>+W12+W20+W74</f>
        <v>-1140425.9300000002</v>
      </c>
      <c r="Y94" s="187">
        <f>+Y12+Y20+Y74</f>
        <v>-1335141</v>
      </c>
      <c r="AA94" s="187">
        <f>+AA12+AA20+AA74</f>
        <v>-6234429.2800000003</v>
      </c>
      <c r="AC94" s="187">
        <f>+AC12+AC20+AC74</f>
        <v>0</v>
      </c>
      <c r="AE94" s="187">
        <f>+AE12+AE20+AE74</f>
        <v>-2093406</v>
      </c>
    </row>
    <row r="95" spans="1:32" x14ac:dyDescent="0.25">
      <c r="A95" s="4"/>
      <c r="B95" s="3"/>
      <c r="E95" s="198">
        <v>-3156765</v>
      </c>
    </row>
    <row r="96" spans="1:32" x14ac:dyDescent="0.25">
      <c r="A96" s="4"/>
      <c r="B96" s="3"/>
      <c r="E96" s="198">
        <f>+E94-E95</f>
        <v>-1258705.4000000004</v>
      </c>
    </row>
    <row r="97" spans="1:5" x14ac:dyDescent="0.25">
      <c r="A97" s="4"/>
      <c r="B97" s="3"/>
    </row>
    <row r="98" spans="1:5" x14ac:dyDescent="0.25">
      <c r="A98" s="4"/>
      <c r="B98" s="3"/>
    </row>
    <row r="99" spans="1:5" x14ac:dyDescent="0.25">
      <c r="A99" s="4"/>
      <c r="B99" s="3"/>
      <c r="E99" s="198">
        <v>1213819.8799999999</v>
      </c>
    </row>
    <row r="100" spans="1:5" x14ac:dyDescent="0.25">
      <c r="A100" s="4"/>
      <c r="B100" s="3"/>
      <c r="E100" s="198">
        <f>-40800-104042</f>
        <v>-144842</v>
      </c>
    </row>
    <row r="101" spans="1:5" x14ac:dyDescent="0.25">
      <c r="A101" s="4"/>
      <c r="B101" s="3"/>
      <c r="E101" s="198">
        <f>+E96+E99+E100</f>
        <v>-189727.52000000048</v>
      </c>
    </row>
    <row r="102" spans="1:5" x14ac:dyDescent="0.25">
      <c r="A102" s="4"/>
      <c r="B102" s="3"/>
    </row>
    <row r="103" spans="1:5" x14ac:dyDescent="0.25">
      <c r="A103" s="4"/>
      <c r="B103" s="3"/>
    </row>
    <row r="104" spans="1:5" x14ac:dyDescent="0.25">
      <c r="A104" s="4"/>
      <c r="B104" s="3"/>
    </row>
    <row r="105" spans="1:5" x14ac:dyDescent="0.25">
      <c r="A105" s="4"/>
      <c r="B105" s="3"/>
    </row>
    <row r="106" spans="1:5" x14ac:dyDescent="0.25">
      <c r="A106" s="4"/>
      <c r="B106" s="3"/>
    </row>
    <row r="107" spans="1:5" x14ac:dyDescent="0.25">
      <c r="A107" s="4"/>
      <c r="B107" s="3"/>
    </row>
    <row r="108" spans="1:5" x14ac:dyDescent="0.25">
      <c r="A108" s="4"/>
      <c r="B108" s="3"/>
    </row>
    <row r="109" spans="1:5" x14ac:dyDescent="0.25">
      <c r="A109" s="4"/>
      <c r="B109" s="3"/>
    </row>
    <row r="110" spans="1:5" x14ac:dyDescent="0.25">
      <c r="A110" s="4"/>
      <c r="B110" s="3"/>
    </row>
    <row r="111" spans="1:5" x14ac:dyDescent="0.25">
      <c r="A111" s="4"/>
      <c r="B111" s="3"/>
    </row>
    <row r="112" spans="1:5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H7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51207324</v>
      </c>
      <c r="E11" s="170">
        <v>131723366</v>
      </c>
      <c r="F11" s="60">
        <f>H11-D11</f>
        <v>0</v>
      </c>
      <c r="G11" s="37">
        <f>I11-E11</f>
        <v>0</v>
      </c>
      <c r="H11" s="65">
        <f t="shared" ref="H11:I15" si="0">D11</f>
        <v>51207324</v>
      </c>
      <c r="I11" s="66">
        <f t="shared" si="0"/>
        <v>131723366</v>
      </c>
      <c r="J11" s="37"/>
      <c r="K11" s="38"/>
      <c r="L11" s="60">
        <f t="shared" ref="L11:M15" si="1">H11+J11</f>
        <v>51207324</v>
      </c>
      <c r="M11" s="38">
        <f t="shared" si="1"/>
        <v>131723366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70">
        <v>29029832</v>
      </c>
      <c r="E13" s="170">
        <v>78440698</v>
      </c>
      <c r="F13" s="60">
        <f t="shared" si="2"/>
        <v>0</v>
      </c>
      <c r="G13" s="37">
        <f t="shared" si="2"/>
        <v>0</v>
      </c>
      <c r="H13" s="65">
        <f t="shared" si="0"/>
        <v>29029832</v>
      </c>
      <c r="I13" s="66">
        <f t="shared" si="0"/>
        <v>78440698</v>
      </c>
      <c r="J13" s="37"/>
      <c r="K13" s="38"/>
      <c r="L13" s="60">
        <f t="shared" si="1"/>
        <v>29029832</v>
      </c>
      <c r="M13" s="38">
        <f t="shared" si="1"/>
        <v>78440698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1">
        <v>80237156</v>
      </c>
      <c r="E16" s="191">
        <v>210164064</v>
      </c>
      <c r="F16" s="61">
        <f t="shared" ref="F16:M16" si="3">SUM(F11:F15)</f>
        <v>0</v>
      </c>
      <c r="G16" s="39">
        <f t="shared" si="3"/>
        <v>0</v>
      </c>
      <c r="H16" s="61">
        <f>SUM(H11:H15)</f>
        <v>80237156</v>
      </c>
      <c r="I16" s="39">
        <f>SUM(I11:I15)</f>
        <v>210164064</v>
      </c>
      <c r="J16" s="151">
        <f t="shared" si="3"/>
        <v>0</v>
      </c>
      <c r="K16" s="39">
        <f t="shared" si="3"/>
        <v>0</v>
      </c>
      <c r="L16" s="61">
        <f t="shared" si="3"/>
        <v>80237156</v>
      </c>
      <c r="M16" s="39">
        <f t="shared" si="3"/>
        <v>210164064</v>
      </c>
    </row>
    <row r="17" spans="1:13" x14ac:dyDescent="0.25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-55509583</v>
      </c>
      <c r="E19" s="170">
        <v>-139474176</v>
      </c>
      <c r="F19" s="60">
        <f>H19-D19</f>
        <v>0</v>
      </c>
      <c r="G19" s="37">
        <f>I19-E19</f>
        <v>0</v>
      </c>
      <c r="H19" s="65">
        <f t="shared" si="4"/>
        <v>-55509583</v>
      </c>
      <c r="I19" s="66">
        <f t="shared" si="4"/>
        <v>-139474176</v>
      </c>
      <c r="J19" s="37">
        <v>0</v>
      </c>
      <c r="K19" s="38">
        <v>0</v>
      </c>
      <c r="L19" s="60">
        <f t="shared" ref="L19:M23" si="5">H19+J19</f>
        <v>-55509583</v>
      </c>
      <c r="M19" s="38">
        <f t="shared" si="5"/>
        <v>-139474176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-25269342</v>
      </c>
      <c r="E21" s="170">
        <v>-68604375</v>
      </c>
      <c r="F21" s="60">
        <f t="shared" si="6"/>
        <v>0</v>
      </c>
      <c r="G21" s="37">
        <f t="shared" si="6"/>
        <v>0</v>
      </c>
      <c r="H21" s="65">
        <f t="shared" si="4"/>
        <v>-25269342</v>
      </c>
      <c r="I21" s="66">
        <f t="shared" si="4"/>
        <v>-68604375</v>
      </c>
      <c r="J21" s="37"/>
      <c r="K21" s="38"/>
      <c r="L21" s="60">
        <f t="shared" si="5"/>
        <v>-25269342</v>
      </c>
      <c r="M21" s="38">
        <f t="shared" si="5"/>
        <v>-68604375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371199</v>
      </c>
      <c r="E23" s="170">
        <v>993431</v>
      </c>
      <c r="F23" s="60">
        <f t="shared" si="6"/>
        <v>0</v>
      </c>
      <c r="G23" s="37">
        <f t="shared" si="6"/>
        <v>0</v>
      </c>
      <c r="H23" s="65">
        <f t="shared" si="4"/>
        <v>371199</v>
      </c>
      <c r="I23" s="66">
        <f t="shared" si="4"/>
        <v>993431</v>
      </c>
      <c r="J23" s="37"/>
      <c r="K23" s="38"/>
      <c r="L23" s="60">
        <f t="shared" si="5"/>
        <v>371199</v>
      </c>
      <c r="M23" s="38">
        <f t="shared" si="5"/>
        <v>993431</v>
      </c>
    </row>
    <row r="24" spans="1:13" x14ac:dyDescent="0.25">
      <c r="A24" s="9"/>
      <c r="B24" s="7" t="s">
        <v>33</v>
      </c>
      <c r="C24" s="6"/>
      <c r="D24" s="191">
        <v>-80407726</v>
      </c>
      <c r="E24" s="191">
        <v>-207085120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-80407726</v>
      </c>
      <c r="I24" s="39">
        <f>SUM(I19:I23)</f>
        <v>-207085120</v>
      </c>
      <c r="J24" s="151">
        <f t="shared" si="7"/>
        <v>0</v>
      </c>
      <c r="K24" s="39">
        <f t="shared" si="7"/>
        <v>0</v>
      </c>
      <c r="L24" s="61">
        <f t="shared" si="7"/>
        <v>-80407726</v>
      </c>
      <c r="M24" s="39">
        <f t="shared" si="7"/>
        <v>-207085120</v>
      </c>
    </row>
    <row r="25" spans="1:13" x14ac:dyDescent="0.25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9273</v>
      </c>
      <c r="E32" s="170">
        <v>219253</v>
      </c>
      <c r="F32" s="60">
        <f>H32-D32</f>
        <v>0</v>
      </c>
      <c r="G32" s="37">
        <f>I32-E32</f>
        <v>0</v>
      </c>
      <c r="H32" s="65">
        <f t="shared" ref="H32:I35" si="9">D32</f>
        <v>9273</v>
      </c>
      <c r="I32" s="66">
        <f t="shared" si="9"/>
        <v>219253</v>
      </c>
      <c r="J32" s="37"/>
      <c r="K32" s="38"/>
      <c r="L32" s="60">
        <f t="shared" ref="L32:M35" si="10">H32+J32</f>
        <v>9273</v>
      </c>
      <c r="M32" s="38">
        <f t="shared" si="10"/>
        <v>219253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266542</v>
      </c>
      <c r="E35" s="170">
        <v>669285</v>
      </c>
      <c r="F35" s="60">
        <f t="shared" si="11"/>
        <v>0</v>
      </c>
      <c r="G35" s="37">
        <f t="shared" si="11"/>
        <v>0</v>
      </c>
      <c r="H35" s="65">
        <f t="shared" si="9"/>
        <v>266542</v>
      </c>
      <c r="I35" s="66">
        <f t="shared" si="9"/>
        <v>669285</v>
      </c>
      <c r="J35" s="37">
        <v>0</v>
      </c>
      <c r="K35" s="38">
        <v>0</v>
      </c>
      <c r="L35" s="60">
        <f t="shared" si="10"/>
        <v>266542</v>
      </c>
      <c r="M35" s="38">
        <f t="shared" si="10"/>
        <v>669285</v>
      </c>
    </row>
    <row r="36" spans="1:13" x14ac:dyDescent="0.25">
      <c r="A36" s="9"/>
      <c r="B36" s="7" t="s">
        <v>43</v>
      </c>
      <c r="C36" s="6"/>
      <c r="D36" s="191">
        <v>275815</v>
      </c>
      <c r="E36" s="191">
        <v>888538</v>
      </c>
      <c r="F36" s="61">
        <f>SUM(F32:F35)</f>
        <v>0</v>
      </c>
      <c r="G36" s="39">
        <f>SUM(G32:G35)</f>
        <v>0</v>
      </c>
      <c r="H36" s="61">
        <f>SUM(H32:H35)</f>
        <v>275815</v>
      </c>
      <c r="I36" s="39">
        <f>SUM(I32:I35)</f>
        <v>888538</v>
      </c>
      <c r="J36" s="151">
        <f>SUM(J32:J34)</f>
        <v>0</v>
      </c>
      <c r="K36" s="39">
        <f>SUM(K32:K34)</f>
        <v>0</v>
      </c>
      <c r="L36" s="61">
        <f>SUM(L32:L35)</f>
        <v>275815</v>
      </c>
      <c r="M36" s="39">
        <f>SUM(M32:M35)</f>
        <v>888538</v>
      </c>
    </row>
    <row r="37" spans="1:13" x14ac:dyDescent="0.25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285000</v>
      </c>
      <c r="E39" s="170">
        <v>699675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285000</v>
      </c>
      <c r="I39" s="66">
        <f t="shared" si="12"/>
        <v>699675</v>
      </c>
      <c r="J39" s="37"/>
      <c r="K39" s="38"/>
      <c r="L39" s="60">
        <f t="shared" ref="L39:M41" si="14">H39+J39</f>
        <v>285000</v>
      </c>
      <c r="M39" s="38">
        <f t="shared" si="14"/>
        <v>699675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-285000</v>
      </c>
      <c r="E40" s="170">
        <v>-699675</v>
      </c>
      <c r="F40" s="60">
        <f t="shared" si="13"/>
        <v>0</v>
      </c>
      <c r="G40" s="37">
        <f t="shared" si="13"/>
        <v>0</v>
      </c>
      <c r="H40" s="65">
        <f t="shared" si="12"/>
        <v>-285000</v>
      </c>
      <c r="I40" s="66">
        <f t="shared" si="12"/>
        <v>-699675</v>
      </c>
      <c r="J40" s="37"/>
      <c r="K40" s="38"/>
      <c r="L40" s="60">
        <f t="shared" si="14"/>
        <v>-285000</v>
      </c>
      <c r="M40" s="38">
        <f t="shared" si="14"/>
        <v>-699675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-285000</v>
      </c>
      <c r="E42" s="191">
        <v>-699675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-285000</v>
      </c>
      <c r="I42" s="39">
        <f>SUM(I40:I41)</f>
        <v>-699675</v>
      </c>
      <c r="J42" s="151">
        <f t="shared" si="15"/>
        <v>0</v>
      </c>
      <c r="K42" s="39">
        <f t="shared" si="15"/>
        <v>0</v>
      </c>
      <c r="L42" s="61">
        <f t="shared" si="15"/>
        <v>-285000</v>
      </c>
      <c r="M42" s="39">
        <f t="shared" si="15"/>
        <v>-699675</v>
      </c>
    </row>
    <row r="43" spans="1:13" ht="21" customHeight="1" x14ac:dyDescent="0.25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-105245</v>
      </c>
      <c r="E49" s="170">
        <v>-262060.05</v>
      </c>
      <c r="F49" s="60">
        <f>H49-D49</f>
        <v>0</v>
      </c>
      <c r="G49" s="37">
        <f>I49-E49</f>
        <v>0</v>
      </c>
      <c r="H49" s="65">
        <f>D49</f>
        <v>-105245</v>
      </c>
      <c r="I49" s="66">
        <f>E49</f>
        <v>-262060.05</v>
      </c>
      <c r="J49" s="37"/>
      <c r="K49" s="38"/>
      <c r="L49" s="60">
        <f>H49+J49</f>
        <v>-105245</v>
      </c>
      <c r="M49" s="38">
        <f>I49+K49</f>
        <v>-262060.05</v>
      </c>
    </row>
    <row r="50" spans="1:15" x14ac:dyDescent="0.25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-371199</v>
      </c>
      <c r="E51" s="170">
        <v>-993431</v>
      </c>
      <c r="F51" s="60">
        <f>H51-D51</f>
        <v>0</v>
      </c>
      <c r="G51" s="37">
        <f>I51-E51</f>
        <v>0</v>
      </c>
      <c r="H51" s="65">
        <f>D51</f>
        <v>-371199</v>
      </c>
      <c r="I51" s="66">
        <f>E51</f>
        <v>-993431</v>
      </c>
      <c r="J51" s="37"/>
      <c r="K51" s="38"/>
      <c r="L51" s="60">
        <f>H51+J51</f>
        <v>-371199</v>
      </c>
      <c r="M51" s="38">
        <f>I51+K51</f>
        <v>-993431</v>
      </c>
    </row>
    <row r="52" spans="1:15" x14ac:dyDescent="0.25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-79286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-79286</v>
      </c>
      <c r="J54" s="37"/>
      <c r="K54" s="38"/>
      <c r="L54" s="60">
        <f>H54+J54</f>
        <v>0</v>
      </c>
      <c r="M54" s="38">
        <f>I54+K54</f>
        <v>-79286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-2197064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-2197064</v>
      </c>
      <c r="J55" s="37"/>
      <c r="K55" s="38"/>
      <c r="L55" s="60">
        <f>H55+J55</f>
        <v>0</v>
      </c>
      <c r="M55" s="38">
        <f>I55+K55</f>
        <v>-2197064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-2276350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-2276350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-2276350</v>
      </c>
    </row>
    <row r="57" spans="1:15" x14ac:dyDescent="0.25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2723828.8823529407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2723828.8823529407</v>
      </c>
      <c r="J70" s="37"/>
      <c r="K70" s="38"/>
      <c r="L70" s="60">
        <f t="shared" si="20"/>
        <v>0</v>
      </c>
      <c r="M70" s="38">
        <f t="shared" si="20"/>
        <v>2723828.8823529407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-845380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-845380</v>
      </c>
      <c r="J71" s="37"/>
      <c r="K71" s="38"/>
      <c r="L71" s="60">
        <f t="shared" si="20"/>
        <v>0</v>
      </c>
      <c r="M71" s="38">
        <f t="shared" si="20"/>
        <v>-845380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1878448.8823529407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1878448.8823529407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1878448.8823529407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-1546915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-1546915</v>
      </c>
      <c r="J74" s="37"/>
      <c r="K74" s="38"/>
      <c r="L74" s="60">
        <f t="shared" si="24"/>
        <v>0</v>
      </c>
      <c r="M74" s="38">
        <f t="shared" si="24"/>
        <v>-1546915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96430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96430</v>
      </c>
      <c r="J75" s="37"/>
      <c r="K75" s="38"/>
      <c r="L75" s="60">
        <f t="shared" si="24"/>
        <v>0</v>
      </c>
      <c r="M75" s="38">
        <f t="shared" si="24"/>
        <v>96430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-26216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-26216</v>
      </c>
      <c r="J76" s="37"/>
      <c r="K76" s="38"/>
      <c r="L76" s="60">
        <f t="shared" si="24"/>
        <v>0</v>
      </c>
      <c r="M76" s="38">
        <f t="shared" si="24"/>
        <v>-26216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1581329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1581329</v>
      </c>
      <c r="J79" s="37"/>
      <c r="K79" s="38"/>
      <c r="L79" s="60">
        <f t="shared" si="24"/>
        <v>0</v>
      </c>
      <c r="M79" s="38">
        <f t="shared" si="24"/>
        <v>1581329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170">
        <v>0</v>
      </c>
      <c r="E81" s="170">
        <v>109410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109410</v>
      </c>
      <c r="J81" s="37"/>
      <c r="K81" s="38"/>
      <c r="L81" s="60">
        <f t="shared" si="24"/>
        <v>0</v>
      </c>
      <c r="M81" s="38">
        <f t="shared" si="24"/>
        <v>109410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2528127.8323529484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2528127.8323529484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2528127.8323529484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11157705</v>
      </c>
      <c r="E11" s="170">
        <v>30241414</v>
      </c>
      <c r="F11" s="60">
        <f>H11-D11</f>
        <v>0</v>
      </c>
      <c r="G11" s="37">
        <f>I11-E11</f>
        <v>0</v>
      </c>
      <c r="H11" s="65">
        <f t="shared" ref="H11:I15" si="0">D11</f>
        <v>11157705</v>
      </c>
      <c r="I11" s="66">
        <f t="shared" si="0"/>
        <v>30241414</v>
      </c>
      <c r="J11" s="37"/>
      <c r="K11" s="38"/>
      <c r="L11" s="60">
        <f t="shared" ref="L11:M15" si="1">H11+J11</f>
        <v>11157705</v>
      </c>
      <c r="M11" s="38">
        <f t="shared" si="1"/>
        <v>30241414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70">
        <v>15023972</v>
      </c>
      <c r="E13" s="170">
        <v>41429551</v>
      </c>
      <c r="F13" s="60">
        <f t="shared" si="2"/>
        <v>0</v>
      </c>
      <c r="G13" s="37">
        <f t="shared" si="2"/>
        <v>0</v>
      </c>
      <c r="H13" s="65">
        <f t="shared" si="0"/>
        <v>15023972</v>
      </c>
      <c r="I13" s="66">
        <f t="shared" si="0"/>
        <v>41429551</v>
      </c>
      <c r="J13" s="37"/>
      <c r="K13" s="38"/>
      <c r="L13" s="60">
        <f t="shared" si="1"/>
        <v>15023972</v>
      </c>
      <c r="M13" s="38">
        <f t="shared" si="1"/>
        <v>41429551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1">
        <v>26181677</v>
      </c>
      <c r="E16" s="191">
        <v>71670965</v>
      </c>
      <c r="F16" s="61">
        <f t="shared" ref="F16:M16" si="3">SUM(F11:F15)</f>
        <v>0</v>
      </c>
      <c r="G16" s="39">
        <f t="shared" si="3"/>
        <v>0</v>
      </c>
      <c r="H16" s="61">
        <f>SUM(H11:H15)</f>
        <v>26181677</v>
      </c>
      <c r="I16" s="39">
        <f>SUM(I11:I15)</f>
        <v>71670965</v>
      </c>
      <c r="J16" s="151">
        <f t="shared" si="3"/>
        <v>0</v>
      </c>
      <c r="K16" s="39">
        <f t="shared" si="3"/>
        <v>0</v>
      </c>
      <c r="L16" s="61">
        <f t="shared" si="3"/>
        <v>26181677</v>
      </c>
      <c r="M16" s="39">
        <f t="shared" si="3"/>
        <v>71670965</v>
      </c>
    </row>
    <row r="17" spans="1:13" x14ac:dyDescent="0.25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-5555437</v>
      </c>
      <c r="E19" s="170">
        <v>-14169741</v>
      </c>
      <c r="F19" s="60">
        <f>H19-D19</f>
        <v>0</v>
      </c>
      <c r="G19" s="37">
        <f>I19-E19</f>
        <v>0</v>
      </c>
      <c r="H19" s="65">
        <f t="shared" si="4"/>
        <v>-5555437</v>
      </c>
      <c r="I19" s="66">
        <f t="shared" si="4"/>
        <v>-14169741</v>
      </c>
      <c r="J19" s="37">
        <v>0</v>
      </c>
      <c r="K19" s="38">
        <v>0</v>
      </c>
      <c r="L19" s="60">
        <f t="shared" ref="L19:M23" si="5">H19+J19</f>
        <v>-5555437</v>
      </c>
      <c r="M19" s="38">
        <f t="shared" si="5"/>
        <v>-14169741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-20887121</v>
      </c>
      <c r="E21" s="170">
        <v>-56681162</v>
      </c>
      <c r="F21" s="60">
        <f t="shared" si="6"/>
        <v>0</v>
      </c>
      <c r="G21" s="37">
        <f t="shared" si="6"/>
        <v>0</v>
      </c>
      <c r="H21" s="65">
        <f t="shared" si="4"/>
        <v>-20887121</v>
      </c>
      <c r="I21" s="66">
        <f t="shared" si="4"/>
        <v>-56681162</v>
      </c>
      <c r="J21" s="37"/>
      <c r="K21" s="38"/>
      <c r="L21" s="60">
        <f t="shared" si="5"/>
        <v>-20887121</v>
      </c>
      <c r="M21" s="38">
        <f t="shared" si="5"/>
        <v>-56681162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184885</v>
      </c>
      <c r="E23" s="170">
        <v>501619</v>
      </c>
      <c r="F23" s="60">
        <f t="shared" si="6"/>
        <v>0</v>
      </c>
      <c r="G23" s="37">
        <f t="shared" si="6"/>
        <v>0</v>
      </c>
      <c r="H23" s="65">
        <f t="shared" si="4"/>
        <v>184885</v>
      </c>
      <c r="I23" s="66">
        <f t="shared" si="4"/>
        <v>501619</v>
      </c>
      <c r="J23" s="37"/>
      <c r="K23" s="38"/>
      <c r="L23" s="60">
        <f t="shared" si="5"/>
        <v>184885</v>
      </c>
      <c r="M23" s="38">
        <f t="shared" si="5"/>
        <v>501619</v>
      </c>
    </row>
    <row r="24" spans="1:13" x14ac:dyDescent="0.25">
      <c r="A24" s="9"/>
      <c r="B24" s="7" t="s">
        <v>33</v>
      </c>
      <c r="C24" s="6"/>
      <c r="D24" s="191">
        <v>-26257673</v>
      </c>
      <c r="E24" s="191">
        <v>-70349284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-26257673</v>
      </c>
      <c r="I24" s="39">
        <f>SUM(I19:I23)</f>
        <v>-70349284</v>
      </c>
      <c r="J24" s="151">
        <f t="shared" si="7"/>
        <v>0</v>
      </c>
      <c r="K24" s="39">
        <f t="shared" si="7"/>
        <v>0</v>
      </c>
      <c r="L24" s="61">
        <f t="shared" si="7"/>
        <v>-26257673</v>
      </c>
      <c r="M24" s="39">
        <f t="shared" si="7"/>
        <v>-70349284</v>
      </c>
    </row>
    <row r="25" spans="1:13" x14ac:dyDescent="0.25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75996</v>
      </c>
      <c r="E49" s="170">
        <v>199508.48086115014</v>
      </c>
      <c r="F49" s="60">
        <f>H49-D49</f>
        <v>0</v>
      </c>
      <c r="G49" s="37">
        <f>I49-E49</f>
        <v>0</v>
      </c>
      <c r="H49" s="65">
        <f>D49</f>
        <v>75996</v>
      </c>
      <c r="I49" s="66">
        <f>E49</f>
        <v>199508.48086115014</v>
      </c>
      <c r="J49" s="37"/>
      <c r="K49" s="38"/>
      <c r="L49" s="60">
        <f>H49+J49</f>
        <v>75996</v>
      </c>
      <c r="M49" s="38">
        <f>I49+K49</f>
        <v>199508.48086115014</v>
      </c>
    </row>
    <row r="50" spans="1:15" x14ac:dyDescent="0.25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-184885</v>
      </c>
      <c r="E51" s="170">
        <v>-501619</v>
      </c>
      <c r="F51" s="60">
        <f>H51-D51</f>
        <v>0</v>
      </c>
      <c r="G51" s="37">
        <f>I51-E51</f>
        <v>0</v>
      </c>
      <c r="H51" s="65">
        <f>D51</f>
        <v>-184885</v>
      </c>
      <c r="I51" s="66">
        <f>E51</f>
        <v>-501619</v>
      </c>
      <c r="J51" s="37"/>
      <c r="K51" s="38"/>
      <c r="L51" s="60">
        <f>H51+J51</f>
        <v>-184885</v>
      </c>
      <c r="M51" s="38">
        <f>I51+K51</f>
        <v>-501619</v>
      </c>
    </row>
    <row r="52" spans="1:15" x14ac:dyDescent="0.25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-77006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-77006</v>
      </c>
      <c r="J54" s="37"/>
      <c r="K54" s="38"/>
      <c r="L54" s="60">
        <f>H54+J54</f>
        <v>0</v>
      </c>
      <c r="M54" s="38">
        <f>I54+K54</f>
        <v>-77006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-77006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-77006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-77006</v>
      </c>
    </row>
    <row r="57" spans="1:15" x14ac:dyDescent="0.25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16562230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16562230</v>
      </c>
      <c r="J70" s="37"/>
      <c r="K70" s="38"/>
      <c r="L70" s="60">
        <f t="shared" si="20"/>
        <v>0</v>
      </c>
      <c r="M70" s="38">
        <f t="shared" si="20"/>
        <v>16562230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-22061170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-22061170</v>
      </c>
      <c r="J71" s="37"/>
      <c r="K71" s="38"/>
      <c r="L71" s="60">
        <f t="shared" si="20"/>
        <v>0</v>
      </c>
      <c r="M71" s="38">
        <f t="shared" si="20"/>
        <v>-22061170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-5498940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-5498940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-5498940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4852414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4852414</v>
      </c>
      <c r="J74" s="37"/>
      <c r="K74" s="38"/>
      <c r="L74" s="60">
        <f t="shared" si="23"/>
        <v>0</v>
      </c>
      <c r="M74" s="38">
        <f t="shared" si="23"/>
        <v>4852414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-390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-390</v>
      </c>
      <c r="J76" s="37"/>
      <c r="K76" s="38"/>
      <c r="L76" s="60">
        <f t="shared" si="23"/>
        <v>0</v>
      </c>
      <c r="M76" s="38">
        <f t="shared" si="23"/>
        <v>-390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295648.48086115019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295648.48086115019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295648.48086115019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90834313</v>
      </c>
      <c r="E11" s="38">
        <v>239055671.84823635</v>
      </c>
      <c r="F11" s="60">
        <f>H11-D11</f>
        <v>0</v>
      </c>
      <c r="G11" s="37">
        <f>I11-E11</f>
        <v>0</v>
      </c>
      <c r="H11" s="65">
        <f>D11</f>
        <v>90834313</v>
      </c>
      <c r="I11" s="66">
        <f>E11</f>
        <v>239055671.84823635</v>
      </c>
      <c r="J11" s="60"/>
      <c r="K11" s="38"/>
      <c r="L11" s="60">
        <f t="shared" ref="L11:M15" si="0">H11+J11</f>
        <v>90834313</v>
      </c>
      <c r="M11" s="38">
        <f t="shared" si="0"/>
        <v>239055671.84823635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33152422</v>
      </c>
      <c r="E13" s="38">
        <v>89903041</v>
      </c>
      <c r="F13" s="60">
        <f t="shared" si="1"/>
        <v>0</v>
      </c>
      <c r="G13" s="37">
        <f t="shared" si="1"/>
        <v>0</v>
      </c>
      <c r="H13" s="65">
        <f t="shared" si="2"/>
        <v>33152422</v>
      </c>
      <c r="I13" s="66">
        <f t="shared" si="2"/>
        <v>89903041</v>
      </c>
      <c r="J13" s="60"/>
      <c r="K13" s="38"/>
      <c r="L13" s="60">
        <f t="shared" si="0"/>
        <v>33152422</v>
      </c>
      <c r="M13" s="38">
        <f t="shared" si="0"/>
        <v>89903041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-48849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-48849</v>
      </c>
      <c r="J14" s="60"/>
      <c r="K14" s="38"/>
      <c r="L14" s="60">
        <f t="shared" si="0"/>
        <v>0</v>
      </c>
      <c r="M14" s="38">
        <f t="shared" si="0"/>
        <v>-48849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123986735</v>
      </c>
      <c r="E16" s="39">
        <v>328909863.84823632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123986735</v>
      </c>
      <c r="I16" s="39">
        <f>SUM(I11:I15)</f>
        <v>328909863.84823632</v>
      </c>
      <c r="J16" s="61">
        <f t="shared" si="3"/>
        <v>0</v>
      </c>
      <c r="K16" s="39">
        <f t="shared" si="3"/>
        <v>0</v>
      </c>
      <c r="L16" s="61">
        <f t="shared" si="3"/>
        <v>123986735</v>
      </c>
      <c r="M16" s="39">
        <f t="shared" si="3"/>
        <v>328909863.84823632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-95846492</v>
      </c>
      <c r="E19" s="38">
        <v>-247241369</v>
      </c>
      <c r="F19" s="60">
        <f>H19-D19</f>
        <v>0</v>
      </c>
      <c r="G19" s="37">
        <f>I19-E19</f>
        <v>0</v>
      </c>
      <c r="H19" s="65">
        <f t="shared" si="4"/>
        <v>-95846492</v>
      </c>
      <c r="I19" s="66">
        <f t="shared" si="4"/>
        <v>-247241369</v>
      </c>
      <c r="J19" s="60"/>
      <c r="K19" s="38"/>
      <c r="L19" s="60">
        <f t="shared" ref="L19:M23" si="5">H19+J19</f>
        <v>-95846492</v>
      </c>
      <c r="M19" s="38">
        <f t="shared" si="5"/>
        <v>-247241369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-28969984</v>
      </c>
      <c r="E21" s="38">
        <v>-79302833</v>
      </c>
      <c r="F21" s="60">
        <f t="shared" si="6"/>
        <v>0</v>
      </c>
      <c r="G21" s="37">
        <f t="shared" si="6"/>
        <v>0</v>
      </c>
      <c r="H21" s="65">
        <f t="shared" si="4"/>
        <v>-28969984</v>
      </c>
      <c r="I21" s="66">
        <f t="shared" si="4"/>
        <v>-79302833</v>
      </c>
      <c r="J21" s="60"/>
      <c r="K21" s="38"/>
      <c r="L21" s="60">
        <f t="shared" si="5"/>
        <v>-28969984</v>
      </c>
      <c r="M21" s="38">
        <f t="shared" si="5"/>
        <v>-79302833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196509</v>
      </c>
      <c r="E23" s="38">
        <v>522991</v>
      </c>
      <c r="F23" s="60">
        <f t="shared" si="6"/>
        <v>0</v>
      </c>
      <c r="G23" s="37">
        <f t="shared" si="6"/>
        <v>0</v>
      </c>
      <c r="H23" s="65">
        <f t="shared" si="4"/>
        <v>196509</v>
      </c>
      <c r="I23" s="66">
        <f t="shared" si="4"/>
        <v>522991</v>
      </c>
      <c r="J23" s="60"/>
      <c r="K23" s="38"/>
      <c r="L23" s="60">
        <f t="shared" si="5"/>
        <v>196509</v>
      </c>
      <c r="M23" s="38">
        <f t="shared" si="5"/>
        <v>522991</v>
      </c>
    </row>
    <row r="24" spans="1:13" x14ac:dyDescent="0.25">
      <c r="A24" s="9"/>
      <c r="B24" s="7" t="s">
        <v>33</v>
      </c>
      <c r="C24" s="6"/>
      <c r="D24" s="61">
        <v>-124619967</v>
      </c>
      <c r="E24" s="39">
        <v>-326021211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-124619967</v>
      </c>
      <c r="I24" s="39">
        <f>SUM(I19:I23)</f>
        <v>-326021211</v>
      </c>
      <c r="J24" s="61">
        <f t="shared" si="7"/>
        <v>0</v>
      </c>
      <c r="K24" s="39">
        <f t="shared" si="7"/>
        <v>0</v>
      </c>
      <c r="L24" s="61">
        <f t="shared" si="7"/>
        <v>-124619967</v>
      </c>
      <c r="M24" s="39">
        <f t="shared" si="7"/>
        <v>-326021211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-4834</v>
      </c>
      <c r="E32" s="38">
        <v>-39152</v>
      </c>
      <c r="F32" s="60">
        <f>H32-D32</f>
        <v>0</v>
      </c>
      <c r="G32" s="37">
        <f>I32-E32</f>
        <v>0</v>
      </c>
      <c r="H32" s="65">
        <f t="shared" ref="H32:I35" si="9">D32</f>
        <v>-4834</v>
      </c>
      <c r="I32" s="66">
        <f t="shared" si="9"/>
        <v>-39152</v>
      </c>
      <c r="J32" s="60"/>
      <c r="K32" s="38"/>
      <c r="L32" s="60">
        <f t="shared" ref="L32:M35" si="10">H32+J32</f>
        <v>-4834</v>
      </c>
      <c r="M32" s="38">
        <f t="shared" si="10"/>
        <v>-39152</v>
      </c>
    </row>
    <row r="33" spans="1:13" x14ac:dyDescent="0.25">
      <c r="A33" s="9">
        <v>14</v>
      </c>
      <c r="B33" s="7"/>
      <c r="C33" s="18" t="s">
        <v>40</v>
      </c>
      <c r="D33" s="60">
        <v>466620</v>
      </c>
      <c r="E33" s="38">
        <v>1139339</v>
      </c>
      <c r="F33" s="60">
        <f t="shared" ref="F33:G35" si="11">H33-D33</f>
        <v>0</v>
      </c>
      <c r="G33" s="37">
        <f t="shared" si="11"/>
        <v>0</v>
      </c>
      <c r="H33" s="65">
        <f t="shared" si="9"/>
        <v>466620</v>
      </c>
      <c r="I33" s="66">
        <f t="shared" si="9"/>
        <v>1139339</v>
      </c>
      <c r="J33" s="60"/>
      <c r="K33" s="38"/>
      <c r="L33" s="60">
        <f t="shared" si="10"/>
        <v>466620</v>
      </c>
      <c r="M33" s="38">
        <f t="shared" si="10"/>
        <v>1139339</v>
      </c>
    </row>
    <row r="34" spans="1:13" x14ac:dyDescent="0.25">
      <c r="A34" s="9">
        <v>15</v>
      </c>
      <c r="B34" s="7"/>
      <c r="C34" s="18" t="s">
        <v>41</v>
      </c>
      <c r="D34" s="60">
        <v>-600495</v>
      </c>
      <c r="E34" s="38">
        <v>-1463229</v>
      </c>
      <c r="F34" s="60">
        <f t="shared" si="11"/>
        <v>0</v>
      </c>
      <c r="G34" s="37">
        <f t="shared" si="11"/>
        <v>0</v>
      </c>
      <c r="H34" s="65">
        <f t="shared" si="9"/>
        <v>-600495</v>
      </c>
      <c r="I34" s="66">
        <f t="shared" si="9"/>
        <v>-1463229</v>
      </c>
      <c r="J34" s="60"/>
      <c r="K34" s="38"/>
      <c r="L34" s="60">
        <f t="shared" si="10"/>
        <v>-600495</v>
      </c>
      <c r="M34" s="38">
        <f t="shared" si="10"/>
        <v>-1463229</v>
      </c>
    </row>
    <row r="35" spans="1:13" x14ac:dyDescent="0.25">
      <c r="A35" s="9">
        <v>16</v>
      </c>
      <c r="B35" s="7"/>
      <c r="C35" s="18" t="s">
        <v>42</v>
      </c>
      <c r="D35" s="60">
        <v>643159</v>
      </c>
      <c r="E35" s="38">
        <v>159553</v>
      </c>
      <c r="F35" s="60">
        <f t="shared" si="11"/>
        <v>0</v>
      </c>
      <c r="G35" s="37">
        <f t="shared" si="11"/>
        <v>0</v>
      </c>
      <c r="H35" s="65">
        <f t="shared" si="9"/>
        <v>643159</v>
      </c>
      <c r="I35" s="66">
        <f t="shared" si="9"/>
        <v>159553</v>
      </c>
      <c r="J35" s="60"/>
      <c r="K35" s="38"/>
      <c r="L35" s="60">
        <f t="shared" si="10"/>
        <v>643159</v>
      </c>
      <c r="M35" s="38">
        <f t="shared" si="10"/>
        <v>159553</v>
      </c>
    </row>
    <row r="36" spans="1:13" x14ac:dyDescent="0.25">
      <c r="A36" s="9"/>
      <c r="B36" s="7" t="s">
        <v>43</v>
      </c>
      <c r="C36" s="6"/>
      <c r="D36" s="61">
        <v>504450</v>
      </c>
      <c r="E36" s="39">
        <v>-203489</v>
      </c>
      <c r="F36" s="61">
        <f>SUM(F32:F35)</f>
        <v>0</v>
      </c>
      <c r="G36" s="39">
        <f>SUM(G32:G35)</f>
        <v>0</v>
      </c>
      <c r="H36" s="61">
        <f>SUM(H32:H35)</f>
        <v>504450</v>
      </c>
      <c r="I36" s="39">
        <f>SUM(I32:I35)</f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-203653</v>
      </c>
      <c r="E39" s="38">
        <v>-519315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-203653</v>
      </c>
      <c r="I39" s="66">
        <f t="shared" si="12"/>
        <v>-519315</v>
      </c>
      <c r="J39" s="60"/>
      <c r="K39" s="38"/>
      <c r="L39" s="60">
        <f t="shared" ref="L39:M41" si="14">H39+J39</f>
        <v>-203653</v>
      </c>
      <c r="M39" s="38">
        <f t="shared" si="14"/>
        <v>-519315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-203653</v>
      </c>
      <c r="E43" s="39">
        <v>-519315</v>
      </c>
      <c r="F43" s="61">
        <f t="shared" ref="F43:M43" si="16">F42+F39</f>
        <v>0</v>
      </c>
      <c r="G43" s="39">
        <f t="shared" si="16"/>
        <v>0</v>
      </c>
      <c r="H43" s="61">
        <f>H42+H39</f>
        <v>-203653</v>
      </c>
      <c r="I43" s="39">
        <f>I42+I39</f>
        <v>-519315</v>
      </c>
      <c r="J43" s="61">
        <f t="shared" si="16"/>
        <v>0</v>
      </c>
      <c r="K43" s="39">
        <f t="shared" si="16"/>
        <v>0</v>
      </c>
      <c r="L43" s="61">
        <f t="shared" si="16"/>
        <v>-203653</v>
      </c>
      <c r="M43" s="39">
        <f t="shared" si="16"/>
        <v>-519315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392435</v>
      </c>
      <c r="E49" s="38">
        <v>1000296.3572346799</v>
      </c>
      <c r="F49" s="60">
        <f>H49-D49</f>
        <v>0</v>
      </c>
      <c r="G49" s="37">
        <f>I49-E49</f>
        <v>0</v>
      </c>
      <c r="H49" s="65">
        <f>D49</f>
        <v>392435</v>
      </c>
      <c r="I49" s="66">
        <f>E49</f>
        <v>1000296.3572346799</v>
      </c>
      <c r="J49" s="60"/>
      <c r="K49" s="38"/>
      <c r="L49" s="60">
        <f>H49+J49</f>
        <v>392435</v>
      </c>
      <c r="M49" s="38">
        <f>I49+K49</f>
        <v>1000296.3572346799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-196509</v>
      </c>
      <c r="E51" s="38">
        <v>-522991</v>
      </c>
      <c r="F51" s="60">
        <f>H51-D51</f>
        <v>0</v>
      </c>
      <c r="G51" s="37">
        <f>I51-E51</f>
        <v>0</v>
      </c>
      <c r="H51" s="65">
        <f>D51</f>
        <v>-196509</v>
      </c>
      <c r="I51" s="66">
        <f>E51</f>
        <v>-522991</v>
      </c>
      <c r="J51" s="60"/>
      <c r="K51" s="38"/>
      <c r="L51" s="60">
        <f>H51+J51</f>
        <v>-196509</v>
      </c>
      <c r="M51" s="38">
        <f>I51+K51</f>
        <v>-522991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-585583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-585583</v>
      </c>
      <c r="J54" s="60"/>
      <c r="K54" s="38"/>
      <c r="L54" s="60">
        <f>H54+J54</f>
        <v>0</v>
      </c>
      <c r="M54" s="38">
        <f>I54+K54</f>
        <v>-585583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-554171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-554171</v>
      </c>
      <c r="J55" s="60"/>
      <c r="K55" s="38"/>
      <c r="L55" s="60">
        <f>H55+J55</f>
        <v>0</v>
      </c>
      <c r="M55" s="38">
        <f>I55+K55</f>
        <v>-554171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-1139754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-1139754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-1139754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-82694.345000000001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-82694.345000000001</v>
      </c>
      <c r="J60" s="60"/>
      <c r="K60" s="38"/>
      <c r="L60" s="60">
        <f>H60+J60</f>
        <v>0</v>
      </c>
      <c r="M60" s="38">
        <f>I60+K60</f>
        <v>-82694.345000000001</v>
      </c>
    </row>
    <row r="61" spans="1:15" x14ac:dyDescent="0.25">
      <c r="A61" s="9"/>
      <c r="B61" s="62" t="s">
        <v>61</v>
      </c>
      <c r="C61" s="6"/>
      <c r="D61" s="61">
        <v>0</v>
      </c>
      <c r="E61" s="39">
        <v>-82694.345000000001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-82694.345000000001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6851832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6851832</v>
      </c>
      <c r="J70" s="60"/>
      <c r="K70" s="38"/>
      <c r="L70" s="60">
        <f>H70+J70</f>
        <v>0</v>
      </c>
      <c r="M70" s="38">
        <f>I70+K70</f>
        <v>6851832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-7144979.9500000002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-7144979.9500000002</v>
      </c>
      <c r="J71" s="60"/>
      <c r="K71" s="38"/>
      <c r="L71" s="60">
        <f>H71+J71</f>
        <v>0</v>
      </c>
      <c r="M71" s="38">
        <f>I71+K71</f>
        <v>-7144979.9500000002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-293147.95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-293147.95000000019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-293147.95000000019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2808598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2808598</v>
      </c>
      <c r="J74" s="60"/>
      <c r="K74" s="38"/>
      <c r="L74" s="60">
        <f t="shared" si="22"/>
        <v>0</v>
      </c>
      <c r="M74" s="38">
        <f t="shared" si="22"/>
        <v>2808598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8103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8103</v>
      </c>
      <c r="J75" s="60"/>
      <c r="K75" s="38"/>
      <c r="L75" s="60">
        <f t="shared" si="22"/>
        <v>0</v>
      </c>
      <c r="M75" s="38">
        <f t="shared" si="22"/>
        <v>8103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-15088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-15088</v>
      </c>
      <c r="J76" s="60"/>
      <c r="K76" s="38"/>
      <c r="L76" s="60">
        <f t="shared" si="22"/>
        <v>0</v>
      </c>
      <c r="M76" s="38">
        <f t="shared" si="22"/>
        <v>-15088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36312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36312</v>
      </c>
      <c r="J81" s="60"/>
      <c r="K81" s="38"/>
      <c r="L81" s="60">
        <f t="shared" si="22"/>
        <v>0</v>
      </c>
      <c r="M81" s="38">
        <f t="shared" si="22"/>
        <v>36312</v>
      </c>
    </row>
    <row r="82" spans="1:67" s="44" customFormat="1" ht="20.25" customHeight="1" thickBot="1" x14ac:dyDescent="0.3">
      <c r="A82" s="40"/>
      <c r="B82" s="41"/>
      <c r="C82" s="42" t="s">
        <v>168</v>
      </c>
      <c r="D82" s="163">
        <f>D16+D24+D29+D36+D43+D45+D47+D49</f>
        <v>60000</v>
      </c>
      <c r="E82" s="162">
        <f>SUM(E72:E81)+E16+E24+E29+E36+E43+E45+E47+E49+E51+E56+E61+E66</f>
        <v>3996141.8554710071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3996141.8554710071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3996141.8554710071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164</v>
      </c>
      <c r="B85" s="3"/>
      <c r="K85" s="45"/>
    </row>
    <row r="86" spans="1:67" s="3" customFormat="1" x14ac:dyDescent="0.25">
      <c r="A86" s="168"/>
      <c r="C86" s="10" t="s">
        <v>166</v>
      </c>
      <c r="D86" s="172">
        <v>0</v>
      </c>
      <c r="E86" s="172">
        <v>206810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206810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206810</v>
      </c>
    </row>
    <row r="87" spans="1:67" s="3" customFormat="1" x14ac:dyDescent="0.25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5">
      <c r="A88" s="168"/>
      <c r="C88" s="10" t="s">
        <v>72</v>
      </c>
      <c r="D88" s="174">
        <v>0</v>
      </c>
      <c r="E88" s="174">
        <v>0</v>
      </c>
      <c r="F88" s="174">
        <v>0</v>
      </c>
      <c r="G88" s="174">
        <v>0</v>
      </c>
      <c r="H88" s="174">
        <f t="shared" si="24"/>
        <v>0</v>
      </c>
      <c r="I88" s="174">
        <f t="shared" si="24"/>
        <v>0</v>
      </c>
      <c r="J88" s="174">
        <v>0</v>
      </c>
      <c r="K88" s="174">
        <v>0</v>
      </c>
      <c r="L88" s="174">
        <f t="shared" si="25"/>
        <v>0</v>
      </c>
      <c r="M88" s="174">
        <f t="shared" si="25"/>
        <v>0</v>
      </c>
    </row>
    <row r="89" spans="1:67" s="44" customFormat="1" ht="20.25" customHeight="1" x14ac:dyDescent="0.25">
      <c r="A89" s="175"/>
      <c r="B89" s="176"/>
      <c r="C89" s="177" t="s">
        <v>169</v>
      </c>
      <c r="D89" s="180">
        <f>SUM(D86:D88)</f>
        <v>0</v>
      </c>
      <c r="E89" s="180">
        <f t="shared" ref="E89:M89" si="26">SUM(E86:E88)</f>
        <v>206810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206810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167</v>
      </c>
      <c r="D91" s="180">
        <f>+D82+D89</f>
        <v>60000</v>
      </c>
      <c r="E91" s="180">
        <f t="shared" ref="E91:M91" si="27">+E82+E89</f>
        <v>4202951.8554710075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4202951.8554710075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4202951.8554710075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3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10593770</v>
      </c>
      <c r="E11" s="65">
        <v>27923512.151763637</v>
      </c>
      <c r="F11" s="65">
        <f>H11-D11</f>
        <v>0</v>
      </c>
      <c r="G11" s="63">
        <f>I11-E11</f>
        <v>0</v>
      </c>
      <c r="H11" s="65">
        <f>D11</f>
        <v>10593770</v>
      </c>
      <c r="I11" s="66">
        <f>E11</f>
        <v>27923512.151763637</v>
      </c>
      <c r="J11" s="60"/>
      <c r="K11" s="38"/>
      <c r="L11" s="60">
        <f t="shared" ref="L11:M15" si="0">H11+J11</f>
        <v>10593770</v>
      </c>
      <c r="M11" s="38">
        <f t="shared" si="0"/>
        <v>27923512.151763637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10593770</v>
      </c>
      <c r="E16" s="39">
        <v>27923512.151763637</v>
      </c>
      <c r="F16" s="61">
        <f t="shared" ref="F16:M16" si="3">SUM(F11:F15)</f>
        <v>0</v>
      </c>
      <c r="G16" s="39">
        <f t="shared" si="3"/>
        <v>0</v>
      </c>
      <c r="H16" s="61">
        <f>SUM(H11:H15)</f>
        <v>10593770</v>
      </c>
      <c r="I16" s="39">
        <f>SUM(I11:I15)</f>
        <v>27923512.151763637</v>
      </c>
      <c r="J16" s="61">
        <f t="shared" si="3"/>
        <v>0</v>
      </c>
      <c r="K16" s="39">
        <f t="shared" si="3"/>
        <v>0</v>
      </c>
      <c r="L16" s="61">
        <f t="shared" si="3"/>
        <v>10593770</v>
      </c>
      <c r="M16" s="39">
        <f t="shared" si="3"/>
        <v>27923512.151763637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-10491343</v>
      </c>
      <c r="E19" s="65">
        <v>-28142158</v>
      </c>
      <c r="F19" s="65">
        <f>H19-D19</f>
        <v>0</v>
      </c>
      <c r="G19" s="63">
        <f>I19-E19</f>
        <v>0</v>
      </c>
      <c r="H19" s="65">
        <f t="shared" si="4"/>
        <v>-10491343</v>
      </c>
      <c r="I19" s="66">
        <f t="shared" si="4"/>
        <v>-28142158</v>
      </c>
      <c r="J19" s="60"/>
      <c r="K19" s="38"/>
      <c r="L19" s="60">
        <f t="shared" ref="L19:M23" si="5">H19+J19</f>
        <v>-10491343</v>
      </c>
      <c r="M19" s="38">
        <f t="shared" si="5"/>
        <v>-28142158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-10491343</v>
      </c>
      <c r="E24" s="39">
        <v>-28142158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-10491343</v>
      </c>
      <c r="I24" s="39">
        <f>SUM(I19:I23)</f>
        <v>-28142158</v>
      </c>
      <c r="J24" s="61">
        <f t="shared" si="7"/>
        <v>0</v>
      </c>
      <c r="K24" s="39">
        <f t="shared" si="7"/>
        <v>0</v>
      </c>
      <c r="L24" s="61">
        <f t="shared" si="7"/>
        <v>-10491343</v>
      </c>
      <c r="M24" s="39">
        <f t="shared" si="7"/>
        <v>-28142158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564309</v>
      </c>
      <c r="E39" s="65">
        <v>1438989</v>
      </c>
      <c r="F39" s="65">
        <f t="shared" ref="F39:G41" si="13">H39-D39</f>
        <v>0</v>
      </c>
      <c r="G39" s="63">
        <f t="shared" si="13"/>
        <v>0</v>
      </c>
      <c r="H39" s="65">
        <f t="shared" si="12"/>
        <v>564309</v>
      </c>
      <c r="I39" s="66">
        <f t="shared" si="12"/>
        <v>1438989</v>
      </c>
      <c r="J39" s="60"/>
      <c r="K39" s="38"/>
      <c r="L39" s="60">
        <f t="shared" ref="L39:M41" si="14">H39+J39</f>
        <v>564309</v>
      </c>
      <c r="M39" s="38">
        <f t="shared" si="14"/>
        <v>1438989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-622365</v>
      </c>
      <c r="E40" s="65">
        <v>-1587032</v>
      </c>
      <c r="F40" s="65">
        <f t="shared" si="13"/>
        <v>0</v>
      </c>
      <c r="G40" s="63">
        <f t="shared" si="13"/>
        <v>0</v>
      </c>
      <c r="H40" s="65">
        <f t="shared" si="12"/>
        <v>-622365</v>
      </c>
      <c r="I40" s="66">
        <f t="shared" si="12"/>
        <v>-1587032</v>
      </c>
      <c r="J40" s="60"/>
      <c r="K40" s="38"/>
      <c r="L40" s="60">
        <f t="shared" si="14"/>
        <v>-622365</v>
      </c>
      <c r="M40" s="38">
        <f t="shared" si="14"/>
        <v>-1587032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-622365</v>
      </c>
      <c r="E42" s="39">
        <v>-1587032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-622365</v>
      </c>
      <c r="I42" s="39">
        <f>SUM(I40:I41)</f>
        <v>-1587032</v>
      </c>
      <c r="J42" s="61">
        <f t="shared" si="15"/>
        <v>0</v>
      </c>
      <c r="K42" s="39">
        <f t="shared" si="15"/>
        <v>0</v>
      </c>
      <c r="L42" s="61">
        <f t="shared" si="15"/>
        <v>-622365</v>
      </c>
      <c r="M42" s="39">
        <f t="shared" si="15"/>
        <v>-1587032</v>
      </c>
    </row>
    <row r="43" spans="1:13" ht="21" customHeight="1" x14ac:dyDescent="0.25">
      <c r="A43" s="9"/>
      <c r="B43" s="7" t="s">
        <v>49</v>
      </c>
      <c r="C43" s="6"/>
      <c r="D43" s="61">
        <v>-58056</v>
      </c>
      <c r="E43" s="39">
        <v>-148043</v>
      </c>
      <c r="F43" s="61">
        <f t="shared" ref="F43:M43" si="16">F42+F39</f>
        <v>0</v>
      </c>
      <c r="G43" s="39">
        <f t="shared" si="16"/>
        <v>0</v>
      </c>
      <c r="H43" s="61">
        <f>H42+H39</f>
        <v>-58056</v>
      </c>
      <c r="I43" s="39">
        <f>I42+I39</f>
        <v>-148043</v>
      </c>
      <c r="J43" s="61">
        <f t="shared" si="16"/>
        <v>0</v>
      </c>
      <c r="K43" s="39">
        <f t="shared" si="16"/>
        <v>0</v>
      </c>
      <c r="L43" s="61">
        <f t="shared" si="16"/>
        <v>-58056</v>
      </c>
      <c r="M43" s="39">
        <f t="shared" si="16"/>
        <v>-148043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-104371</v>
      </c>
      <c r="E49" s="65">
        <v>-268316.65830134944</v>
      </c>
      <c r="F49" s="65">
        <f>H49-D49</f>
        <v>0</v>
      </c>
      <c r="G49" s="63">
        <f>I49-E49</f>
        <v>0</v>
      </c>
      <c r="H49" s="65">
        <f>D49</f>
        <v>-104371</v>
      </c>
      <c r="I49" s="66">
        <f>E49</f>
        <v>-268316.65830134944</v>
      </c>
      <c r="J49" s="60"/>
      <c r="K49" s="38"/>
      <c r="L49" s="60">
        <f>H49+J49</f>
        <v>-104371</v>
      </c>
      <c r="M49" s="38">
        <f>I49+K49</f>
        <v>-268316.65830134944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82694.345000000001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82694.345000000001</v>
      </c>
      <c r="J60" s="60"/>
      <c r="K60" s="38"/>
      <c r="L60" s="60">
        <f>H60+J60</f>
        <v>0</v>
      </c>
      <c r="M60" s="38">
        <f>I60+K60</f>
        <v>82694.345000000001</v>
      </c>
    </row>
    <row r="61" spans="1:15" x14ac:dyDescent="0.25">
      <c r="A61" s="9"/>
      <c r="B61" s="62" t="s">
        <v>61</v>
      </c>
      <c r="C61" s="6"/>
      <c r="D61" s="61">
        <v>0</v>
      </c>
      <c r="E61" s="39">
        <v>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82694.345000000001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168</v>
      </c>
      <c r="D82" s="163">
        <f>D16+D24+D29+D36+D43+D45+D47+D49</f>
        <v>-60000</v>
      </c>
      <c r="E82" s="162">
        <f>SUM(E72:E81)+E16+E24+E29+E36+E43+E45+E47+E49+E51+E56+E61+E66</f>
        <v>-4449311.1615377134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-4449311.1615377134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-4449311.1615377134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2000-01-14T23:17:50Z</cp:lastPrinted>
  <dcterms:created xsi:type="dcterms:W3CDTF">1997-07-11T21:57:33Z</dcterms:created>
  <dcterms:modified xsi:type="dcterms:W3CDTF">2023-09-10T12:19:16Z</dcterms:modified>
</cp:coreProperties>
</file>