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R-FLSH" sheetId="14" r:id="rId12"/>
    <sheet name="TX-HPLC-FLSH" sheetId="45" r:id="rId13"/>
    <sheet name="TX-CON-FLSH" sheetId="15" r:id="rId14"/>
    <sheet name="WE-FLSH" sheetId="16" r:id="rId15"/>
    <sheet name="STG_FLSH" sheetId="18" r:id="rId16"/>
    <sheet name="ONT_FLSH" sheetId="19" r:id="rId17"/>
    <sheet name="BUG_FLSH" sheetId="17" r:id="rId18"/>
    <sheet name="CE_GL" sheetId="20" r:id="rId19"/>
    <sheet name="EAST-EGM-GL" sheetId="21" r:id="rId20"/>
    <sheet name="EAST-LRC-GL" sheetId="23" r:id="rId21"/>
    <sheet name="EAST-CON-GL " sheetId="24" r:id="rId22"/>
    <sheet name="BGC-EGM-GL" sheetId="22" r:id="rId23"/>
    <sheet name="TX-EGM-GL" sheetId="25" r:id="rId24"/>
    <sheet name="TX-HPLR-GL " sheetId="26" r:id="rId25"/>
    <sheet name="TX-HPLC-GL" sheetId="46" r:id="rId26"/>
    <sheet name="TX-CON-GL " sheetId="27" r:id="rId27"/>
    <sheet name="WE-GL " sheetId="28" r:id="rId28"/>
    <sheet name="BUG_GL" sheetId="29" r:id="rId29"/>
    <sheet name="STG_GL" sheetId="30" r:id="rId30"/>
    <sheet name="ONT_GL " sheetId="31" r:id="rId31"/>
    <sheet name="CE-VAR" sheetId="32" r:id="rId32"/>
    <sheet name="EAST-EGM-VAR" sheetId="33" r:id="rId33"/>
    <sheet name="EAST-LRC-VAR" sheetId="35" r:id="rId34"/>
    <sheet name="EAST-CON-VAR" sheetId="36" r:id="rId35"/>
    <sheet name="BGC-EGM-VAR" sheetId="34" r:id="rId36"/>
    <sheet name="TX-EGM-VAR" sheetId="37" r:id="rId37"/>
    <sheet name="TX-HPLR-VAR " sheetId="38" r:id="rId38"/>
    <sheet name="TX-HPLC-VAR" sheetId="47" r:id="rId39"/>
    <sheet name="TX-CON-VAR" sheetId="39" r:id="rId40"/>
    <sheet name="WE-VAR" sheetId="40" r:id="rId41"/>
    <sheet name="STG_VAR" sheetId="42" r:id="rId42"/>
    <sheet name="ONT_VAR" sheetId="43" r:id="rId43"/>
    <sheet name="BUG_VAR" sheetId="41" r:id="rId44"/>
    <sheet name="Actuals" sheetId="44" r:id="rId45"/>
  </sheets>
  <externalReferences>
    <externalReference r:id="rId46"/>
    <externalReference r:id="rId47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4">Actuals!$D$637:$I$651</definedName>
    <definedName name="_xlnm.Print_Area" localSheetId="9">'BGC-EGM-FLSH'!$A$1:$M$82</definedName>
    <definedName name="_xlnm.Print_Area" localSheetId="35">'BGC-EGM-VAR'!$A$1:$I$82</definedName>
    <definedName name="_xlnm.Print_Area" localSheetId="43">BUG_VAR!$A$1:$I$82</definedName>
    <definedName name="_xlnm.Print_Area" localSheetId="31">'CE-VAR'!$A$1:$I$82</definedName>
    <definedName name="_xlnm.Print_Area" localSheetId="1">Check!$A$1:$D$40</definedName>
    <definedName name="_xlnm.Print_Area" localSheetId="8">'EAST-CON-FLSH'!$A$1:$M$82</definedName>
    <definedName name="_xlnm.Print_Area" localSheetId="34">'EAST-CON-VAR'!$A$1:$I$82</definedName>
    <definedName name="_xlnm.Print_Area" localSheetId="6">'EAST-EGM-FLSH'!$A$1:$M$82</definedName>
    <definedName name="_xlnm.Print_Area" localSheetId="32">'EAST-EGM-VAR'!$A$1:$I$82</definedName>
    <definedName name="_xlnm.Print_Area" localSheetId="7">'EAST-LRC-FLSH'!$A$1:$M$82</definedName>
    <definedName name="_xlnm.Print_Area" localSheetId="33">'EAST-LRC-VAR'!$A$1:$I$82</definedName>
    <definedName name="_xlnm.Print_Area" localSheetId="42">ONT_VAR!$A$1:$I$82</definedName>
    <definedName name="_xlnm.Print_Area" localSheetId="3">RECLASS!$A$1:$AA$82</definedName>
    <definedName name="_xlnm.Print_Area" localSheetId="41">STG_VAR!$A$1:$I$82</definedName>
    <definedName name="_xlnm.Print_Area" localSheetId="4">'TIE-OUT'!$A$1:$AA$95</definedName>
    <definedName name="_xlnm.Print_Area" localSheetId="2">TOTAL!$A$1:$I$82</definedName>
    <definedName name="_xlnm.Print_Area" localSheetId="13">'TX-CON-FLSH'!$A$1:$M$82</definedName>
    <definedName name="_xlnm.Print_Area" localSheetId="39">'TX-CON-VAR'!$A$1:$I$82</definedName>
    <definedName name="_xlnm.Print_Area" localSheetId="10">'TX-EGM-FLSH'!$A$1:$M$82</definedName>
    <definedName name="_xlnm.Print_Area" localSheetId="36">'TX-EGM-VAR'!$A$1:$I$82</definedName>
    <definedName name="_xlnm.Print_Area" localSheetId="11">'TX-HPLR-FLSH'!$A$1:$M$82</definedName>
    <definedName name="_xlnm.Print_Area" localSheetId="37">'TX-HPLR-VAR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7" i="44"/>
  <c r="J637" i="44"/>
  <c r="L637" i="44"/>
  <c r="N637" i="44"/>
  <c r="P637" i="44"/>
  <c r="R637" i="44"/>
  <c r="T637" i="44"/>
  <c r="V637" i="44"/>
  <c r="X637" i="44"/>
  <c r="Z637" i="44"/>
  <c r="AB637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AB8" i="22"/>
  <c r="AD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AB8" i="29"/>
  <c r="AD8" i="29"/>
  <c r="D11" i="29"/>
  <c r="E11" i="29"/>
  <c r="F11" i="29"/>
  <c r="G11" i="29"/>
  <c r="H11" i="29"/>
  <c r="I11" i="29"/>
  <c r="J11" i="29"/>
  <c r="K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D12" i="29"/>
  <c r="E12" i="29"/>
  <c r="F12" i="29"/>
  <c r="G12" i="29"/>
  <c r="H12" i="29"/>
  <c r="I12" i="29"/>
  <c r="J12" i="29"/>
  <c r="K12" i="29"/>
  <c r="L12" i="29"/>
  <c r="N12" i="29"/>
  <c r="O12" i="29"/>
  <c r="P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D13" i="29"/>
  <c r="E13" i="29"/>
  <c r="F13" i="29"/>
  <c r="G13" i="29"/>
  <c r="L13" i="29"/>
  <c r="M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D19" i="29"/>
  <c r="E19" i="29"/>
  <c r="F19" i="29"/>
  <c r="G19" i="29"/>
  <c r="N19" i="29"/>
  <c r="O19" i="29"/>
  <c r="P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D21" i="29"/>
  <c r="E21" i="29"/>
  <c r="F21" i="29"/>
  <c r="G21" i="29"/>
  <c r="J21" i="29"/>
  <c r="K21" i="29"/>
  <c r="L21" i="29"/>
  <c r="M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D27" i="29"/>
  <c r="E27" i="29"/>
  <c r="F27" i="29"/>
  <c r="G27" i="29"/>
  <c r="H27" i="29"/>
  <c r="I27" i="29"/>
  <c r="J27" i="29"/>
  <c r="K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D32" i="29"/>
  <c r="E32" i="29"/>
  <c r="F32" i="29"/>
  <c r="G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D39" i="29"/>
  <c r="E39" i="29"/>
  <c r="F39" i="29"/>
  <c r="G39" i="29"/>
  <c r="L39" i="29"/>
  <c r="M39" i="29"/>
  <c r="P39" i="29"/>
  <c r="Q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D49" i="29"/>
  <c r="E49" i="29"/>
  <c r="F49" i="29"/>
  <c r="G49" i="29"/>
  <c r="H49" i="29"/>
  <c r="I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D55" i="29"/>
  <c r="E55" i="29"/>
  <c r="F55" i="29"/>
  <c r="G55" i="29"/>
  <c r="J55" i="29"/>
  <c r="L55" i="29"/>
  <c r="N55" i="29"/>
  <c r="P55" i="29"/>
  <c r="Q55" i="29"/>
  <c r="R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D59" i="29"/>
  <c r="E59" i="29"/>
  <c r="F59" i="29"/>
  <c r="G59" i="29"/>
  <c r="H59" i="29"/>
  <c r="J59" i="29"/>
  <c r="K59" i="29"/>
  <c r="L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D74" i="20"/>
  <c r="E74" i="20"/>
  <c r="F74" i="20"/>
  <c r="G74" i="20"/>
  <c r="H74" i="20"/>
  <c r="I74" i="20"/>
  <c r="J74" i="20"/>
  <c r="L74" i="20"/>
  <c r="M74" i="20"/>
  <c r="N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H11" i="4"/>
  <c r="D12" i="4"/>
  <c r="F12" i="4"/>
  <c r="H12" i="4"/>
  <c r="B13" i="4"/>
  <c r="C13" i="4"/>
  <c r="D13" i="4"/>
  <c r="F13" i="4"/>
  <c r="H13" i="4"/>
  <c r="B14" i="4"/>
  <c r="C14" i="4"/>
  <c r="D14" i="4"/>
  <c r="F14" i="4"/>
  <c r="H14" i="4"/>
  <c r="B15" i="4"/>
  <c r="C15" i="4"/>
  <c r="D15" i="4"/>
  <c r="F15" i="4"/>
  <c r="H15" i="4"/>
  <c r="B16" i="4"/>
  <c r="C16" i="4"/>
  <c r="D16" i="4"/>
  <c r="F16" i="4"/>
  <c r="H16" i="4"/>
  <c r="B17" i="4"/>
  <c r="C17" i="4"/>
  <c r="D17" i="4"/>
  <c r="F17" i="4"/>
  <c r="H17" i="4"/>
  <c r="B18" i="4"/>
  <c r="C18" i="4"/>
  <c r="D18" i="4"/>
  <c r="F18" i="4"/>
  <c r="H18" i="4"/>
  <c r="B19" i="4"/>
  <c r="C19" i="4"/>
  <c r="D19" i="4"/>
  <c r="F19" i="4"/>
  <c r="H19" i="4"/>
  <c r="B20" i="4"/>
  <c r="C20" i="4"/>
  <c r="D20" i="4"/>
  <c r="F20" i="4"/>
  <c r="H20" i="4"/>
  <c r="B21" i="4"/>
  <c r="C21" i="4"/>
  <c r="D21" i="4"/>
  <c r="F21" i="4"/>
  <c r="H21" i="4"/>
  <c r="B22" i="4"/>
  <c r="C22" i="4"/>
  <c r="D22" i="4"/>
  <c r="F22" i="4"/>
  <c r="H22" i="4"/>
  <c r="B23" i="4"/>
  <c r="C23" i="4"/>
  <c r="D23" i="4"/>
  <c r="F23" i="4"/>
  <c r="H23" i="4"/>
  <c r="B24" i="4"/>
  <c r="C24" i="4"/>
  <c r="D24" i="4"/>
  <c r="F24" i="4"/>
  <c r="H24" i="4"/>
  <c r="B25" i="4"/>
  <c r="C25" i="4"/>
  <c r="D25" i="4"/>
  <c r="F25" i="4"/>
  <c r="H25" i="4"/>
  <c r="B26" i="4"/>
  <c r="C26" i="4"/>
  <c r="D26" i="4"/>
  <c r="F26" i="4"/>
  <c r="B28" i="4"/>
  <c r="C28" i="4"/>
  <c r="F28" i="4"/>
  <c r="B31" i="4"/>
  <c r="C31" i="4"/>
  <c r="D31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C42" i="4"/>
  <c r="D42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AB8" i="24"/>
  <c r="AD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D64" i="24"/>
  <c r="E64" i="24"/>
  <c r="F64" i="24"/>
  <c r="G64" i="24"/>
  <c r="H64" i="24"/>
  <c r="I64" i="24"/>
  <c r="J64" i="24"/>
  <c r="K64" i="24"/>
  <c r="R64" i="24"/>
  <c r="S64" i="24"/>
  <c r="D65" i="24"/>
  <c r="E65" i="24"/>
  <c r="F65" i="24"/>
  <c r="G65" i="24"/>
  <c r="H65" i="24"/>
  <c r="I65" i="24"/>
  <c r="J65" i="24"/>
  <c r="K65" i="24"/>
  <c r="R65" i="24"/>
  <c r="S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E84" i="24"/>
  <c r="G84" i="24"/>
  <c r="I84" i="24"/>
  <c r="K84" i="24"/>
  <c r="M84" i="24"/>
  <c r="O84" i="24"/>
  <c r="Q84" i="24"/>
  <c r="S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AB8" i="21"/>
  <c r="AD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D12" i="21"/>
  <c r="E12" i="21"/>
  <c r="F12" i="21"/>
  <c r="G12" i="21"/>
  <c r="H12" i="21"/>
  <c r="I12" i="21"/>
  <c r="J12" i="21"/>
  <c r="K12" i="21"/>
  <c r="L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D74" i="21"/>
  <c r="E74" i="21"/>
  <c r="F74" i="21"/>
  <c r="G74" i="21"/>
  <c r="H74" i="21"/>
  <c r="I74" i="21"/>
  <c r="J74" i="21"/>
  <c r="L74" i="21"/>
  <c r="M74" i="21"/>
  <c r="N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L11" i="11"/>
  <c r="M11" i="11"/>
  <c r="F12" i="11"/>
  <c r="G12" i="11"/>
  <c r="L12" i="11"/>
  <c r="M12" i="11"/>
  <c r="F13" i="11"/>
  <c r="G13" i="11"/>
  <c r="L13" i="11"/>
  <c r="M13" i="11"/>
  <c r="F14" i="11"/>
  <c r="G14" i="11"/>
  <c r="L14" i="11"/>
  <c r="M14" i="11"/>
  <c r="F15" i="11"/>
  <c r="G15" i="11"/>
  <c r="L15" i="11"/>
  <c r="M15" i="11"/>
  <c r="F16" i="11"/>
  <c r="G16" i="11"/>
  <c r="J16" i="11"/>
  <c r="K16" i="11"/>
  <c r="L16" i="11"/>
  <c r="M16" i="11"/>
  <c r="F19" i="11"/>
  <c r="G19" i="11"/>
  <c r="L19" i="11"/>
  <c r="M19" i="11"/>
  <c r="F20" i="11"/>
  <c r="G20" i="11"/>
  <c r="L20" i="11"/>
  <c r="M20" i="11"/>
  <c r="F21" i="11"/>
  <c r="G21" i="11"/>
  <c r="L21" i="11"/>
  <c r="M21" i="11"/>
  <c r="F22" i="11"/>
  <c r="G22" i="11"/>
  <c r="L22" i="11"/>
  <c r="M22" i="11"/>
  <c r="F23" i="11"/>
  <c r="G23" i="11"/>
  <c r="L23" i="11"/>
  <c r="M23" i="11"/>
  <c r="F24" i="11"/>
  <c r="G24" i="11"/>
  <c r="J24" i="11"/>
  <c r="K24" i="11"/>
  <c r="L24" i="11"/>
  <c r="M24" i="11"/>
  <c r="F27" i="11"/>
  <c r="G27" i="11"/>
  <c r="L27" i="11"/>
  <c r="M27" i="11"/>
  <c r="F28" i="11"/>
  <c r="G28" i="11"/>
  <c r="L28" i="11"/>
  <c r="M28" i="11"/>
  <c r="F29" i="11"/>
  <c r="G29" i="11"/>
  <c r="J29" i="11"/>
  <c r="K29" i="11"/>
  <c r="L29" i="11"/>
  <c r="M29" i="11"/>
  <c r="F32" i="11"/>
  <c r="G32" i="11"/>
  <c r="L32" i="11"/>
  <c r="M32" i="11"/>
  <c r="F33" i="11"/>
  <c r="G33" i="11"/>
  <c r="L33" i="11"/>
  <c r="M33" i="11"/>
  <c r="F34" i="11"/>
  <c r="G34" i="11"/>
  <c r="L34" i="11"/>
  <c r="M34" i="11"/>
  <c r="F35" i="11"/>
  <c r="G35" i="11"/>
  <c r="L35" i="11"/>
  <c r="M35" i="11"/>
  <c r="F36" i="11"/>
  <c r="G36" i="11"/>
  <c r="J36" i="11"/>
  <c r="K36" i="11"/>
  <c r="L36" i="11"/>
  <c r="M36" i="11"/>
  <c r="L37" i="11"/>
  <c r="M37" i="11"/>
  <c r="F39" i="11"/>
  <c r="G39" i="11"/>
  <c r="L39" i="11"/>
  <c r="M39" i="11"/>
  <c r="F40" i="11"/>
  <c r="G40" i="11"/>
  <c r="L40" i="11"/>
  <c r="M40" i="11"/>
  <c r="F41" i="11"/>
  <c r="G41" i="11"/>
  <c r="L41" i="11"/>
  <c r="M41" i="11"/>
  <c r="F42" i="11"/>
  <c r="G42" i="11"/>
  <c r="J42" i="11"/>
  <c r="K42" i="11"/>
  <c r="L42" i="11"/>
  <c r="M42" i="11"/>
  <c r="F43" i="11"/>
  <c r="G43" i="11"/>
  <c r="J43" i="11"/>
  <c r="K43" i="11"/>
  <c r="L43" i="11"/>
  <c r="M43" i="11"/>
  <c r="F45" i="11"/>
  <c r="G45" i="11"/>
  <c r="L45" i="11"/>
  <c r="M45" i="11"/>
  <c r="F47" i="11"/>
  <c r="G47" i="11"/>
  <c r="L47" i="11"/>
  <c r="M47" i="11"/>
  <c r="F49" i="11"/>
  <c r="G49" i="11"/>
  <c r="L49" i="11"/>
  <c r="M49" i="11"/>
  <c r="F51" i="11"/>
  <c r="G51" i="11"/>
  <c r="L51" i="11"/>
  <c r="M51" i="11"/>
  <c r="F54" i="11"/>
  <c r="G54" i="11"/>
  <c r="L54" i="11"/>
  <c r="M54" i="11"/>
  <c r="F55" i="11"/>
  <c r="G55" i="11"/>
  <c r="L55" i="11"/>
  <c r="M55" i="11"/>
  <c r="F56" i="11"/>
  <c r="G56" i="11"/>
  <c r="J56" i="11"/>
  <c r="K56" i="11"/>
  <c r="L56" i="11"/>
  <c r="M56" i="11"/>
  <c r="F59" i="11"/>
  <c r="G59" i="11"/>
  <c r="L59" i="11"/>
  <c r="M59" i="11"/>
  <c r="F60" i="11"/>
  <c r="G60" i="11"/>
  <c r="L60" i="11"/>
  <c r="M60" i="11"/>
  <c r="F61" i="11"/>
  <c r="G61" i="11"/>
  <c r="J61" i="11"/>
  <c r="K61" i="11"/>
  <c r="L61" i="11"/>
  <c r="M61" i="11"/>
  <c r="F64" i="11"/>
  <c r="G64" i="11"/>
  <c r="L64" i="11"/>
  <c r="M64" i="11"/>
  <c r="F65" i="11"/>
  <c r="G65" i="11"/>
  <c r="L65" i="11"/>
  <c r="M65" i="11"/>
  <c r="F66" i="11"/>
  <c r="G66" i="11"/>
  <c r="J66" i="11"/>
  <c r="K66" i="11"/>
  <c r="L66" i="11"/>
  <c r="M66" i="11"/>
  <c r="F70" i="11"/>
  <c r="G70" i="11"/>
  <c r="L70" i="11"/>
  <c r="M70" i="11"/>
  <c r="F71" i="11"/>
  <c r="G71" i="11"/>
  <c r="L71" i="11"/>
  <c r="M71" i="11"/>
  <c r="F72" i="11"/>
  <c r="G72" i="11"/>
  <c r="J72" i="11"/>
  <c r="K72" i="11"/>
  <c r="L72" i="11"/>
  <c r="M72" i="11"/>
  <c r="F73" i="11"/>
  <c r="G73" i="11"/>
  <c r="L73" i="11"/>
  <c r="M73" i="11"/>
  <c r="F74" i="11"/>
  <c r="G74" i="11"/>
  <c r="L74" i="11"/>
  <c r="M74" i="11"/>
  <c r="F75" i="11"/>
  <c r="G75" i="11"/>
  <c r="L75" i="11"/>
  <c r="M75" i="11"/>
  <c r="F76" i="11"/>
  <c r="G76" i="11"/>
  <c r="L76" i="11"/>
  <c r="M76" i="11"/>
  <c r="F77" i="11"/>
  <c r="G77" i="11"/>
  <c r="L77" i="11"/>
  <c r="M77" i="11"/>
  <c r="F78" i="11"/>
  <c r="G78" i="11"/>
  <c r="L78" i="11"/>
  <c r="M78" i="11"/>
  <c r="F79" i="11"/>
  <c r="G79" i="11"/>
  <c r="L79" i="11"/>
  <c r="M79" i="11"/>
  <c r="F80" i="11"/>
  <c r="G80" i="11"/>
  <c r="L80" i="11"/>
  <c r="M80" i="11"/>
  <c r="F81" i="11"/>
  <c r="G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AB8" i="23"/>
  <c r="AD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AB8" i="31"/>
  <c r="AD8" i="31"/>
  <c r="D11" i="31"/>
  <c r="E11" i="31"/>
  <c r="F11" i="31"/>
  <c r="G11" i="31"/>
  <c r="H11" i="31"/>
  <c r="I11" i="31"/>
  <c r="T11" i="31"/>
  <c r="U11" i="31"/>
  <c r="V11" i="31"/>
  <c r="W11" i="31"/>
  <c r="X11" i="31"/>
  <c r="Y11" i="31"/>
  <c r="Z11" i="31"/>
  <c r="AA11" i="31"/>
  <c r="D12" i="31"/>
  <c r="E12" i="31"/>
  <c r="F12" i="31"/>
  <c r="G12" i="31"/>
  <c r="T12" i="31"/>
  <c r="U12" i="31"/>
  <c r="V12" i="31"/>
  <c r="W12" i="31"/>
  <c r="X12" i="31"/>
  <c r="Y12" i="31"/>
  <c r="Z12" i="31"/>
  <c r="AA12" i="31"/>
  <c r="D13" i="31"/>
  <c r="E13" i="31"/>
  <c r="F13" i="31"/>
  <c r="G13" i="31"/>
  <c r="T13" i="31"/>
  <c r="U13" i="31"/>
  <c r="V13" i="31"/>
  <c r="W13" i="31"/>
  <c r="X13" i="31"/>
  <c r="Y13" i="31"/>
  <c r="Z13" i="31"/>
  <c r="AA13" i="31"/>
  <c r="D14" i="31"/>
  <c r="E14" i="31"/>
  <c r="F14" i="31"/>
  <c r="G14" i="31"/>
  <c r="T14" i="31"/>
  <c r="U14" i="31"/>
  <c r="V14" i="31"/>
  <c r="W14" i="31"/>
  <c r="X14" i="31"/>
  <c r="Y14" i="31"/>
  <c r="Z14" i="31"/>
  <c r="AA14" i="31"/>
  <c r="D15" i="31"/>
  <c r="E15" i="31"/>
  <c r="F15" i="31"/>
  <c r="G15" i="31"/>
  <c r="T15" i="31"/>
  <c r="U15" i="31"/>
  <c r="V15" i="31"/>
  <c r="W15" i="31"/>
  <c r="X15" i="31"/>
  <c r="Y15" i="31"/>
  <c r="Z15" i="31"/>
  <c r="AA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D19" i="31"/>
  <c r="E19" i="31"/>
  <c r="F19" i="31"/>
  <c r="G19" i="31"/>
  <c r="T19" i="31"/>
  <c r="U19" i="31"/>
  <c r="V19" i="31"/>
  <c r="W19" i="31"/>
  <c r="X19" i="31"/>
  <c r="Y19" i="31"/>
  <c r="Z19" i="31"/>
  <c r="AA19" i="31"/>
  <c r="D20" i="31"/>
  <c r="E20" i="31"/>
  <c r="F20" i="31"/>
  <c r="G20" i="31"/>
  <c r="T20" i="31"/>
  <c r="U20" i="31"/>
  <c r="V20" i="31"/>
  <c r="W20" i="31"/>
  <c r="X20" i="31"/>
  <c r="Y20" i="31"/>
  <c r="Z20" i="31"/>
  <c r="AA20" i="31"/>
  <c r="D21" i="31"/>
  <c r="E21" i="31"/>
  <c r="F21" i="31"/>
  <c r="G21" i="31"/>
  <c r="T21" i="31"/>
  <c r="U21" i="31"/>
  <c r="V21" i="31"/>
  <c r="W21" i="31"/>
  <c r="X21" i="31"/>
  <c r="Y21" i="31"/>
  <c r="Z21" i="31"/>
  <c r="AA21" i="31"/>
  <c r="D22" i="31"/>
  <c r="E22" i="31"/>
  <c r="F22" i="31"/>
  <c r="G22" i="31"/>
  <c r="T22" i="31"/>
  <c r="U22" i="31"/>
  <c r="V22" i="31"/>
  <c r="W22" i="31"/>
  <c r="X22" i="31"/>
  <c r="Y22" i="31"/>
  <c r="Z22" i="31"/>
  <c r="AA22" i="31"/>
  <c r="D23" i="31"/>
  <c r="E23" i="31"/>
  <c r="F23" i="31"/>
  <c r="G23" i="31"/>
  <c r="T23" i="31"/>
  <c r="U23" i="31"/>
  <c r="V23" i="31"/>
  <c r="W23" i="31"/>
  <c r="X23" i="31"/>
  <c r="Y23" i="31"/>
  <c r="Z23" i="31"/>
  <c r="AA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D27" i="31"/>
  <c r="E27" i="31"/>
  <c r="F27" i="31"/>
  <c r="G27" i="31"/>
  <c r="T27" i="31"/>
  <c r="U27" i="31"/>
  <c r="V27" i="31"/>
  <c r="W27" i="31"/>
  <c r="X27" i="31"/>
  <c r="Y27" i="31"/>
  <c r="Z27" i="31"/>
  <c r="AA27" i="31"/>
  <c r="D28" i="31"/>
  <c r="E28" i="31"/>
  <c r="F28" i="31"/>
  <c r="G28" i="31"/>
  <c r="T28" i="31"/>
  <c r="U28" i="31"/>
  <c r="V28" i="31"/>
  <c r="W28" i="31"/>
  <c r="X28" i="31"/>
  <c r="Y28" i="31"/>
  <c r="Z28" i="31"/>
  <c r="AA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D32" i="31"/>
  <c r="E32" i="31"/>
  <c r="F32" i="31"/>
  <c r="G32" i="31"/>
  <c r="T32" i="31"/>
  <c r="U32" i="31"/>
  <c r="V32" i="31"/>
  <c r="W32" i="31"/>
  <c r="X32" i="31"/>
  <c r="Y32" i="31"/>
  <c r="Z32" i="31"/>
  <c r="AA32" i="31"/>
  <c r="D33" i="31"/>
  <c r="E33" i="31"/>
  <c r="F33" i="31"/>
  <c r="G33" i="31"/>
  <c r="T33" i="31"/>
  <c r="U33" i="31"/>
  <c r="V33" i="31"/>
  <c r="W33" i="31"/>
  <c r="X33" i="31"/>
  <c r="Y33" i="31"/>
  <c r="Z33" i="31"/>
  <c r="AA33" i="31"/>
  <c r="D34" i="31"/>
  <c r="E34" i="31"/>
  <c r="F34" i="31"/>
  <c r="G34" i="31"/>
  <c r="T34" i="31"/>
  <c r="U34" i="31"/>
  <c r="V34" i="31"/>
  <c r="W34" i="31"/>
  <c r="X34" i="31"/>
  <c r="Y34" i="31"/>
  <c r="Z34" i="31"/>
  <c r="AA34" i="31"/>
  <c r="D35" i="31"/>
  <c r="E35" i="31"/>
  <c r="F35" i="31"/>
  <c r="G35" i="31"/>
  <c r="T35" i="31"/>
  <c r="U35" i="31"/>
  <c r="V35" i="31"/>
  <c r="W35" i="31"/>
  <c r="X35" i="31"/>
  <c r="Y35" i="31"/>
  <c r="Z35" i="31"/>
  <c r="AA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D39" i="31"/>
  <c r="E39" i="31"/>
  <c r="F39" i="31"/>
  <c r="G39" i="31"/>
  <c r="T39" i="31"/>
  <c r="U39" i="31"/>
  <c r="V39" i="31"/>
  <c r="W39" i="31"/>
  <c r="X39" i="31"/>
  <c r="Y39" i="31"/>
  <c r="Z39" i="31"/>
  <c r="AA39" i="31"/>
  <c r="D40" i="31"/>
  <c r="E40" i="31"/>
  <c r="F40" i="31"/>
  <c r="G40" i="31"/>
  <c r="T40" i="31"/>
  <c r="U40" i="31"/>
  <c r="V40" i="31"/>
  <c r="W40" i="31"/>
  <c r="X40" i="31"/>
  <c r="Y40" i="31"/>
  <c r="Z40" i="31"/>
  <c r="AA40" i="31"/>
  <c r="D41" i="31"/>
  <c r="E41" i="31"/>
  <c r="F41" i="31"/>
  <c r="G41" i="31"/>
  <c r="T41" i="31"/>
  <c r="U41" i="31"/>
  <c r="V41" i="31"/>
  <c r="W41" i="31"/>
  <c r="X41" i="31"/>
  <c r="Y41" i="31"/>
  <c r="Z41" i="31"/>
  <c r="AA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D45" i="31"/>
  <c r="E45" i="31"/>
  <c r="F45" i="31"/>
  <c r="G45" i="31"/>
  <c r="T45" i="31"/>
  <c r="U45" i="31"/>
  <c r="V45" i="31"/>
  <c r="W45" i="31"/>
  <c r="X45" i="31"/>
  <c r="Y45" i="31"/>
  <c r="Z45" i="31"/>
  <c r="AA45" i="31"/>
  <c r="D47" i="31"/>
  <c r="E47" i="31"/>
  <c r="F47" i="31"/>
  <c r="G47" i="31"/>
  <c r="T47" i="31"/>
  <c r="U47" i="31"/>
  <c r="V47" i="31"/>
  <c r="W47" i="31"/>
  <c r="X47" i="31"/>
  <c r="Y47" i="31"/>
  <c r="Z47" i="31"/>
  <c r="AA47" i="31"/>
  <c r="D49" i="31"/>
  <c r="E49" i="31"/>
  <c r="F49" i="31"/>
  <c r="G49" i="31"/>
  <c r="T49" i="31"/>
  <c r="U49" i="31"/>
  <c r="V49" i="31"/>
  <c r="W49" i="31"/>
  <c r="X49" i="31"/>
  <c r="Y49" i="31"/>
  <c r="Z49" i="31"/>
  <c r="AA49" i="31"/>
  <c r="D51" i="31"/>
  <c r="E51" i="31"/>
  <c r="F51" i="31"/>
  <c r="G51" i="31"/>
  <c r="T51" i="31"/>
  <c r="U51" i="31"/>
  <c r="V51" i="31"/>
  <c r="W51" i="31"/>
  <c r="X51" i="31"/>
  <c r="Y51" i="31"/>
  <c r="Z51" i="31"/>
  <c r="AA51" i="31"/>
  <c r="D54" i="31"/>
  <c r="E54" i="31"/>
  <c r="F54" i="31"/>
  <c r="G54" i="31"/>
  <c r="T54" i="31"/>
  <c r="U54" i="31"/>
  <c r="V54" i="31"/>
  <c r="W54" i="31"/>
  <c r="X54" i="31"/>
  <c r="Y54" i="31"/>
  <c r="Z54" i="31"/>
  <c r="AA54" i="31"/>
  <c r="D55" i="31"/>
  <c r="E55" i="31"/>
  <c r="F55" i="31"/>
  <c r="G55" i="31"/>
  <c r="T55" i="31"/>
  <c r="U55" i="31"/>
  <c r="V55" i="31"/>
  <c r="W55" i="31"/>
  <c r="X55" i="31"/>
  <c r="Y55" i="31"/>
  <c r="Z55" i="31"/>
  <c r="AA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D59" i="31"/>
  <c r="E59" i="31"/>
  <c r="F59" i="31"/>
  <c r="G59" i="31"/>
  <c r="T59" i="31"/>
  <c r="U59" i="31"/>
  <c r="V59" i="31"/>
  <c r="W59" i="31"/>
  <c r="X59" i="31"/>
  <c r="Y59" i="31"/>
  <c r="Z59" i="31"/>
  <c r="AA59" i="31"/>
  <c r="D60" i="31"/>
  <c r="E60" i="31"/>
  <c r="F60" i="31"/>
  <c r="G60" i="31"/>
  <c r="T60" i="31"/>
  <c r="U60" i="31"/>
  <c r="V60" i="31"/>
  <c r="W60" i="31"/>
  <c r="X60" i="31"/>
  <c r="Y60" i="31"/>
  <c r="Z60" i="31"/>
  <c r="AA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D64" i="31"/>
  <c r="E64" i="31"/>
  <c r="F64" i="31"/>
  <c r="G64" i="31"/>
  <c r="T64" i="31"/>
  <c r="U64" i="31"/>
  <c r="V64" i="31"/>
  <c r="W64" i="31"/>
  <c r="X64" i="31"/>
  <c r="Y64" i="31"/>
  <c r="Z64" i="31"/>
  <c r="AA64" i="31"/>
  <c r="D65" i="31"/>
  <c r="E65" i="31"/>
  <c r="F65" i="31"/>
  <c r="G65" i="31"/>
  <c r="T65" i="31"/>
  <c r="U65" i="31"/>
  <c r="V65" i="31"/>
  <c r="W65" i="31"/>
  <c r="X65" i="31"/>
  <c r="Y65" i="31"/>
  <c r="Z65" i="31"/>
  <c r="AA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D70" i="31"/>
  <c r="E70" i="31"/>
  <c r="F70" i="31"/>
  <c r="G70" i="31"/>
  <c r="T70" i="31"/>
  <c r="U70" i="31"/>
  <c r="V70" i="31"/>
  <c r="W70" i="31"/>
  <c r="X70" i="31"/>
  <c r="Y70" i="31"/>
  <c r="Z70" i="31"/>
  <c r="AA70" i="31"/>
  <c r="D71" i="31"/>
  <c r="E71" i="31"/>
  <c r="F71" i="31"/>
  <c r="G71" i="31"/>
  <c r="T71" i="31"/>
  <c r="U71" i="31"/>
  <c r="V71" i="31"/>
  <c r="W71" i="31"/>
  <c r="X71" i="31"/>
  <c r="Y71" i="31"/>
  <c r="Z71" i="31"/>
  <c r="AA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D73" i="31"/>
  <c r="E73" i="31"/>
  <c r="F73" i="31"/>
  <c r="G73" i="31"/>
  <c r="T73" i="31"/>
  <c r="U73" i="31"/>
  <c r="V73" i="31"/>
  <c r="W73" i="31"/>
  <c r="X73" i="31"/>
  <c r="Y73" i="31"/>
  <c r="Z73" i="31"/>
  <c r="AA73" i="31"/>
  <c r="D74" i="31"/>
  <c r="E74" i="31"/>
  <c r="F74" i="31"/>
  <c r="G74" i="31"/>
  <c r="T74" i="31"/>
  <c r="U74" i="31"/>
  <c r="V74" i="31"/>
  <c r="W74" i="31"/>
  <c r="X74" i="31"/>
  <c r="Y74" i="31"/>
  <c r="Z74" i="31"/>
  <c r="AA74" i="31"/>
  <c r="D75" i="31"/>
  <c r="E75" i="31"/>
  <c r="F75" i="31"/>
  <c r="G75" i="31"/>
  <c r="T75" i="31"/>
  <c r="U75" i="31"/>
  <c r="V75" i="31"/>
  <c r="W75" i="31"/>
  <c r="X75" i="31"/>
  <c r="Y75" i="31"/>
  <c r="Z75" i="31"/>
  <c r="AA75" i="31"/>
  <c r="D76" i="31"/>
  <c r="E76" i="31"/>
  <c r="F76" i="31"/>
  <c r="G76" i="31"/>
  <c r="T76" i="31"/>
  <c r="U76" i="31"/>
  <c r="V76" i="31"/>
  <c r="W76" i="31"/>
  <c r="X76" i="31"/>
  <c r="Y76" i="31"/>
  <c r="Z76" i="31"/>
  <c r="AA76" i="31"/>
  <c r="D77" i="31"/>
  <c r="E77" i="31"/>
  <c r="F77" i="31"/>
  <c r="G77" i="31"/>
  <c r="T77" i="31"/>
  <c r="U77" i="31"/>
  <c r="V77" i="31"/>
  <c r="W77" i="31"/>
  <c r="X77" i="31"/>
  <c r="Y77" i="31"/>
  <c r="Z77" i="31"/>
  <c r="AA77" i="31"/>
  <c r="D78" i="31"/>
  <c r="E78" i="31"/>
  <c r="F78" i="31"/>
  <c r="G78" i="31"/>
  <c r="T78" i="31"/>
  <c r="U78" i="31"/>
  <c r="V78" i="31"/>
  <c r="W78" i="31"/>
  <c r="X78" i="31"/>
  <c r="Y78" i="31"/>
  <c r="Z78" i="31"/>
  <c r="AA78" i="31"/>
  <c r="D79" i="31"/>
  <c r="E79" i="31"/>
  <c r="F79" i="31"/>
  <c r="G79" i="31"/>
  <c r="T79" i="31"/>
  <c r="U79" i="31"/>
  <c r="V79" i="31"/>
  <c r="W79" i="31"/>
  <c r="X79" i="31"/>
  <c r="Y79" i="31"/>
  <c r="Z79" i="31"/>
  <c r="AA79" i="31"/>
  <c r="D80" i="31"/>
  <c r="E80" i="31"/>
  <c r="F80" i="31"/>
  <c r="G80" i="31"/>
  <c r="T80" i="31"/>
  <c r="U80" i="31"/>
  <c r="V80" i="31"/>
  <c r="W80" i="31"/>
  <c r="X80" i="31"/>
  <c r="Y80" i="31"/>
  <c r="Z80" i="31"/>
  <c r="AA80" i="31"/>
  <c r="D81" i="31"/>
  <c r="E81" i="31"/>
  <c r="F81" i="31"/>
  <c r="G81" i="31"/>
  <c r="T81" i="31"/>
  <c r="U81" i="31"/>
  <c r="V81" i="31"/>
  <c r="W81" i="31"/>
  <c r="X81" i="31"/>
  <c r="Y81" i="31"/>
  <c r="Z81" i="31"/>
  <c r="AA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K11" i="6"/>
  <c r="AA11" i="6"/>
  <c r="D12" i="6"/>
  <c r="E12" i="6"/>
  <c r="W12" i="6"/>
  <c r="D13" i="6"/>
  <c r="E13" i="6"/>
  <c r="D14" i="6"/>
  <c r="E14" i="6"/>
  <c r="D15" i="6"/>
  <c r="E15" i="6"/>
  <c r="I15" i="6"/>
  <c r="AA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D19" i="6"/>
  <c r="E19" i="6"/>
  <c r="I19" i="6"/>
  <c r="K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9" i="6"/>
  <c r="E39" i="6"/>
  <c r="D40" i="6"/>
  <c r="E40" i="6"/>
  <c r="D41" i="6"/>
  <c r="E41" i="6"/>
  <c r="S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D45" i="6"/>
  <c r="E45" i="6"/>
  <c r="D47" i="6"/>
  <c r="E47" i="6"/>
  <c r="D49" i="6"/>
  <c r="E49" i="6"/>
  <c r="D51" i="6"/>
  <c r="E51" i="6"/>
  <c r="D54" i="6"/>
  <c r="E54" i="6"/>
  <c r="I54" i="6"/>
  <c r="AA54" i="6"/>
  <c r="D55" i="6"/>
  <c r="E55" i="6"/>
  <c r="G55" i="6"/>
  <c r="I55" i="6"/>
  <c r="O55" i="6"/>
  <c r="AA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D58" i="6"/>
  <c r="E58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D73" i="6"/>
  <c r="E73" i="6"/>
  <c r="D74" i="6"/>
  <c r="E74" i="6"/>
  <c r="G74" i="6"/>
  <c r="I74" i="6"/>
  <c r="U74" i="6"/>
  <c r="W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AB8" i="30"/>
  <c r="AD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O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E73" i="30"/>
  <c r="F73" i="30"/>
  <c r="G73" i="30"/>
  <c r="D74" i="30"/>
  <c r="E74" i="30"/>
  <c r="F74" i="30"/>
  <c r="G74" i="30"/>
  <c r="M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Q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D73" i="7"/>
  <c r="E73" i="7"/>
  <c r="D74" i="7"/>
  <c r="E74" i="7"/>
  <c r="G74" i="7"/>
  <c r="I74" i="7"/>
  <c r="O74" i="7"/>
  <c r="U74" i="7"/>
  <c r="W74" i="7"/>
  <c r="Y74" i="7"/>
  <c r="D75" i="7"/>
  <c r="E75" i="7"/>
  <c r="D76" i="7"/>
  <c r="E76" i="7"/>
  <c r="D77" i="7"/>
  <c r="E77" i="7"/>
  <c r="I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D86" i="7"/>
  <c r="E86" i="7"/>
  <c r="E87" i="7"/>
  <c r="S87" i="7"/>
  <c r="U87" i="7"/>
  <c r="V87" i="7"/>
  <c r="E88" i="7"/>
  <c r="V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E94" i="7"/>
  <c r="G94" i="7"/>
  <c r="I94" i="7"/>
  <c r="K94" i="7"/>
  <c r="M94" i="7"/>
  <c r="O94" i="7"/>
  <c r="Q94" i="7"/>
  <c r="S94" i="7"/>
  <c r="U94" i="7"/>
  <c r="W94" i="7"/>
  <c r="Y94" i="7"/>
  <c r="AA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AB8" i="27"/>
  <c r="AD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E86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AB8" i="25"/>
  <c r="AD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V20" i="25"/>
  <c r="X20" i="25"/>
  <c r="Z20" i="25"/>
  <c r="AB20" i="25"/>
  <c r="AC20" i="25"/>
  <c r="AD20" i="25"/>
  <c r="AE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D74" i="25"/>
  <c r="E74" i="25"/>
  <c r="F74" i="25"/>
  <c r="G74" i="25"/>
  <c r="H74" i="25"/>
  <c r="I74" i="25"/>
  <c r="J74" i="25"/>
  <c r="L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D86" i="25"/>
  <c r="E86" i="25"/>
  <c r="F86" i="25"/>
  <c r="G86" i="25"/>
  <c r="O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H8" i="46"/>
  <c r="J8" i="46"/>
  <c r="AB8" i="46"/>
  <c r="AD8" i="46"/>
  <c r="D11" i="46"/>
  <c r="E11" i="46"/>
  <c r="F11" i="46"/>
  <c r="G11" i="46"/>
  <c r="I11" i="46"/>
  <c r="AB11" i="46"/>
  <c r="AC11" i="46"/>
  <c r="AD11" i="46"/>
  <c r="AE11" i="46"/>
  <c r="D12" i="46"/>
  <c r="E12" i="46"/>
  <c r="F12" i="46"/>
  <c r="G12" i="46"/>
  <c r="P12" i="46"/>
  <c r="Q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D13" i="46"/>
  <c r="E13" i="46"/>
  <c r="F13" i="46"/>
  <c r="G13" i="46"/>
  <c r="P13" i="46"/>
  <c r="Q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D14" i="46"/>
  <c r="E14" i="46"/>
  <c r="F14" i="46"/>
  <c r="G14" i="46"/>
  <c r="P14" i="46"/>
  <c r="Q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D15" i="46"/>
  <c r="E15" i="46"/>
  <c r="F15" i="46"/>
  <c r="G15" i="46"/>
  <c r="P15" i="46"/>
  <c r="Q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D19" i="46"/>
  <c r="E19" i="46"/>
  <c r="F19" i="46"/>
  <c r="G19" i="46"/>
  <c r="AB19" i="46"/>
  <c r="AC19" i="46"/>
  <c r="AD19" i="46"/>
  <c r="AE19" i="46"/>
  <c r="D20" i="46"/>
  <c r="E20" i="46"/>
  <c r="F20" i="46"/>
  <c r="G20" i="46"/>
  <c r="P20" i="46"/>
  <c r="Q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D21" i="46"/>
  <c r="E21" i="46"/>
  <c r="F21" i="46"/>
  <c r="G21" i="46"/>
  <c r="P21" i="46"/>
  <c r="Q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D22" i="46"/>
  <c r="E22" i="46"/>
  <c r="F22" i="46"/>
  <c r="G22" i="46"/>
  <c r="P22" i="46"/>
  <c r="Q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D23" i="46"/>
  <c r="E23" i="46"/>
  <c r="F23" i="46"/>
  <c r="G23" i="46"/>
  <c r="P23" i="46"/>
  <c r="Q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D27" i="46"/>
  <c r="E27" i="46"/>
  <c r="F27" i="46"/>
  <c r="G27" i="46"/>
  <c r="H27" i="46"/>
  <c r="I27" i="46"/>
  <c r="K27" i="46"/>
  <c r="L27" i="46"/>
  <c r="M27" i="46"/>
  <c r="T27" i="46"/>
  <c r="U27" i="46"/>
  <c r="AB27" i="46"/>
  <c r="AC27" i="46"/>
  <c r="AD27" i="46"/>
  <c r="AE27" i="46"/>
  <c r="D28" i="46"/>
  <c r="E28" i="46"/>
  <c r="F28" i="46"/>
  <c r="G28" i="46"/>
  <c r="J28" i="46"/>
  <c r="K28" i="46"/>
  <c r="L28" i="46"/>
  <c r="M28" i="46"/>
  <c r="N28" i="46"/>
  <c r="O28" i="46"/>
  <c r="P28" i="46"/>
  <c r="Q28" i="46"/>
  <c r="T28" i="46"/>
  <c r="U28" i="46"/>
  <c r="AB28" i="46"/>
  <c r="AC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D32" i="46"/>
  <c r="E32" i="46"/>
  <c r="F32" i="46"/>
  <c r="G32" i="46"/>
  <c r="AB32" i="46"/>
  <c r="AC32" i="46"/>
  <c r="AD32" i="46"/>
  <c r="AE32" i="46"/>
  <c r="D33" i="46"/>
  <c r="E33" i="46"/>
  <c r="F33" i="46"/>
  <c r="G33" i="46"/>
  <c r="P33" i="46"/>
  <c r="Q33" i="46"/>
  <c r="T33" i="46"/>
  <c r="U33" i="46"/>
  <c r="AB33" i="46"/>
  <c r="AC33" i="46"/>
  <c r="AD33" i="46"/>
  <c r="AE33" i="46"/>
  <c r="D34" i="46"/>
  <c r="E34" i="46"/>
  <c r="F34" i="46"/>
  <c r="G34" i="46"/>
  <c r="P34" i="46"/>
  <c r="Q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D35" i="46"/>
  <c r="E35" i="46"/>
  <c r="F35" i="46"/>
  <c r="G35" i="46"/>
  <c r="P35" i="46"/>
  <c r="Q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D39" i="46"/>
  <c r="E39" i="46"/>
  <c r="F39" i="46"/>
  <c r="G39" i="46"/>
  <c r="T39" i="46"/>
  <c r="U39" i="46"/>
  <c r="V39" i="46"/>
  <c r="W39" i="46"/>
  <c r="X39" i="46"/>
  <c r="Y39" i="46"/>
  <c r="AB39" i="46"/>
  <c r="AC39" i="46"/>
  <c r="AD39" i="46"/>
  <c r="AE39" i="46"/>
  <c r="D40" i="46"/>
  <c r="E40" i="46"/>
  <c r="F40" i="46"/>
  <c r="G40" i="46"/>
  <c r="P40" i="46"/>
  <c r="Q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D41" i="46"/>
  <c r="E41" i="46"/>
  <c r="F41" i="46"/>
  <c r="G41" i="46"/>
  <c r="P41" i="46"/>
  <c r="Q41" i="46"/>
  <c r="T41" i="46"/>
  <c r="U41" i="46"/>
  <c r="V41" i="46"/>
  <c r="W41" i="46"/>
  <c r="X41" i="46"/>
  <c r="Y41" i="46"/>
  <c r="Z41" i="46"/>
  <c r="AB41" i="46"/>
  <c r="AC41" i="46"/>
  <c r="AD41" i="46"/>
  <c r="A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D45" i="46"/>
  <c r="E45" i="46"/>
  <c r="F45" i="46"/>
  <c r="G45" i="46"/>
  <c r="P45" i="46"/>
  <c r="Q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D47" i="46"/>
  <c r="E47" i="46"/>
  <c r="F47" i="46"/>
  <c r="G47" i="46"/>
  <c r="P47" i="46"/>
  <c r="Q47" i="46"/>
  <c r="T47" i="46"/>
  <c r="U47" i="46"/>
  <c r="AB47" i="46"/>
  <c r="AC47" i="46"/>
  <c r="AD47" i="46"/>
  <c r="AE47" i="46"/>
  <c r="D49" i="46"/>
  <c r="E49" i="46"/>
  <c r="F49" i="46"/>
  <c r="G49" i="46"/>
  <c r="AB49" i="46"/>
  <c r="AC49" i="46"/>
  <c r="AD49" i="46"/>
  <c r="AE49" i="46"/>
  <c r="D51" i="46"/>
  <c r="E51" i="46"/>
  <c r="F51" i="46"/>
  <c r="G51" i="46"/>
  <c r="J51" i="46"/>
  <c r="K51" i="46"/>
  <c r="L51" i="46"/>
  <c r="M51" i="46"/>
  <c r="N51" i="46"/>
  <c r="O51" i="46"/>
  <c r="P51" i="46"/>
  <c r="Q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D55" i="46"/>
  <c r="E55" i="46"/>
  <c r="F55" i="46"/>
  <c r="G55" i="46"/>
  <c r="P55" i="46"/>
  <c r="Q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D60" i="46"/>
  <c r="E60" i="46"/>
  <c r="F60" i="46"/>
  <c r="G60" i="46"/>
  <c r="P60" i="46"/>
  <c r="Q60" i="46"/>
  <c r="T60" i="46"/>
  <c r="U60" i="46"/>
  <c r="V60" i="46"/>
  <c r="W60" i="46"/>
  <c r="X60" i="46"/>
  <c r="Z60" i="46"/>
  <c r="AB60" i="46"/>
  <c r="AC60" i="46"/>
  <c r="AD60" i="46"/>
  <c r="A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D64" i="46"/>
  <c r="E64" i="46"/>
  <c r="F64" i="46"/>
  <c r="G64" i="46"/>
  <c r="I64" i="46"/>
  <c r="J64" i="46"/>
  <c r="K64" i="46"/>
  <c r="L64" i="46"/>
  <c r="M64" i="46"/>
  <c r="N64" i="46"/>
  <c r="O64" i="46"/>
  <c r="P64" i="46"/>
  <c r="Q64" i="46"/>
  <c r="T64" i="46"/>
  <c r="U64" i="46"/>
  <c r="AB64" i="46"/>
  <c r="AC64" i="46"/>
  <c r="AD64" i="46"/>
  <c r="AE64" i="46"/>
  <c r="D65" i="46"/>
  <c r="E65" i="46"/>
  <c r="F65" i="46"/>
  <c r="G65" i="46"/>
  <c r="H65" i="46"/>
  <c r="I65" i="46"/>
  <c r="P65" i="46"/>
  <c r="Q65" i="46"/>
  <c r="T65" i="46"/>
  <c r="U65" i="46"/>
  <c r="V65" i="46"/>
  <c r="W65" i="46"/>
  <c r="X65" i="46"/>
  <c r="Y65" i="46"/>
  <c r="AA65" i="46"/>
  <c r="AB65" i="46"/>
  <c r="AC65" i="46"/>
  <c r="AD65" i="46"/>
  <c r="A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D70" i="46"/>
  <c r="E70" i="46"/>
  <c r="F70" i="46"/>
  <c r="G70" i="46"/>
  <c r="P70" i="46"/>
  <c r="Q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D71" i="46"/>
  <c r="E71" i="46"/>
  <c r="F71" i="46"/>
  <c r="G71" i="46"/>
  <c r="P71" i="46"/>
  <c r="Q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D73" i="46"/>
  <c r="E73" i="46"/>
  <c r="F73" i="46"/>
  <c r="G73" i="46"/>
  <c r="P73" i="46"/>
  <c r="Q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D74" i="46"/>
  <c r="E74" i="46"/>
  <c r="F74" i="46"/>
  <c r="G74" i="46"/>
  <c r="P74" i="46"/>
  <c r="Q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D75" i="46"/>
  <c r="E75" i="46"/>
  <c r="F75" i="46"/>
  <c r="G75" i="46"/>
  <c r="P75" i="46"/>
  <c r="Q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D76" i="46"/>
  <c r="E76" i="46"/>
  <c r="F76" i="46"/>
  <c r="G76" i="46"/>
  <c r="P76" i="46"/>
  <c r="Q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D77" i="46"/>
  <c r="E77" i="46"/>
  <c r="F77" i="46"/>
  <c r="G77" i="46"/>
  <c r="P77" i="46"/>
  <c r="Q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D78" i="46"/>
  <c r="E78" i="46"/>
  <c r="F78" i="46"/>
  <c r="G78" i="46"/>
  <c r="P78" i="46"/>
  <c r="Q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D79" i="46"/>
  <c r="E79" i="46"/>
  <c r="F79" i="46"/>
  <c r="G79" i="46"/>
  <c r="P79" i="46"/>
  <c r="Q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D80" i="46"/>
  <c r="E80" i="46"/>
  <c r="F80" i="46"/>
  <c r="G80" i="46"/>
  <c r="P80" i="46"/>
  <c r="Q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D81" i="46"/>
  <c r="E81" i="46"/>
  <c r="F81" i="46"/>
  <c r="G81" i="46"/>
  <c r="P81" i="46"/>
  <c r="Q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AB8" i="26"/>
  <c r="AD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AB8" i="28"/>
  <c r="AD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V20" i="28"/>
  <c r="X20" i="28"/>
  <c r="Z20" i="28"/>
  <c r="AB20" i="28"/>
  <c r="AC20" i="28"/>
  <c r="AD20" i="28"/>
  <c r="AE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  <comment ref="S4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for storage book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from storage book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4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Shrinkage manually backed off per Troy K.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S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 adj per P. Love
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Liq. PMA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 xml:space="preserve">jlittle:
Removal of East and Bug Deals origionally booked to storage
Also, 28817 is NB deal not booked until Sept.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I8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value is FT-ST deals unanalyzed.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<sst xmlns="http://schemas.openxmlformats.org/spreadsheetml/2006/main" count="5049" uniqueCount="205">
  <si>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</si>
  <si>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</si>
  <si>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</si>
  <si>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</si>
  <si>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</si>
  <si>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</si>
  <si>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</si>
  <si>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</si>
  <si>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</si>
  <si>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</si>
  <si>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</si>
  <si>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</si>
  <si>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</si>
  <si>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</si>
  <si>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</si>
  <si>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</si>
  <si>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</si>
  <si>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</si>
  <si>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</si>
  <si>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</si>
  <si>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</si>
  <si>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</si>
  <si>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</si>
  <si>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</si>
  <si>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</si>
  <si>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</si>
  <si>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</si>
  <si>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</si>
  <si>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</si>
  <si>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</si>
  <si>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</si>
  <si>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</si>
  <si>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</si>
  <si>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</si>
  <si>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</si>
  <si>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</si>
  <si>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</si>
  <si>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</si>
  <si>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</si>
  <si>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</si>
  <si>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</si>
  <si>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</si>
  <si>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</si>
  <si>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</si>
  <si>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</si>
  <si>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</si>
  <si>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</si>
  <si>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</si>
  <si>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</si>
  <si>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</si>
  <si>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</si>
  <si>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</si>
  <si>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</si>
  <si>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</si>
  <si>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</si>
  <si>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</si>
  <si>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</si>
  <si>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</si>
  <si>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</si>
  <si>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</si>
  <si>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</si>
  <si>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</si>
  <si>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</si>
  <si>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</si>
  <si>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</si>
  <si>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</si>
  <si>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</si>
  <si>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</si>
  <si>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</si>
  <si>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</si>
  <si>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</si>
  <si>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</si>
  <si>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</si>
  <si>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</si>
  <si>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</si>
  <si>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</si>
  <si>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</si>
  <si>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</si>
  <si>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</si>
  <si>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</si>
  <si>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</si>
  <si>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</si>
  <si>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</si>
  <si>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</si>
  <si>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</si>
  <si>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</si>
  <si>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</si>
  <si>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</si>
  <si>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</si>
  <si>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</si>
  <si>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</si>
  <si>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</si>
  <si>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</si>
  <si>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</si>
  <si>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</si>
  <si>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</si>
  <si>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</si>
  <si>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</si>
  <si>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</si>
  <si>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</si>
  <si>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</si>
  <si>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</si>
  <si>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</si>
  <si>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</si>
  <si>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</si>
  <si>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</si>
  <si>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</si>
  <si>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</si>
  <si>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</si>
  <si>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</si>
  <si>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</si>
  <si>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</si>
  <si>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</si>
  <si>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</si>
  <si>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</si>
  <si>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</si>
  <si>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</si>
  <si>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</si>
  <si>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</si>
  <si>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</si>
  <si>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</si>
  <si>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</si>
  <si>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</si>
  <si>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</si>
  <si>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</si>
  <si>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</si>
  <si>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</si>
  <si>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</si>
  <si>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</si>
  <si>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</si>
  <si>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</si>
  <si>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</si>
  <si>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</si>
  <si>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</si>
  <si>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</si>
  <si>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</si>
  <si>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</si>
  <si>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</si>
  <si>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</si>
  <si>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</si>
  <si>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</si>
  <si>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</si>
  <si>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</si>
  <si>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</si>
  <si>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</si>
  <si>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</si>
  <si>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</si>
  <si>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</si>
  <si>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</si>
  <si>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</si>
  <si>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</si>
  <si>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</si>
  <si>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</si>
  <si>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</si>
  <si>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</si>
  <si>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</si>
  <si>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</si>
  <si>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</si>
  <si>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</si>
  <si>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</si>
  <si>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</si>
  <si>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</si>
  <si>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</si>
  <si>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</si>
  <si>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</si>
  <si>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</si>
  <si>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</si>
  <si>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</si>
  <si>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</si>
  <si>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</si>
  <si>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</si>
  <si>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</si>
  <si>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</si>
  <si>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</si>
  <si>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</si>
  <si>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</si>
  <si>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</si>
  <si>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</si>
  <si>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</si>
  <si>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</si>
  <si>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</si>
  <si>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</si>
  <si>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</si>
  <si>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</si>
  <si>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July</t>
  </si>
  <si>
    <t>9907V</t>
  </si>
  <si>
    <t>9907A</t>
  </si>
  <si>
    <t>Aug</t>
  </si>
  <si>
    <t>COMPANY:  ECTR (EGM) / HPLR / HPLC</t>
  </si>
  <si>
    <t>COMPANY:  HPLC</t>
  </si>
  <si>
    <t>COMPANY:  HPLR</t>
  </si>
  <si>
    <t>PRODUCTION MONTH: 9907</t>
  </si>
  <si>
    <t>HPLC-TX</t>
  </si>
  <si>
    <t>HPLR-TX</t>
  </si>
  <si>
    <t>Texas-HPLR</t>
  </si>
  <si>
    <t>Texas-HPLC</t>
  </si>
  <si>
    <t>FT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</si>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</sst>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4" fillId="0" borderId="2" xfId="1" applyNumberFormat="1" applyFont="1" applyBorder="1"/>
    <xf numFmtId="165" fontId="4" fillId="0" borderId="23" xfId="1" applyNumberFormat="1" applyBorder="1"/>
    <xf numFmtId="165" fontId="20" fillId="5" borderId="0" xfId="1" applyNumberFormat="1" applyFont="1" applyFill="1"/>
    <xf numFmtId="165" fontId="19" fillId="0" borderId="4" xfId="1" applyNumberFormat="1" applyFont="1" applyBorder="1"/>
    <xf numFmtId="165" fontId="4" fillId="0" borderId="10" xfId="1" applyNumberFormat="1" applyFont="1" applyBorder="1"/>
    <xf numFmtId="165" fontId="28" fillId="0" borderId="1" xfId="1" applyNumberFormat="1" applyFont="1" applyBorder="1"/>
    <xf numFmtId="165" fontId="24" fillId="0" borderId="4" xfId="1" applyNumberFormat="1" applyFont="1" applyBorder="1"/>
    <xf numFmtId="165" fontId="24" fillId="5" borderId="20" xfId="1" applyNumberFormat="1" applyFont="1" applyFill="1" applyBorder="1"/>
    <xf numFmtId="165" fontId="4" fillId="5" borderId="0" xfId="1" applyNumberFormat="1" applyFill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9">
          <cell r="C49">
            <v>8301616.6000000015</v>
          </cell>
          <cell r="G49">
            <v>-1016471.3999999985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5">
          <cell r="B45">
            <v>1672876</v>
          </cell>
          <cell r="C45">
            <v>-1215091</v>
          </cell>
          <cell r="D45">
            <v>0</v>
          </cell>
          <cell r="E45">
            <v>0</v>
          </cell>
          <cell r="F45">
            <v>0</v>
          </cell>
          <cell r="G45">
            <v>1824342</v>
          </cell>
          <cell r="H45">
            <v>1342363</v>
          </cell>
          <cell r="I45">
            <v>0</v>
          </cell>
          <cell r="J45">
            <v>0</v>
          </cell>
          <cell r="K45">
            <v>0</v>
          </cell>
          <cell r="L45">
            <v>505169</v>
          </cell>
          <cell r="M45">
            <v>3878355</v>
          </cell>
          <cell r="O45">
            <v>1310074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8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1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34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70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0">
        <v>15053190</v>
      </c>
      <c r="E11" s="38">
        <v>34958248.75</v>
      </c>
      <c r="F11" s="65">
        <f>H11-D11</f>
        <v>0</v>
      </c>
      <c r="G11" s="63">
        <f>I11-E11</f>
        <v>0</v>
      </c>
      <c r="H11" s="65">
        <f>D11</f>
        <v>15053190</v>
      </c>
      <c r="I11" s="66">
        <f>E11</f>
        <v>34958248.75</v>
      </c>
      <c r="J11" s="60"/>
      <c r="K11" s="38"/>
      <c r="L11" s="60">
        <f t="shared" ref="L11:M15" si="0">H11+J11</f>
        <v>15053190</v>
      </c>
      <c r="M11" s="38">
        <f t="shared" si="0"/>
        <v>34958248.75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44000</v>
      </c>
      <c r="E13" s="38">
        <v>100260</v>
      </c>
      <c r="F13" s="65">
        <f t="shared" si="1"/>
        <v>0</v>
      </c>
      <c r="G13" s="63">
        <f t="shared" si="1"/>
        <v>0</v>
      </c>
      <c r="H13" s="65">
        <f t="shared" si="2"/>
        <v>44000</v>
      </c>
      <c r="I13" s="66">
        <f t="shared" si="2"/>
        <v>100260</v>
      </c>
      <c r="J13" s="60"/>
      <c r="K13" s="38"/>
      <c r="L13" s="60">
        <f t="shared" si="0"/>
        <v>44000</v>
      </c>
      <c r="M13" s="38">
        <f t="shared" si="0"/>
        <v>100260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15097190</v>
      </c>
      <c r="E16" s="39">
        <v>35058508.75</v>
      </c>
      <c r="F16" s="61">
        <f t="shared" ref="F16:M16" si="3">SUM(F11:F15)</f>
        <v>0</v>
      </c>
      <c r="G16" s="39">
        <f t="shared" si="3"/>
        <v>0</v>
      </c>
      <c r="H16" s="61">
        <f>SUM(H11:H15)</f>
        <v>15097190</v>
      </c>
      <c r="I16" s="39">
        <f>SUM(I11:I15)</f>
        <v>35058508.75</v>
      </c>
      <c r="J16" s="61">
        <f t="shared" si="3"/>
        <v>0</v>
      </c>
      <c r="K16" s="39">
        <f t="shared" si="3"/>
        <v>0</v>
      </c>
      <c r="L16" s="61">
        <f t="shared" si="3"/>
        <v>15097190</v>
      </c>
      <c r="M16" s="39">
        <f t="shared" si="3"/>
        <v>35058508.75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-13378691</v>
      </c>
      <c r="E19" s="38">
        <v>-30654838.479999997</v>
      </c>
      <c r="F19" s="65">
        <f>H19-D19</f>
        <v>0</v>
      </c>
      <c r="G19" s="63">
        <f>I19-E19</f>
        <v>0</v>
      </c>
      <c r="H19" s="65">
        <f t="shared" si="4"/>
        <v>-13378691</v>
      </c>
      <c r="I19" s="66">
        <f t="shared" si="4"/>
        <v>-30654838.479999997</v>
      </c>
      <c r="J19" s="60"/>
      <c r="K19" s="38"/>
      <c r="L19" s="60">
        <f t="shared" ref="L19:M23" si="5">H19+J19</f>
        <v>-13378691</v>
      </c>
      <c r="M19" s="38">
        <f t="shared" si="5"/>
        <v>-30654838.479999997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-377319</v>
      </c>
      <c r="E21" s="38">
        <v>-851928.06</v>
      </c>
      <c r="F21" s="65">
        <f t="shared" si="6"/>
        <v>0</v>
      </c>
      <c r="G21" s="63">
        <f t="shared" si="6"/>
        <v>0</v>
      </c>
      <c r="H21" s="65">
        <f t="shared" si="4"/>
        <v>-377319</v>
      </c>
      <c r="I21" s="66">
        <f t="shared" si="4"/>
        <v>-851928.06</v>
      </c>
      <c r="J21" s="60"/>
      <c r="K21" s="38"/>
      <c r="L21" s="60">
        <f t="shared" si="5"/>
        <v>-377319</v>
      </c>
      <c r="M21" s="38">
        <f t="shared" si="5"/>
        <v>-851928.06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18895</v>
      </c>
      <c r="E23" s="38">
        <v>42826.080000000002</v>
      </c>
      <c r="F23" s="65">
        <f t="shared" si="6"/>
        <v>0</v>
      </c>
      <c r="G23" s="63">
        <f t="shared" si="6"/>
        <v>0</v>
      </c>
      <c r="H23" s="65">
        <f t="shared" si="4"/>
        <v>18895</v>
      </c>
      <c r="I23" s="66">
        <f t="shared" si="4"/>
        <v>42826.080000000002</v>
      </c>
      <c r="J23" s="60"/>
      <c r="K23" s="38"/>
      <c r="L23" s="60">
        <f t="shared" si="5"/>
        <v>18895</v>
      </c>
      <c r="M23" s="38">
        <f t="shared" si="5"/>
        <v>42826.080000000002</v>
      </c>
    </row>
    <row r="24" spans="1:13" x14ac:dyDescent="0.25">
      <c r="A24" s="9"/>
      <c r="B24" s="7" t="s">
        <v>34</v>
      </c>
      <c r="C24" s="6"/>
      <c r="D24" s="61">
        <v>-13737115</v>
      </c>
      <c r="E24" s="39">
        <v>-31463940.459999997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-13737115</v>
      </c>
      <c r="I24" s="39">
        <f>SUM(I19:I23)</f>
        <v>-31463940.459999997</v>
      </c>
      <c r="J24" s="61">
        <f t="shared" si="7"/>
        <v>0</v>
      </c>
      <c r="K24" s="39">
        <f t="shared" si="7"/>
        <v>0</v>
      </c>
      <c r="L24" s="61">
        <f t="shared" si="7"/>
        <v>-13737115</v>
      </c>
      <c r="M24" s="39">
        <f t="shared" si="7"/>
        <v>-31463940.459999997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2943342</v>
      </c>
      <c r="E27" s="38">
        <v>6673148.3600000003</v>
      </c>
      <c r="F27" s="65">
        <f>H27-D27</f>
        <v>0</v>
      </c>
      <c r="G27" s="63">
        <f>I27-E27</f>
        <v>0</v>
      </c>
      <c r="H27" s="65">
        <f>D27</f>
        <v>2943342</v>
      </c>
      <c r="I27" s="66">
        <f>E27</f>
        <v>6673148.3600000003</v>
      </c>
      <c r="J27" s="60"/>
      <c r="K27" s="38"/>
      <c r="L27" s="60">
        <f>H27+J27</f>
        <v>2943342</v>
      </c>
      <c r="M27" s="38">
        <f>I27+K27</f>
        <v>6673148.3600000003</v>
      </c>
    </row>
    <row r="28" spans="1:13" x14ac:dyDescent="0.25">
      <c r="A28" s="9">
        <v>12</v>
      </c>
      <c r="B28" s="7"/>
      <c r="C28" s="18" t="s">
        <v>37</v>
      </c>
      <c r="D28" s="60">
        <v>-2943342</v>
      </c>
      <c r="E28" s="38">
        <v>-6673148.3600000003</v>
      </c>
      <c r="F28" s="65">
        <f>H28-D28</f>
        <v>0</v>
      </c>
      <c r="G28" s="63">
        <f>I28-E28</f>
        <v>0</v>
      </c>
      <c r="H28" s="65">
        <f>D28</f>
        <v>-2943342</v>
      </c>
      <c r="I28" s="66">
        <f>E28</f>
        <v>-6673148.3600000003</v>
      </c>
      <c r="J28" s="60"/>
      <c r="K28" s="38"/>
      <c r="L28" s="60">
        <f>H28+J28</f>
        <v>-2943342</v>
      </c>
      <c r="M28" s="38">
        <f>I28+K28</f>
        <v>-6673148.3600000003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-1360075</v>
      </c>
      <c r="E33" s="38">
        <v>-2471638.2538640974</v>
      </c>
      <c r="F33" s="65">
        <f t="shared" ref="F33:G35" si="11">H33-D33</f>
        <v>0</v>
      </c>
      <c r="G33" s="63">
        <f t="shared" si="11"/>
        <v>0</v>
      </c>
      <c r="H33" s="65">
        <f t="shared" si="9"/>
        <v>-1360075</v>
      </c>
      <c r="I33" s="66">
        <f t="shared" si="9"/>
        <v>-2471638.2538640974</v>
      </c>
      <c r="J33" s="60"/>
      <c r="K33" s="38"/>
      <c r="L33" s="60">
        <f t="shared" si="10"/>
        <v>-1360075</v>
      </c>
      <c r="M33" s="38">
        <f t="shared" si="10"/>
        <v>-2471638.2538640974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v>-1360075</v>
      </c>
      <c r="E36" s="39">
        <v>-2471638.2538640974</v>
      </c>
      <c r="F36" s="61">
        <f>SUM(F32:F35)</f>
        <v>0</v>
      </c>
      <c r="G36" s="39">
        <f>SUM(G32:G35)</f>
        <v>0</v>
      </c>
      <c r="H36" s="61">
        <f>SUM(H32:H35)</f>
        <v>-1360075</v>
      </c>
      <c r="I36" s="39">
        <f>SUM(I32:I35)</f>
        <v>-2471638.2538640974</v>
      </c>
      <c r="J36" s="61">
        <f>SUM(J32:J34)</f>
        <v>0</v>
      </c>
      <c r="K36" s="39">
        <f>SUM(K32:K34)</f>
        <v>0</v>
      </c>
      <c r="L36" s="61">
        <f>SUM(L32:L35)</f>
        <v>-1360075</v>
      </c>
      <c r="M36" s="39">
        <f>SUM(M32:M35)</f>
        <v>-2471638.2538640974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38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38">
        <v>-36628.601000000002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-36628.601000000002</v>
      </c>
      <c r="J54" s="60"/>
      <c r="K54" s="38"/>
      <c r="L54" s="60">
        <f>H54+J54</f>
        <v>0</v>
      </c>
      <c r="M54" s="38">
        <f>I54+K54</f>
        <v>-36628.601000000002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v>0</v>
      </c>
      <c r="E56" s="39">
        <v>-36628.601000000002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-36628.601000000002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-36628.601000000002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60">
        <v>0</v>
      </c>
      <c r="E70" s="38">
        <v>768385.66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768385.66</v>
      </c>
      <c r="J70" s="60"/>
      <c r="K70" s="38"/>
      <c r="L70" s="60">
        <f t="shared" si="20"/>
        <v>0</v>
      </c>
      <c r="M70" s="38">
        <f t="shared" si="20"/>
        <v>768385.66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38">
        <v>-722257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-722257</v>
      </c>
      <c r="J71" s="60"/>
      <c r="K71" s="38"/>
      <c r="L71" s="60">
        <f t="shared" si="20"/>
        <v>0</v>
      </c>
      <c r="M71" s="38">
        <f t="shared" si="20"/>
        <v>-722257</v>
      </c>
    </row>
    <row r="72" spans="1:13" x14ac:dyDescent="0.25">
      <c r="A72" s="9"/>
      <c r="B72" s="3"/>
      <c r="C72" s="55" t="s">
        <v>70</v>
      </c>
      <c r="D72" s="61">
        <v>0</v>
      </c>
      <c r="E72" s="39">
        <v>46128.659999999683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46128.660000000033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46128.660000000033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38">
        <v>568974.31000000006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568974.31000000006</v>
      </c>
      <c r="J74" s="60"/>
      <c r="K74" s="38"/>
      <c r="L74" s="60">
        <f t="shared" si="23"/>
        <v>0</v>
      </c>
      <c r="M74" s="38">
        <f t="shared" si="23"/>
        <v>568974.31000000006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38">
        <v>-15891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-15891</v>
      </c>
      <c r="J76" s="60"/>
      <c r="K76" s="38"/>
      <c r="L76" s="60">
        <f t="shared" si="23"/>
        <v>0</v>
      </c>
      <c r="M76" s="38">
        <f t="shared" si="23"/>
        <v>-15891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38">
        <v>-134929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-134929</v>
      </c>
      <c r="J81" s="60"/>
      <c r="K81" s="38"/>
      <c r="L81" s="60">
        <f t="shared" si="23"/>
        <v>0</v>
      </c>
      <c r="M81" s="38">
        <f t="shared" si="23"/>
        <v>-134929</v>
      </c>
    </row>
    <row r="82" spans="1:67" s="44" customFormat="1" ht="20.25" customHeight="1" thickBot="1" x14ac:dyDescent="0.3">
      <c r="A82" s="40"/>
      <c r="B82" s="41"/>
      <c r="C82" s="42" t="s">
        <v>175</v>
      </c>
      <c r="D82" s="73">
        <f>D16+D24+D29+D36+D43+D45+D47+D49</f>
        <v>0</v>
      </c>
      <c r="E82" s="167">
        <f>SUM(E72:E81)+E16+E24+E29+E36+E43+E45+E47+E49+E51+E56+E61+E66</f>
        <v>1550584.4051359042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1550584.4051359042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1550584.4051359042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177</v>
      </c>
      <c r="B85" s="3"/>
      <c r="M85" s="45">
        <f>M82+'TX-HPLR-FLSH'!M82</f>
        <v>972230.28220931697</v>
      </c>
    </row>
    <row r="86" spans="1:67" s="3" customFormat="1" x14ac:dyDescent="0.25">
      <c r="A86" s="173"/>
      <c r="C86" s="10" t="s">
        <v>173</v>
      </c>
      <c r="D86" s="177">
        <v>0</v>
      </c>
      <c r="E86" s="177">
        <f>-92876+803</f>
        <v>-92073</v>
      </c>
      <c r="F86" s="177">
        <f t="shared" ref="F86:G88" si="25">H86-D86</f>
        <v>0</v>
      </c>
      <c r="G86" s="177">
        <f t="shared" si="25"/>
        <v>0</v>
      </c>
      <c r="H86" s="177">
        <f t="shared" ref="H86:I88" si="26">D86</f>
        <v>0</v>
      </c>
      <c r="I86" s="177">
        <f t="shared" si="26"/>
        <v>-92073</v>
      </c>
      <c r="J86" s="177"/>
      <c r="K86" s="177"/>
      <c r="L86" s="177">
        <f t="shared" ref="L86:M88" si="27">H86+J86</f>
        <v>0</v>
      </c>
      <c r="M86" s="177">
        <f t="shared" si="27"/>
        <v>-92073</v>
      </c>
    </row>
    <row r="87" spans="1:67" s="3" customFormat="1" x14ac:dyDescent="0.25">
      <c r="A87" s="173"/>
      <c r="C87" s="10" t="s">
        <v>72</v>
      </c>
      <c r="D87" s="178">
        <v>0</v>
      </c>
      <c r="E87" s="178">
        <v>0</v>
      </c>
      <c r="F87" s="178">
        <f t="shared" si="25"/>
        <v>0</v>
      </c>
      <c r="G87" s="178">
        <f t="shared" si="25"/>
        <v>0</v>
      </c>
      <c r="H87" s="178">
        <f t="shared" si="26"/>
        <v>0</v>
      </c>
      <c r="I87" s="178">
        <f t="shared" si="26"/>
        <v>0</v>
      </c>
      <c r="J87" s="178"/>
      <c r="K87" s="178"/>
      <c r="L87" s="178">
        <f t="shared" si="27"/>
        <v>0</v>
      </c>
      <c r="M87" s="178">
        <f t="shared" si="27"/>
        <v>0</v>
      </c>
    </row>
    <row r="88" spans="1:67" s="3" customFormat="1" x14ac:dyDescent="0.25">
      <c r="A88" s="173"/>
      <c r="C88" s="10" t="s">
        <v>73</v>
      </c>
      <c r="D88" s="179">
        <v>0</v>
      </c>
      <c r="E88" s="179">
        <v>0</v>
      </c>
      <c r="F88" s="179">
        <f t="shared" si="25"/>
        <v>0</v>
      </c>
      <c r="G88" s="179">
        <f t="shared" si="25"/>
        <v>0</v>
      </c>
      <c r="H88" s="179">
        <f t="shared" si="26"/>
        <v>0</v>
      </c>
      <c r="I88" s="179">
        <f t="shared" si="26"/>
        <v>0</v>
      </c>
      <c r="J88" s="179"/>
      <c r="K88" s="179"/>
      <c r="L88" s="179">
        <f t="shared" si="27"/>
        <v>0</v>
      </c>
      <c r="M88" s="179">
        <f t="shared" si="27"/>
        <v>0</v>
      </c>
    </row>
    <row r="89" spans="1:67" s="44" customFormat="1" ht="20.25" customHeight="1" x14ac:dyDescent="0.25">
      <c r="A89" s="180"/>
      <c r="B89" s="181"/>
      <c r="C89" s="182" t="s">
        <v>176</v>
      </c>
      <c r="D89" s="184">
        <f>SUM(D86:D88)</f>
        <v>0</v>
      </c>
      <c r="E89" s="184">
        <f t="shared" ref="E89:M89" si="28">SUM(E86:E88)</f>
        <v>-92073</v>
      </c>
      <c r="F89" s="184">
        <f t="shared" si="28"/>
        <v>0</v>
      </c>
      <c r="G89" s="184">
        <f t="shared" si="28"/>
        <v>0</v>
      </c>
      <c r="H89" s="184">
        <f t="shared" si="28"/>
        <v>0</v>
      </c>
      <c r="I89" s="184">
        <f t="shared" si="28"/>
        <v>-92073</v>
      </c>
      <c r="J89" s="184">
        <f t="shared" si="28"/>
        <v>0</v>
      </c>
      <c r="K89" s="184">
        <f t="shared" si="28"/>
        <v>0</v>
      </c>
      <c r="L89" s="184">
        <f t="shared" si="28"/>
        <v>0</v>
      </c>
      <c r="M89" s="184">
        <f t="shared" si="28"/>
        <v>-92073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0"/>
      <c r="B91" s="181"/>
      <c r="C91" s="182" t="s">
        <v>174</v>
      </c>
      <c r="D91" s="184">
        <f>+D82+D89</f>
        <v>0</v>
      </c>
      <c r="E91" s="184">
        <f t="shared" ref="E91:M91" si="29">+E82+E89</f>
        <v>1458511.4051359042</v>
      </c>
      <c r="F91" s="184">
        <f t="shared" si="29"/>
        <v>0</v>
      </c>
      <c r="G91" s="184">
        <f t="shared" si="29"/>
        <v>0</v>
      </c>
      <c r="H91" s="184">
        <f t="shared" si="29"/>
        <v>0</v>
      </c>
      <c r="I91" s="184">
        <f t="shared" si="29"/>
        <v>1458511.4051359042</v>
      </c>
      <c r="J91" s="184">
        <f t="shared" si="29"/>
        <v>0</v>
      </c>
      <c r="K91" s="184">
        <f t="shared" si="29"/>
        <v>0</v>
      </c>
      <c r="L91" s="184">
        <f t="shared" si="29"/>
        <v>0</v>
      </c>
      <c r="M91" s="184">
        <f t="shared" si="29"/>
        <v>1458511.4051359042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79" sqref="E7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0">
        <v>682365</v>
      </c>
      <c r="E11" s="60">
        <v>1542795.25</v>
      </c>
      <c r="F11" s="60">
        <f>H11-D11</f>
        <v>0</v>
      </c>
      <c r="G11" s="37">
        <f>I11-E11</f>
        <v>0</v>
      </c>
      <c r="H11" s="65">
        <f>D11</f>
        <v>682365</v>
      </c>
      <c r="I11" s="66">
        <f>E11</f>
        <v>1542795.25</v>
      </c>
      <c r="J11" s="60"/>
      <c r="K11" s="38"/>
      <c r="L11" s="60">
        <f t="shared" ref="L11:M15" si="0">H11+J11</f>
        <v>682365</v>
      </c>
      <c r="M11" s="38">
        <f t="shared" si="0"/>
        <v>1542795.25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682365</v>
      </c>
      <c r="E16" s="39">
        <v>1542795.25</v>
      </c>
      <c r="F16" s="61">
        <f t="shared" ref="F16:M16" si="3">SUM(F11:F15)</f>
        <v>0</v>
      </c>
      <c r="G16" s="39">
        <f t="shared" si="3"/>
        <v>0</v>
      </c>
      <c r="H16" s="61">
        <f>SUM(H11:H15)</f>
        <v>682365</v>
      </c>
      <c r="I16" s="39">
        <f>SUM(I11:I15)</f>
        <v>1542795.25</v>
      </c>
      <c r="J16" s="61">
        <f t="shared" si="3"/>
        <v>0</v>
      </c>
      <c r="K16" s="39">
        <f t="shared" si="3"/>
        <v>0</v>
      </c>
      <c r="L16" s="61">
        <f t="shared" si="3"/>
        <v>682365</v>
      </c>
      <c r="M16" s="39">
        <f t="shared" si="3"/>
        <v>1542795.25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-435341</v>
      </c>
      <c r="E19" s="60">
        <v>-977352.52000001073</v>
      </c>
      <c r="F19" s="60">
        <f>H19-D19</f>
        <v>0</v>
      </c>
      <c r="G19" s="37">
        <f>I19-E19</f>
        <v>0</v>
      </c>
      <c r="H19" s="65">
        <f t="shared" si="4"/>
        <v>-435341</v>
      </c>
      <c r="I19" s="66">
        <f t="shared" si="4"/>
        <v>-977352.52000001073</v>
      </c>
      <c r="J19" s="60"/>
      <c r="K19" s="38"/>
      <c r="L19" s="60">
        <f t="shared" ref="L19:M23" si="5">H19+J19</f>
        <v>-435341</v>
      </c>
      <c r="M19" s="38">
        <f t="shared" si="5"/>
        <v>-977352.52000001073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0</v>
      </c>
      <c r="E21" s="60">
        <v>6.0000000055879354E-2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6.0000000055879354E-2</v>
      </c>
      <c r="J21" s="60"/>
      <c r="K21" s="38"/>
      <c r="L21" s="60">
        <f t="shared" si="5"/>
        <v>0</v>
      </c>
      <c r="M21" s="38">
        <f t="shared" si="5"/>
        <v>6.0000000055879354E-2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0</v>
      </c>
      <c r="E23" s="60">
        <v>3.9199999999982538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3.9199999999982538</v>
      </c>
      <c r="J23" s="60"/>
      <c r="K23" s="38"/>
      <c r="L23" s="60">
        <f t="shared" si="5"/>
        <v>0</v>
      </c>
      <c r="M23" s="38">
        <f t="shared" si="5"/>
        <v>3.9199999999982538</v>
      </c>
    </row>
    <row r="24" spans="1:13" x14ac:dyDescent="0.25">
      <c r="A24" s="9"/>
      <c r="B24" s="7" t="s">
        <v>34</v>
      </c>
      <c r="C24" s="6"/>
      <c r="D24" s="61">
        <v>-435341</v>
      </c>
      <c r="E24" s="39">
        <v>-977348.54000001063</v>
      </c>
      <c r="F24" s="61">
        <f t="shared" ref="F24:M24" si="7">SUM(F19:F23)</f>
        <v>0</v>
      </c>
      <c r="G24" s="39">
        <f t="shared" si="7"/>
        <v>0</v>
      </c>
      <c r="H24" s="61">
        <f>SUM(H19:H23)</f>
        <v>-435341</v>
      </c>
      <c r="I24" s="39">
        <f>SUM(I19:I23)</f>
        <v>-977348.54000001063</v>
      </c>
      <c r="J24" s="61">
        <f t="shared" si="7"/>
        <v>0</v>
      </c>
      <c r="K24" s="39">
        <f t="shared" si="7"/>
        <v>0</v>
      </c>
      <c r="L24" s="61">
        <f t="shared" si="7"/>
        <v>-435341</v>
      </c>
      <c r="M24" s="39">
        <f t="shared" si="7"/>
        <v>-977348.54000001063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0</v>
      </c>
      <c r="E27" s="60">
        <v>2.6400000005960464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2.6400000005960464</v>
      </c>
      <c r="J27" s="60"/>
      <c r="K27" s="38"/>
      <c r="L27" s="60">
        <f>H27+J27</f>
        <v>0</v>
      </c>
      <c r="M27" s="38">
        <f>I27+K27</f>
        <v>2.6400000005960464</v>
      </c>
    </row>
    <row r="28" spans="1:13" x14ac:dyDescent="0.25">
      <c r="A28" s="9">
        <v>12</v>
      </c>
      <c r="B28" s="7"/>
      <c r="C28" s="18" t="s">
        <v>37</v>
      </c>
      <c r="D28" s="60">
        <v>0</v>
      </c>
      <c r="E28" s="60">
        <v>-2.6399999996647239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-2.6399999996647239</v>
      </c>
      <c r="J28" s="60"/>
      <c r="K28" s="38"/>
      <c r="L28" s="60">
        <f>H28+J28</f>
        <v>0</v>
      </c>
      <c r="M28" s="38">
        <f>I28+K28</f>
        <v>-2.6399999996647239</v>
      </c>
    </row>
    <row r="29" spans="1:13" x14ac:dyDescent="0.25">
      <c r="A29" s="9"/>
      <c r="B29" s="7" t="s">
        <v>38</v>
      </c>
      <c r="C29" s="6"/>
      <c r="D29" s="61">
        <v>0</v>
      </c>
      <c r="E29" s="39">
        <v>9.3132257461547852E-10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9.3132257461547852E-10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9.3132257461547852E-10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1360075</v>
      </c>
      <c r="E33" s="60">
        <v>2471638.2538640974</v>
      </c>
      <c r="F33" s="60">
        <f t="shared" ref="F33:G35" si="11">H33-D33</f>
        <v>0</v>
      </c>
      <c r="G33" s="37">
        <f t="shared" si="11"/>
        <v>0</v>
      </c>
      <c r="H33" s="65">
        <f t="shared" si="9"/>
        <v>1360075</v>
      </c>
      <c r="I33" s="66">
        <f t="shared" si="9"/>
        <v>2471638.2538640974</v>
      </c>
      <c r="J33" s="60"/>
      <c r="K33" s="38"/>
      <c r="L33" s="60">
        <f t="shared" si="10"/>
        <v>1360075</v>
      </c>
      <c r="M33" s="38">
        <f t="shared" si="10"/>
        <v>2471638.2538640974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v>1360075</v>
      </c>
      <c r="E36" s="39">
        <v>2471638.2538640974</v>
      </c>
      <c r="F36" s="61">
        <f>SUM(F32:F35)</f>
        <v>0</v>
      </c>
      <c r="G36" s="39">
        <f>SUM(G32:G35)</f>
        <v>0</v>
      </c>
      <c r="H36" s="61">
        <f>SUM(H32:H35)</f>
        <v>1360075</v>
      </c>
      <c r="I36" s="39">
        <f>SUM(I32:I35)</f>
        <v>2471638.2538640974</v>
      </c>
      <c r="J36" s="61">
        <f>SUM(J32:J34)</f>
        <v>0</v>
      </c>
      <c r="K36" s="39">
        <f>SUM(K32:K34)</f>
        <v>0</v>
      </c>
      <c r="L36" s="61">
        <f>SUM(L32:L35)</f>
        <v>1360075</v>
      </c>
      <c r="M36" s="39">
        <f>SUM(M32:M35)</f>
        <v>2471638.2538640974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-1607099</v>
      </c>
      <c r="E49" s="60">
        <v>-3615439.0867906748</v>
      </c>
      <c r="F49" s="60">
        <f>H49-D49</f>
        <v>0</v>
      </c>
      <c r="G49" s="37">
        <f>I49-E49</f>
        <v>0</v>
      </c>
      <c r="H49" s="65">
        <f>D49</f>
        <v>-1607099</v>
      </c>
      <c r="I49" s="66">
        <f>E49</f>
        <v>-3615439.0867906748</v>
      </c>
      <c r="J49" s="60"/>
      <c r="K49" s="38"/>
      <c r="L49" s="60">
        <f>H49+J49</f>
        <v>-1607099</v>
      </c>
      <c r="M49" s="38">
        <f>I49+K49</f>
        <v>-3615439.0867906748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175</v>
      </c>
      <c r="D82" s="73">
        <f>D16+D24+D29+D36+D43+D45+D47+D49</f>
        <v>0</v>
      </c>
      <c r="E82" s="167">
        <f>SUM(E72:E81)+E16+E24+E29+E36+E43+E45+E47+E49+E51+E56+E61+E66</f>
        <v>-578354.12292658724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-578354.12292658724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-578354.12292658724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E62" zoomScale="75" workbookViewId="0">
      <selection activeCell="M82" sqref="M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0">
        <v>77567585</v>
      </c>
      <c r="E11" s="60">
        <v>177683289</v>
      </c>
      <c r="F11" s="60">
        <f>H11-D11</f>
        <v>0</v>
      </c>
      <c r="G11" s="37">
        <f>I11-E11</f>
        <v>0</v>
      </c>
      <c r="H11" s="65">
        <f>D11</f>
        <v>77567585</v>
      </c>
      <c r="I11" s="66">
        <f>E11</f>
        <v>177683289</v>
      </c>
      <c r="J11" s="60"/>
      <c r="K11" s="38"/>
      <c r="L11" s="60">
        <f t="shared" ref="L11:M15" si="0">H11+J11</f>
        <v>77567585</v>
      </c>
      <c r="M11" s="38">
        <f t="shared" si="0"/>
        <v>177683289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103181</v>
      </c>
      <c r="E13" s="60">
        <v>225383</v>
      </c>
      <c r="F13" s="60">
        <f t="shared" si="1"/>
        <v>0</v>
      </c>
      <c r="G13" s="37">
        <f t="shared" si="1"/>
        <v>0</v>
      </c>
      <c r="H13" s="65">
        <f t="shared" si="2"/>
        <v>103181</v>
      </c>
      <c r="I13" s="66">
        <f t="shared" si="2"/>
        <v>225383</v>
      </c>
      <c r="J13" s="60"/>
      <c r="K13" s="38"/>
      <c r="L13" s="60">
        <f t="shared" si="0"/>
        <v>103181</v>
      </c>
      <c r="M13" s="38">
        <f t="shared" si="0"/>
        <v>225383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77670766</v>
      </c>
      <c r="E16" s="39">
        <v>177908672</v>
      </c>
      <c r="F16" s="61">
        <f t="shared" ref="F16:M16" si="3">SUM(F11:F15)</f>
        <v>0</v>
      </c>
      <c r="G16" s="39">
        <f t="shared" si="3"/>
        <v>0</v>
      </c>
      <c r="H16" s="61">
        <f>SUM(H11:H15)</f>
        <v>77670766</v>
      </c>
      <c r="I16" s="39">
        <f>SUM(I11:I15)</f>
        <v>177908672</v>
      </c>
      <c r="J16" s="61">
        <f t="shared" si="3"/>
        <v>0</v>
      </c>
      <c r="K16" s="39">
        <f t="shared" si="3"/>
        <v>0</v>
      </c>
      <c r="L16" s="61">
        <f t="shared" si="3"/>
        <v>77670766</v>
      </c>
      <c r="M16" s="39">
        <f t="shared" si="3"/>
        <v>177908672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-85870752</v>
      </c>
      <c r="E19" s="60">
        <v>-194528005</v>
      </c>
      <c r="F19" s="60">
        <f>H19-D19</f>
        <v>0</v>
      </c>
      <c r="G19" s="37">
        <f>I19-E19</f>
        <v>0</v>
      </c>
      <c r="H19" s="65">
        <f t="shared" si="4"/>
        <v>-85870752</v>
      </c>
      <c r="I19" s="66">
        <f t="shared" si="4"/>
        <v>-194528005</v>
      </c>
      <c r="J19" s="60"/>
      <c r="K19" s="38"/>
      <c r="L19" s="60">
        <f t="shared" ref="L19:M23" si="5">H19+J19</f>
        <v>-85870752</v>
      </c>
      <c r="M19" s="38">
        <f t="shared" si="5"/>
        <v>-194528005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-798643</v>
      </c>
      <c r="E21" s="60">
        <v>-1782177</v>
      </c>
      <c r="F21" s="60">
        <f t="shared" si="6"/>
        <v>0</v>
      </c>
      <c r="G21" s="37">
        <f t="shared" si="6"/>
        <v>0</v>
      </c>
      <c r="H21" s="65">
        <f t="shared" si="4"/>
        <v>-798643</v>
      </c>
      <c r="I21" s="66">
        <f t="shared" si="4"/>
        <v>-1782177</v>
      </c>
      <c r="J21" s="60"/>
      <c r="K21" s="38"/>
      <c r="L21" s="60">
        <f t="shared" si="5"/>
        <v>-798643</v>
      </c>
      <c r="M21" s="38">
        <f t="shared" si="5"/>
        <v>-1782177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46</v>
      </c>
      <c r="E23" s="60">
        <v>101</v>
      </c>
      <c r="F23" s="60">
        <f t="shared" si="6"/>
        <v>0</v>
      </c>
      <c r="G23" s="37">
        <f t="shared" si="6"/>
        <v>0</v>
      </c>
      <c r="H23" s="65">
        <f t="shared" si="4"/>
        <v>46</v>
      </c>
      <c r="I23" s="66">
        <f t="shared" si="4"/>
        <v>101</v>
      </c>
      <c r="J23" s="60"/>
      <c r="K23" s="38"/>
      <c r="L23" s="60">
        <f t="shared" si="5"/>
        <v>46</v>
      </c>
      <c r="M23" s="38">
        <f t="shared" si="5"/>
        <v>101</v>
      </c>
    </row>
    <row r="24" spans="1:13" x14ac:dyDescent="0.25">
      <c r="A24" s="9"/>
      <c r="B24" s="7" t="s">
        <v>34</v>
      </c>
      <c r="C24" s="6"/>
      <c r="D24" s="61">
        <v>-86669349</v>
      </c>
      <c r="E24" s="39">
        <v>-196310081</v>
      </c>
      <c r="F24" s="61">
        <f t="shared" ref="F24:M24" si="7">SUM(F19:F23)</f>
        <v>0</v>
      </c>
      <c r="G24" s="39">
        <f t="shared" si="7"/>
        <v>0</v>
      </c>
      <c r="H24" s="61">
        <f>SUM(H19:H23)</f>
        <v>-86669349</v>
      </c>
      <c r="I24" s="39">
        <f>SUM(I19:I23)</f>
        <v>-196310081</v>
      </c>
      <c r="J24" s="61">
        <f t="shared" si="7"/>
        <v>0</v>
      </c>
      <c r="K24" s="39">
        <f t="shared" si="7"/>
        <v>0</v>
      </c>
      <c r="L24" s="61">
        <f t="shared" si="7"/>
        <v>-86669349</v>
      </c>
      <c r="M24" s="39">
        <f t="shared" si="7"/>
        <v>-196310081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10707281</v>
      </c>
      <c r="E27" s="60">
        <v>24625547</v>
      </c>
      <c r="F27" s="60">
        <f>H27-D27</f>
        <v>0</v>
      </c>
      <c r="G27" s="37">
        <f>I27-E27</f>
        <v>0</v>
      </c>
      <c r="H27" s="65">
        <f>D27</f>
        <v>10707281</v>
      </c>
      <c r="I27" s="66">
        <f>E27</f>
        <v>24625547</v>
      </c>
      <c r="J27" s="60"/>
      <c r="K27" s="38"/>
      <c r="L27" s="60">
        <f>H27+J27</f>
        <v>10707281</v>
      </c>
      <c r="M27" s="38">
        <f>I27+K27</f>
        <v>24625547</v>
      </c>
    </row>
    <row r="28" spans="1:13" x14ac:dyDescent="0.25">
      <c r="A28" s="9">
        <v>12</v>
      </c>
      <c r="B28" s="7"/>
      <c r="C28" s="18" t="s">
        <v>37</v>
      </c>
      <c r="D28" s="60">
        <v>-3204459</v>
      </c>
      <c r="E28" s="60">
        <v>-7351721</v>
      </c>
      <c r="F28" s="60">
        <f>H28-D28</f>
        <v>0</v>
      </c>
      <c r="G28" s="37">
        <f>I28-E28</f>
        <v>0</v>
      </c>
      <c r="H28" s="65">
        <f>D28</f>
        <v>-3204459</v>
      </c>
      <c r="I28" s="66">
        <f>E28</f>
        <v>-7351721</v>
      </c>
      <c r="J28" s="60"/>
      <c r="K28" s="38"/>
      <c r="L28" s="60">
        <f>H28+J28</f>
        <v>-3204459</v>
      </c>
      <c r="M28" s="38">
        <f>I28+K28</f>
        <v>-7351721</v>
      </c>
    </row>
    <row r="29" spans="1:13" x14ac:dyDescent="0.25">
      <c r="A29" s="9"/>
      <c r="B29" s="7" t="s">
        <v>38</v>
      </c>
      <c r="C29" s="6"/>
      <c r="D29" s="61">
        <v>7502822</v>
      </c>
      <c r="E29" s="39">
        <v>17273826</v>
      </c>
      <c r="F29" s="61">
        <f t="shared" ref="F29:M29" si="8">SUM(F27:F28)</f>
        <v>0</v>
      </c>
      <c r="G29" s="39">
        <f t="shared" si="8"/>
        <v>0</v>
      </c>
      <c r="H29" s="61">
        <f>SUM(H27:H28)</f>
        <v>7502822</v>
      </c>
      <c r="I29" s="39">
        <f>SUM(I27:I28)</f>
        <v>17273826</v>
      </c>
      <c r="J29" s="61">
        <f t="shared" si="8"/>
        <v>0</v>
      </c>
      <c r="K29" s="39">
        <f t="shared" si="8"/>
        <v>0</v>
      </c>
      <c r="L29" s="61">
        <f t="shared" si="8"/>
        <v>7502822</v>
      </c>
      <c r="M29" s="39">
        <f t="shared" si="8"/>
        <v>17273826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1085437</v>
      </c>
      <c r="E39" s="60">
        <v>3049847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1085437</v>
      </c>
      <c r="I39" s="66">
        <f t="shared" si="12"/>
        <v>3049847</v>
      </c>
      <c r="J39" s="60"/>
      <c r="K39" s="38"/>
      <c r="L39" s="60">
        <f t="shared" ref="L39:M41" si="14">H39+J39</f>
        <v>1085437</v>
      </c>
      <c r="M39" s="38">
        <f t="shared" si="14"/>
        <v>3049847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-1726749</v>
      </c>
      <c r="E40" s="60">
        <v>-4904312</v>
      </c>
      <c r="F40" s="60">
        <f t="shared" si="13"/>
        <v>0</v>
      </c>
      <c r="G40" s="37">
        <f t="shared" si="13"/>
        <v>0</v>
      </c>
      <c r="H40" s="65">
        <f t="shared" si="12"/>
        <v>-1726749</v>
      </c>
      <c r="I40" s="66">
        <f t="shared" si="12"/>
        <v>-4904312</v>
      </c>
      <c r="J40" s="60"/>
      <c r="K40" s="38"/>
      <c r="L40" s="60">
        <f t="shared" si="14"/>
        <v>-1726749</v>
      </c>
      <c r="M40" s="38">
        <f t="shared" si="14"/>
        <v>-4904312</v>
      </c>
    </row>
    <row r="41" spans="1:13" x14ac:dyDescent="0.25">
      <c r="A41" s="9">
        <v>19</v>
      </c>
      <c r="B41" s="7"/>
      <c r="C41" s="18" t="s">
        <v>48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-1726749</v>
      </c>
      <c r="E42" s="39">
        <v>-4904312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-1726749</v>
      </c>
      <c r="I42" s="39">
        <f>SUM(I40:I41)</f>
        <v>-4904312</v>
      </c>
      <c r="J42" s="61">
        <f t="shared" si="15"/>
        <v>0</v>
      </c>
      <c r="K42" s="39">
        <f t="shared" si="15"/>
        <v>0</v>
      </c>
      <c r="L42" s="61">
        <f t="shared" si="15"/>
        <v>-1726749</v>
      </c>
      <c r="M42" s="39">
        <f t="shared" si="15"/>
        <v>-4904312</v>
      </c>
    </row>
    <row r="43" spans="1:13" ht="21" customHeight="1" x14ac:dyDescent="0.25">
      <c r="A43" s="9"/>
      <c r="B43" s="7" t="s">
        <v>50</v>
      </c>
      <c r="C43" s="6"/>
      <c r="D43" s="61">
        <v>-641312</v>
      </c>
      <c r="E43" s="39">
        <v>-1854465</v>
      </c>
      <c r="F43" s="61">
        <f t="shared" ref="F43:M43" si="16">F42+F39</f>
        <v>0</v>
      </c>
      <c r="G43" s="39">
        <f t="shared" si="16"/>
        <v>0</v>
      </c>
      <c r="H43" s="61">
        <f>H42+H39</f>
        <v>-641312</v>
      </c>
      <c r="I43" s="39">
        <f>I42+I39</f>
        <v>-1854465</v>
      </c>
      <c r="J43" s="61">
        <f t="shared" si="16"/>
        <v>0</v>
      </c>
      <c r="K43" s="39">
        <f t="shared" si="16"/>
        <v>0</v>
      </c>
      <c r="L43" s="61">
        <f t="shared" si="16"/>
        <v>-641312</v>
      </c>
      <c r="M43" s="39">
        <f t="shared" si="16"/>
        <v>-1854465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2137073</v>
      </c>
      <c r="E49" s="60">
        <v>4763737.258267615</v>
      </c>
      <c r="F49" s="60">
        <f>H49-D49</f>
        <v>0</v>
      </c>
      <c r="G49" s="37">
        <f>I49-E49</f>
        <v>0</v>
      </c>
      <c r="H49" s="65">
        <f>D49</f>
        <v>2137073</v>
      </c>
      <c r="I49" s="66">
        <f>E49</f>
        <v>4763737.258267615</v>
      </c>
      <c r="J49" s="60"/>
      <c r="K49" s="38"/>
      <c r="L49" s="60">
        <f>H49+J49</f>
        <v>2137073</v>
      </c>
      <c r="M49" s="38">
        <f>I49+K49</f>
        <v>4763737.258267615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60">
        <v>-1530336.4990000001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-1530336.4990000001</v>
      </c>
      <c r="J54" s="60"/>
      <c r="K54" s="38"/>
      <c r="L54" s="60">
        <f>H54+J54</f>
        <v>0</v>
      </c>
      <c r="M54" s="38">
        <f>I54+K54</f>
        <v>-1530336.4990000001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60">
        <v>-15000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5">
      <c r="A56" s="9"/>
      <c r="B56" s="7" t="s">
        <v>58</v>
      </c>
      <c r="C56" s="6"/>
      <c r="D56" s="61">
        <v>0</v>
      </c>
      <c r="E56" s="39">
        <v>-1545336.4990000001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-1545336.4990000001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-1545336.4990000001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60">
        <v>56890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56890</v>
      </c>
      <c r="J75" s="60"/>
      <c r="K75" s="38"/>
      <c r="L75" s="60">
        <f t="shared" si="22"/>
        <v>0</v>
      </c>
      <c r="M75" s="38">
        <f t="shared" si="22"/>
        <v>56890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60">
        <v>-103300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-103300</v>
      </c>
      <c r="J77" s="60"/>
      <c r="K77" s="38"/>
      <c r="L77" s="60">
        <f t="shared" si="22"/>
        <v>0</v>
      </c>
      <c r="M77" s="38">
        <f t="shared" si="22"/>
        <v>-103300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175</v>
      </c>
      <c r="D82" s="73">
        <f>D16+D24+D29+D36+D43+D45+D47+D49</f>
        <v>0</v>
      </c>
      <c r="E82" s="167">
        <f>SUM(E72:E81)+E16+E24+E29+E36+E43+E45+E47+E49+E51+E56+E61+E66</f>
        <v>189942.75926761492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189942.75926761492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189942.75926761492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75" right="0.75" top="1" bottom="1" header="0.5" footer="0.5"/>
  <pageSetup paperSize="5" scale="4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I82" sqref="I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0">
        <v>51725492</v>
      </c>
      <c r="E11" s="38">
        <v>120477378</v>
      </c>
      <c r="F11" s="60">
        <f>H11-D11</f>
        <v>41577648</v>
      </c>
      <c r="G11" s="37">
        <f>I11-E11</f>
        <v>93706955</v>
      </c>
      <c r="H11" s="60">
        <f>'TX-EGM-FLSH'!H11+'TX-HPLR-FLSH'!H11+'TX-HPLC-FLSH'!H11</f>
        <v>93303140</v>
      </c>
      <c r="I11" s="38">
        <f>'TX-EGM-FLSH'!I11+'TX-HPLR-FLSH'!I11+'TX-HPLC-FLSH'!I11</f>
        <v>214184333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93303140</v>
      </c>
      <c r="M11" s="38">
        <f t="shared" si="0"/>
        <v>214184333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71127</v>
      </c>
      <c r="E13" s="38">
        <v>159944</v>
      </c>
      <c r="F13" s="60">
        <f t="shared" si="1"/>
        <v>76054</v>
      </c>
      <c r="G13" s="37">
        <f t="shared" si="1"/>
        <v>165699</v>
      </c>
      <c r="H13" s="60">
        <f>'TX-EGM-FLSH'!H13+'TX-HPLR-FLSH'!H13+'TX-HPLC-FLSH'!H13</f>
        <v>147181</v>
      </c>
      <c r="I13" s="38">
        <f>'TX-EGM-FLSH'!I13+'TX-HPLR-FLSH'!I13+'TX-HPLC-FLSH'!I13</f>
        <v>325643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147181</v>
      </c>
      <c r="M13" s="38">
        <f t="shared" si="0"/>
        <v>325643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51796619</v>
      </c>
      <c r="E16" s="39">
        <v>120637322</v>
      </c>
      <c r="F16" s="61">
        <f t="shared" ref="F16:M16" si="2">SUM(F11:F15)</f>
        <v>41653702</v>
      </c>
      <c r="G16" s="39">
        <f t="shared" si="2"/>
        <v>93872654</v>
      </c>
      <c r="H16" s="61">
        <f t="shared" si="2"/>
        <v>93450321</v>
      </c>
      <c r="I16" s="39">
        <f t="shared" si="2"/>
        <v>214509976</v>
      </c>
      <c r="J16" s="61">
        <f t="shared" si="2"/>
        <v>0</v>
      </c>
      <c r="K16" s="39">
        <f t="shared" si="2"/>
        <v>0</v>
      </c>
      <c r="L16" s="61">
        <f t="shared" si="2"/>
        <v>93450321</v>
      </c>
      <c r="M16" s="39">
        <f t="shared" si="2"/>
        <v>214509976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-57689353</v>
      </c>
      <c r="E19" s="38">
        <v>-132145289</v>
      </c>
      <c r="F19" s="60">
        <f>H19-D19</f>
        <v>-41995431</v>
      </c>
      <c r="G19" s="37">
        <f>I19-E19</f>
        <v>-94014907</v>
      </c>
      <c r="H19" s="60">
        <f>'TX-EGM-FLSH'!H19+'TX-HPLR-FLSH'!H19+'TX-HPLC-FLSH'!H19</f>
        <v>-99684784</v>
      </c>
      <c r="I19" s="38">
        <f>'TX-EGM-FLSH'!I19+'TX-HPLR-FLSH'!I19+'TX-HPLC-FLSH'!I19</f>
        <v>-226160196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-99684784</v>
      </c>
      <c r="M19" s="38">
        <f t="shared" si="3"/>
        <v>-226160196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28</v>
      </c>
      <c r="D21" s="60">
        <v>-2052275</v>
      </c>
      <c r="E21" s="38">
        <v>-4472679</v>
      </c>
      <c r="F21" s="60">
        <f t="shared" si="4"/>
        <v>876313</v>
      </c>
      <c r="G21" s="37">
        <f t="shared" si="4"/>
        <v>1838574</v>
      </c>
      <c r="H21" s="60">
        <f>'TX-EGM-FLSH'!H21+'TX-HPLR-FLSH'!H21+'TX-HPLC-FLSH'!H21</f>
        <v>-1175962</v>
      </c>
      <c r="I21" s="38">
        <f>'TX-EGM-FLSH'!I21+'TX-HPLR-FLSH'!I21+'TX-HPLC-FLSH'!I21</f>
        <v>-2634105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-1175962</v>
      </c>
      <c r="M21" s="38">
        <f t="shared" si="3"/>
        <v>-2634105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33</v>
      </c>
      <c r="D23" s="60">
        <v>0</v>
      </c>
      <c r="E23" s="38">
        <v>0</v>
      </c>
      <c r="F23" s="60">
        <f t="shared" si="4"/>
        <v>18941</v>
      </c>
      <c r="G23" s="37">
        <f t="shared" si="4"/>
        <v>42931</v>
      </c>
      <c r="H23" s="60">
        <f>'TX-EGM-FLSH'!H23+'TX-HPLR-FLSH'!H23+'TX-HPLC-FLSH'!H23</f>
        <v>18941</v>
      </c>
      <c r="I23" s="38">
        <f>'TX-EGM-FLSH'!I23+'TX-HPLR-FLSH'!I23+'TX-HPLC-FLSH'!I23</f>
        <v>42931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18941</v>
      </c>
      <c r="M23" s="38">
        <f t="shared" si="3"/>
        <v>42931</v>
      </c>
    </row>
    <row r="24" spans="1:13" x14ac:dyDescent="0.25">
      <c r="A24" s="9"/>
      <c r="B24" s="7" t="s">
        <v>34</v>
      </c>
      <c r="C24" s="6"/>
      <c r="D24" s="61">
        <v>-59741628</v>
      </c>
      <c r="E24" s="39">
        <v>-136617968</v>
      </c>
      <c r="F24" s="61">
        <f t="shared" ref="F24:M24" si="5">SUM(F19:F23)</f>
        <v>-41100177</v>
      </c>
      <c r="G24" s="39">
        <f t="shared" si="5"/>
        <v>-92133402</v>
      </c>
      <c r="H24" s="61">
        <f t="shared" si="5"/>
        <v>-100841805</v>
      </c>
      <c r="I24" s="39">
        <f t="shared" si="5"/>
        <v>-228751370</v>
      </c>
      <c r="J24" s="61">
        <f t="shared" si="5"/>
        <v>0</v>
      </c>
      <c r="K24" s="39">
        <f t="shared" si="5"/>
        <v>0</v>
      </c>
      <c r="L24" s="61">
        <f t="shared" si="5"/>
        <v>-100841805</v>
      </c>
      <c r="M24" s="39">
        <f t="shared" si="5"/>
        <v>-228751370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32997274</v>
      </c>
      <c r="E27" s="38">
        <v>74244674.739999995</v>
      </c>
      <c r="F27" s="60">
        <f>H27-D27</f>
        <v>-19346651</v>
      </c>
      <c r="G27" s="37">
        <f>I27-E27</f>
        <v>-42945976.739999995</v>
      </c>
      <c r="H27" s="60">
        <f>'TX-EGM-FLSH'!H27+'TX-HPLR-FLSH'!H27+'TX-HPLC-FLSH'!H27</f>
        <v>13650623</v>
      </c>
      <c r="I27" s="38">
        <f>'TX-EGM-FLSH'!I27+'TX-HPLR-FLSH'!I27+'TX-HPLC-FLSH'!I27</f>
        <v>31298698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13650623</v>
      </c>
      <c r="M27" s="38">
        <f>I27+K27</f>
        <v>31298698</v>
      </c>
    </row>
    <row r="28" spans="1:13" x14ac:dyDescent="0.25">
      <c r="A28" s="9">
        <v>12</v>
      </c>
      <c r="B28" s="7"/>
      <c r="C28" s="18" t="s">
        <v>37</v>
      </c>
      <c r="D28" s="60">
        <v>-33022074</v>
      </c>
      <c r="E28" s="38">
        <v>-74302953</v>
      </c>
      <c r="F28" s="60">
        <f>H28-D28</f>
        <v>26874273</v>
      </c>
      <c r="G28" s="37">
        <f>I28-E28</f>
        <v>60278081</v>
      </c>
      <c r="H28" s="60">
        <f>'TX-EGM-FLSH'!H28+'TX-HPLR-FLSH'!H28+'TX-HPLC-FLSH'!H28</f>
        <v>-6147801</v>
      </c>
      <c r="I28" s="38">
        <f>'TX-EGM-FLSH'!I28+'TX-HPLR-FLSH'!I28+'TX-HPLC-FLSH'!I28</f>
        <v>-14024872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-6147801</v>
      </c>
      <c r="M28" s="38">
        <f>I28+K28</f>
        <v>-14024872</v>
      </c>
    </row>
    <row r="29" spans="1:13" x14ac:dyDescent="0.25">
      <c r="A29" s="9"/>
      <c r="B29" s="7" t="s">
        <v>38</v>
      </c>
      <c r="C29" s="6"/>
      <c r="D29" s="61">
        <v>-24800</v>
      </c>
      <c r="E29" s="39">
        <v>-58278.260000005364</v>
      </c>
      <c r="F29" s="61">
        <f t="shared" ref="F29:M29" si="6">SUM(F27:F28)</f>
        <v>7527622</v>
      </c>
      <c r="G29" s="39">
        <f t="shared" si="6"/>
        <v>17332104.260000005</v>
      </c>
      <c r="H29" s="61">
        <f t="shared" si="6"/>
        <v>7502822</v>
      </c>
      <c r="I29" s="39">
        <f t="shared" si="6"/>
        <v>17273826</v>
      </c>
      <c r="J29" s="61">
        <f t="shared" si="6"/>
        <v>0</v>
      </c>
      <c r="K29" s="39">
        <f t="shared" si="6"/>
        <v>0</v>
      </c>
      <c r="L29" s="61">
        <f t="shared" si="6"/>
        <v>7502822</v>
      </c>
      <c r="M29" s="39">
        <f t="shared" si="6"/>
        <v>17273826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41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44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7337145</v>
      </c>
      <c r="E39" s="38">
        <v>16945465</v>
      </c>
      <c r="F39" s="60">
        <f t="shared" ref="F39:G41" si="9">H39-D39</f>
        <v>-6251708</v>
      </c>
      <c r="G39" s="37">
        <f t="shared" si="9"/>
        <v>-13895618</v>
      </c>
      <c r="H39" s="60">
        <f>'TX-EGM-FLSH'!H39+'TX-HPLR-FLSH'!H39+'TX-HPLC-FLSH'!H39</f>
        <v>1085437</v>
      </c>
      <c r="I39" s="38">
        <f>'TX-EGM-FLSH'!I39+'TX-HPLR-FLSH'!I39+'TX-HPLC-FLSH'!I39</f>
        <v>3049847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1085437</v>
      </c>
      <c r="M39" s="38">
        <f t="shared" si="10"/>
        <v>3049847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-576543</v>
      </c>
      <c r="E40" s="38">
        <v>-1293657</v>
      </c>
      <c r="F40" s="60">
        <f t="shared" si="9"/>
        <v>-1150206</v>
      </c>
      <c r="G40" s="37">
        <f t="shared" si="9"/>
        <v>-3610655</v>
      </c>
      <c r="H40" s="60">
        <f>'TX-EGM-FLSH'!H40+'TX-HPLR-FLSH'!H40+'TX-HPLC-FLSH'!H40</f>
        <v>-1726749</v>
      </c>
      <c r="I40" s="38">
        <f>'TX-EGM-FLSH'!I40+'TX-HPLR-FLSH'!I40+'TX-HPLC-FLSH'!I40</f>
        <v>-4904312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-1726749</v>
      </c>
      <c r="M40" s="38">
        <f t="shared" si="10"/>
        <v>-4904312</v>
      </c>
    </row>
    <row r="41" spans="1:13" x14ac:dyDescent="0.25">
      <c r="A41" s="9">
        <v>19</v>
      </c>
      <c r="B41" s="7"/>
      <c r="C41" s="18" t="s">
        <v>48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5">
      <c r="A42" s="9"/>
      <c r="B42" s="7"/>
      <c r="C42" s="53" t="s">
        <v>49</v>
      </c>
      <c r="D42" s="61">
        <v>-576543</v>
      </c>
      <c r="E42" s="39">
        <v>-1293657</v>
      </c>
      <c r="F42" s="61">
        <f t="shared" ref="F42:M42" si="11">SUM(F40:F41)</f>
        <v>-1150206</v>
      </c>
      <c r="G42" s="39">
        <f t="shared" si="11"/>
        <v>-3610655</v>
      </c>
      <c r="H42" s="61">
        <f t="shared" si="11"/>
        <v>-1726749</v>
      </c>
      <c r="I42" s="39">
        <f t="shared" si="11"/>
        <v>-4904312</v>
      </c>
      <c r="J42" s="61">
        <f t="shared" si="11"/>
        <v>0</v>
      </c>
      <c r="K42" s="39">
        <f t="shared" si="11"/>
        <v>0</v>
      </c>
      <c r="L42" s="61">
        <f t="shared" si="11"/>
        <v>-1726749</v>
      </c>
      <c r="M42" s="39">
        <f t="shared" si="11"/>
        <v>-4904312</v>
      </c>
    </row>
    <row r="43" spans="1:13" ht="21" customHeight="1" x14ac:dyDescent="0.25">
      <c r="A43" s="9"/>
      <c r="B43" s="7" t="s">
        <v>50</v>
      </c>
      <c r="C43" s="6"/>
      <c r="D43" s="61">
        <v>6760602</v>
      </c>
      <c r="E43" s="39">
        <v>15651808</v>
      </c>
      <c r="F43" s="61">
        <f t="shared" ref="F43:M43" si="12">F42+F39</f>
        <v>-7401914</v>
      </c>
      <c r="G43" s="39">
        <f t="shared" si="12"/>
        <v>-17506273</v>
      </c>
      <c r="H43" s="61">
        <f t="shared" si="12"/>
        <v>-641312</v>
      </c>
      <c r="I43" s="39">
        <f t="shared" si="12"/>
        <v>-1854465</v>
      </c>
      <c r="J43" s="61">
        <f t="shared" si="12"/>
        <v>0</v>
      </c>
      <c r="K43" s="39">
        <f t="shared" si="12"/>
        <v>0</v>
      </c>
      <c r="L43" s="61">
        <f t="shared" si="12"/>
        <v>-641312</v>
      </c>
      <c r="M43" s="39">
        <f t="shared" si="12"/>
        <v>-1854465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0</v>
      </c>
      <c r="E49" s="38">
        <v>0</v>
      </c>
      <c r="F49" s="60">
        <f>H49-D49</f>
        <v>529974</v>
      </c>
      <c r="G49" s="37">
        <f>I49-E49</f>
        <v>1148298.1714769402</v>
      </c>
      <c r="H49" s="60">
        <f>'TX-EGM-FLSH'!H49+'TX-HPLR-FLSH'!H49+'TX-HPLC-FLSH'!H49</f>
        <v>529974</v>
      </c>
      <c r="I49" s="38">
        <f>'TX-EGM-FLSH'!I49+'TX-HPLR-FLSH'!I49+'TX-HPLC-FLSH'!I49</f>
        <v>1148298.1714769402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529974</v>
      </c>
      <c r="M49" s="38">
        <f>I49+K49</f>
        <v>1148298.1714769402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38">
        <v>-992568.27</v>
      </c>
      <c r="F54" s="60">
        <f>H54-D54</f>
        <v>0</v>
      </c>
      <c r="G54" s="37">
        <f>I54-E54</f>
        <v>-574396.83000000007</v>
      </c>
      <c r="H54" s="60">
        <f>'TX-EGM-FLSH'!H54+'TX-HPLR-FLSH'!H54+'TX-HPLC-FLSH'!H54</f>
        <v>0</v>
      </c>
      <c r="I54" s="38">
        <f>'TX-EGM-FLSH'!I54+'TX-HPLR-FLSH'!I54+'TX-HPLC-FLSH'!I54</f>
        <v>-1566965.1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-1566965.1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'TX-EGM-FLSH'!H55+'TX-HPLR-FLSH'!H55+'TX-HPLC-FLSH'!H55</f>
        <v>0</v>
      </c>
      <c r="I55" s="38">
        <f>'TX-EGM-FLSH'!I55+'TX-HPLR-FLSH'!I55+'TX-HPLC-FLSH'!I55</f>
        <v>-15000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-15000</v>
      </c>
    </row>
    <row r="56" spans="1:15" x14ac:dyDescent="0.25">
      <c r="A56" s="9"/>
      <c r="B56" s="7" t="s">
        <v>58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-589396.83000000007</v>
      </c>
      <c r="H56" s="61">
        <f t="shared" si="13"/>
        <v>0</v>
      </c>
      <c r="I56" s="39">
        <f t="shared" si="13"/>
        <v>-1581965.1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-1581965.1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0">
        <v>0</v>
      </c>
      <c r="E70" s="38">
        <v>250999.06</v>
      </c>
      <c r="F70" s="60">
        <f>H70-D70</f>
        <v>0</v>
      </c>
      <c r="G70" s="37">
        <f>I70-E70</f>
        <v>517386.60000000003</v>
      </c>
      <c r="H70" s="60">
        <f>'TX-EGM-FLSH'!H70+'TX-HPLR-FLSH'!H70+'TX-HPLC-FLSH'!H70</f>
        <v>0</v>
      </c>
      <c r="I70" s="38">
        <f>'TX-EGM-FLSH'!I70+'TX-HPLR-FLSH'!I70+'TX-HPLC-FLSH'!I70</f>
        <v>768385.66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768385.66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38">
        <v>-1054678</v>
      </c>
      <c r="F71" s="60">
        <f>H71-D71</f>
        <v>0</v>
      </c>
      <c r="G71" s="37">
        <f>I71-E71</f>
        <v>332421</v>
      </c>
      <c r="H71" s="60">
        <f>'TX-EGM-FLSH'!H71+'TX-HPLR-FLSH'!H71+'TX-HPLC-FLSH'!H71</f>
        <v>0</v>
      </c>
      <c r="I71" s="38">
        <f>'TX-EGM-FLSH'!I71+'TX-HPLR-FLSH'!I71+'TX-HPLC-FLSH'!I71</f>
        <v>-722257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-722257</v>
      </c>
    </row>
    <row r="72" spans="1:13" x14ac:dyDescent="0.25">
      <c r="A72" s="9"/>
      <c r="B72" s="3"/>
      <c r="C72" s="55" t="s">
        <v>70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849807.60000000009</v>
      </c>
      <c r="H72" s="61">
        <f t="shared" si="16"/>
        <v>0</v>
      </c>
      <c r="I72" s="39">
        <f t="shared" si="16"/>
        <v>46128.660000000033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46128.660000000033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-450774.1</v>
      </c>
      <c r="H74" s="60">
        <f>'TX-EGM-FLSH'!H74+'TX-HPLR-FLSH'!H74+'TX-HPLC-FLSH'!H74</f>
        <v>0</v>
      </c>
      <c r="I74" s="38">
        <f>'TX-EGM-FLSH'!I74+'TX-HPLR-FLSH'!I74+'TX-HPLC-FLSH'!I74</f>
        <v>568974.31000000006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568974.31000000006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-24310</v>
      </c>
      <c r="H75" s="60">
        <f>'TX-EGM-FLSH'!H75+'TX-HPLR-FLSH'!H75+'TX-HPLC-FLSH'!H75</f>
        <v>0</v>
      </c>
      <c r="I75" s="38">
        <f>'TX-EGM-FLSH'!I75+'TX-HPLR-FLSH'!I75+'TX-HPLC-FLSH'!I75</f>
        <v>56890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56890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-11831</v>
      </c>
      <c r="H76" s="60">
        <f>'TX-EGM-FLSH'!H76+'TX-HPLR-FLSH'!H76+'TX-HPLC-FLSH'!H76</f>
        <v>0</v>
      </c>
      <c r="I76" s="38">
        <f>'TX-EGM-FLSH'!I76+'TX-HPLR-FLSH'!I76+'TX-HPLC-FLSH'!I76</f>
        <v>-15891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-15891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5000</v>
      </c>
      <c r="H77" s="60">
        <f>'TX-EGM-FLSH'!H77+'TX-HPLR-FLSH'!H77+'TX-HPLC-FLSH'!H77</f>
        <v>0</v>
      </c>
      <c r="I77" s="38">
        <f>'TX-EGM-FLSH'!I77+'TX-HPLR-FLSH'!I77+'TX-HPLC-FLSH'!I77</f>
        <v>-103300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-103300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38">
        <v>0</v>
      </c>
      <c r="F81" s="60">
        <f t="shared" si="18"/>
        <v>0</v>
      </c>
      <c r="G81" s="37">
        <f t="shared" si="18"/>
        <v>-134929</v>
      </c>
      <c r="H81" s="60">
        <f>'TX-EGM-FLSH'!H81+'TX-HPLR-FLSH'!H81+'TX-HPLC-FLSH'!H81</f>
        <v>0</v>
      </c>
      <c r="I81" s="38">
        <f>'TX-EGM-FLSH'!I81+'TX-HPLR-FLSH'!I81+'TX-HPLC-FLSH'!I81</f>
        <v>-134929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-134929</v>
      </c>
    </row>
    <row r="82" spans="1:67" s="44" customFormat="1" ht="20.25" customHeight="1" thickBot="1" x14ac:dyDescent="0.3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-409995.02496867394</v>
      </c>
      <c r="H82" s="73">
        <f>H16+H24+H29+H36+H43+H45+H47+H49</f>
        <v>0</v>
      </c>
      <c r="I82" s="74">
        <f>SUM(I72:I81)+I16+I24+I29+I36+I43+I45+I47+I49+I51+I56+I61+I66</f>
        <v>1162173.0414769389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1162173.0414769389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172</v>
      </c>
      <c r="B85" s="3"/>
      <c r="E85" s="31">
        <f>+'TX-HPLR-FLSH'!E82+'TX-EGM-FLSH'!E82</f>
        <v>972230.28220931697</v>
      </c>
    </row>
    <row r="86" spans="1:67" s="3" customFormat="1" x14ac:dyDescent="0.25">
      <c r="A86" s="173"/>
      <c r="C86" s="10" t="s">
        <v>173</v>
      </c>
      <c r="D86" s="177">
        <f>'TX-EGM-FLSH'!D86+'TX-HPLR-FLSH'!D86</f>
        <v>0</v>
      </c>
      <c r="E86" s="177">
        <f>'TX-EGM-FLSH'!E86+'TX-HPLR-FLSH'!E86</f>
        <v>-92073</v>
      </c>
      <c r="F86" s="177">
        <f>'TX-EGM-FLSH'!F86+'TX-HPLR-FLSH'!F86</f>
        <v>0</v>
      </c>
      <c r="G86" s="177">
        <f>'TX-EGM-FLSH'!G86+'TX-HPLR-FLSH'!G86</f>
        <v>0</v>
      </c>
      <c r="H86" s="177">
        <f>'TX-EGM-FLSH'!H86+'TX-HPLR-FLSH'!H86+'TX-HPLC-FLSH'!H86</f>
        <v>0</v>
      </c>
      <c r="I86" s="177">
        <f>'TX-EGM-FLSH'!I86+'TX-HPLR-FLSH'!I86+'TX-HPLC-FLSH'!I86</f>
        <v>-92073</v>
      </c>
      <c r="J86" s="177">
        <f>'TX-EGM-FLSH'!J86+'TX-HPLR-FLSH'!J86</f>
        <v>0</v>
      </c>
      <c r="K86" s="177">
        <f>'TX-EGM-FLSH'!K86+'TX-HPLR-FLSH'!K86</f>
        <v>0</v>
      </c>
      <c r="L86" s="177">
        <f>'TX-EGM-FLSH'!L86+'TX-HPLR-FLSH'!L86</f>
        <v>0</v>
      </c>
      <c r="M86" s="177">
        <f>'TX-EGM-FLSH'!M86+'TX-HPLR-FLSH'!M86</f>
        <v>-92073</v>
      </c>
    </row>
    <row r="87" spans="1:67" s="3" customFormat="1" x14ac:dyDescent="0.25">
      <c r="A87" s="173"/>
      <c r="C87" s="10" t="s">
        <v>72</v>
      </c>
      <c r="D87" s="178">
        <f>'TX-EGM-FLSH'!D87+'TX-HPLR-FLSH'!D87</f>
        <v>0</v>
      </c>
      <c r="E87" s="178">
        <f>'TX-EGM-FLSH'!E87+'TX-HPLR-FLSH'!E87</f>
        <v>0</v>
      </c>
      <c r="F87" s="178">
        <f>'TX-EGM-FLSH'!F87+'TX-HPLR-FLSH'!F87</f>
        <v>0</v>
      </c>
      <c r="G87" s="178">
        <f>'TX-EGM-FLSH'!G87+'TX-HPLR-FLSH'!G87</f>
        <v>0</v>
      </c>
      <c r="H87" s="178">
        <f>'TX-EGM-FLSH'!H87+'TX-HPLR-FLSH'!H87+'TX-HPLC-FLSH'!H87</f>
        <v>0</v>
      </c>
      <c r="I87" s="178">
        <f>'TX-EGM-FLSH'!I87+'TX-HPLR-FLSH'!I87+'TX-HPLC-FLSH'!I87</f>
        <v>0</v>
      </c>
      <c r="J87" s="178">
        <f>'TX-EGM-FLSH'!J87+'TX-HPLR-FLSH'!J87</f>
        <v>0</v>
      </c>
      <c r="K87" s="178">
        <f>'TX-EGM-FLSH'!K87+'TX-HPLR-FLSH'!K87</f>
        <v>0</v>
      </c>
      <c r="L87" s="178">
        <f>'TX-EGM-FLSH'!L87+'TX-HPLR-FLSH'!L87</f>
        <v>0</v>
      </c>
      <c r="M87" s="178">
        <f>'TX-EGM-FLSH'!M87+'TX-HPLR-FLSH'!M87</f>
        <v>0</v>
      </c>
    </row>
    <row r="88" spans="1:67" s="3" customFormat="1" x14ac:dyDescent="0.25">
      <c r="A88" s="173"/>
      <c r="C88" s="10" t="s">
        <v>73</v>
      </c>
      <c r="D88" s="179">
        <f>'TX-EGM-FLSH'!D88+'TX-HPLR-FLSH'!D88</f>
        <v>0</v>
      </c>
      <c r="E88" s="179">
        <f>'TX-EGM-FLSH'!E88+'TX-HPLR-FLSH'!E88</f>
        <v>0</v>
      </c>
      <c r="F88" s="179">
        <f>'TX-EGM-FLSH'!F88+'TX-HPLR-FLSH'!F88</f>
        <v>0</v>
      </c>
      <c r="G88" s="179">
        <f>'TX-EGM-FLSH'!G88+'TX-HPLR-FLSH'!G88</f>
        <v>0</v>
      </c>
      <c r="H88" s="179">
        <f>'TX-EGM-FLSH'!H88+'TX-HPLR-FLSH'!H88+'TX-HPLC-FLSH'!H88</f>
        <v>0</v>
      </c>
      <c r="I88" s="179">
        <f>'TX-EGM-FLSH'!I88+'TX-HPLR-FLSH'!I88+'TX-HPLC-FLSH'!I88</f>
        <v>0</v>
      </c>
      <c r="J88" s="179">
        <f>'TX-EGM-FLSH'!J88+'TX-HPLR-FLSH'!J88</f>
        <v>0</v>
      </c>
      <c r="K88" s="179">
        <f>'TX-EGM-FLSH'!K88+'TX-HPLR-FLSH'!K88</f>
        <v>0</v>
      </c>
      <c r="L88" s="179">
        <f>'TX-EGM-FLSH'!L88+'TX-HPLR-FLSH'!L88</f>
        <v>0</v>
      </c>
      <c r="M88" s="179">
        <f>'TX-EGM-FLSH'!M88+'TX-HPLR-FLSH'!M88</f>
        <v>0</v>
      </c>
    </row>
    <row r="89" spans="1:67" s="44" customFormat="1" ht="20.25" customHeight="1" x14ac:dyDescent="0.25">
      <c r="A89" s="180"/>
      <c r="B89" s="181"/>
      <c r="C89" s="182" t="s">
        <v>176</v>
      </c>
      <c r="D89" s="184">
        <f>SUM(D86:D88)</f>
        <v>0</v>
      </c>
      <c r="E89" s="184">
        <f t="shared" ref="E89:M89" si="19">SUM(E86:E88)</f>
        <v>-92073</v>
      </c>
      <c r="F89" s="184">
        <f t="shared" si="19"/>
        <v>0</v>
      </c>
      <c r="G89" s="184">
        <f t="shared" si="19"/>
        <v>0</v>
      </c>
      <c r="H89" s="184">
        <f t="shared" si="19"/>
        <v>0</v>
      </c>
      <c r="I89" s="184">
        <f t="shared" si="19"/>
        <v>-92073</v>
      </c>
      <c r="J89" s="184">
        <f t="shared" si="19"/>
        <v>0</v>
      </c>
      <c r="K89" s="184">
        <f t="shared" si="19"/>
        <v>0</v>
      </c>
      <c r="L89" s="184">
        <f t="shared" si="19"/>
        <v>0</v>
      </c>
      <c r="M89" s="184">
        <f t="shared" si="19"/>
        <v>-92073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0"/>
      <c r="B91" s="181"/>
      <c r="C91" s="182" t="s">
        <v>174</v>
      </c>
      <c r="D91" s="184">
        <f>+D82+D89</f>
        <v>0</v>
      </c>
      <c r="E91" s="184">
        <f t="shared" ref="E91:M91" si="20">+E82+E89</f>
        <v>1480095.0664456128</v>
      </c>
      <c r="F91" s="184">
        <f t="shared" si="20"/>
        <v>0</v>
      </c>
      <c r="G91" s="184">
        <f t="shared" si="20"/>
        <v>-409995.02496867394</v>
      </c>
      <c r="H91" s="184">
        <f t="shared" si="20"/>
        <v>0</v>
      </c>
      <c r="I91" s="184">
        <f t="shared" si="20"/>
        <v>1070100.0414769389</v>
      </c>
      <c r="J91" s="184">
        <f t="shared" si="20"/>
        <v>0</v>
      </c>
      <c r="K91" s="184">
        <f t="shared" si="20"/>
        <v>0</v>
      </c>
      <c r="L91" s="184">
        <f t="shared" si="20"/>
        <v>0</v>
      </c>
      <c r="M91" s="184">
        <f t="shared" si="20"/>
        <v>1070100.0414769389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2" sqref="E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32342727</v>
      </c>
      <c r="E11" s="65">
        <v>69312647</v>
      </c>
      <c r="F11" s="60">
        <f>H11-D11</f>
        <v>0</v>
      </c>
      <c r="G11" s="37">
        <f>I11-E11</f>
        <v>0</v>
      </c>
      <c r="H11" s="65">
        <f>D11</f>
        <v>32342727</v>
      </c>
      <c r="I11" s="66">
        <f>E11</f>
        <v>69312647</v>
      </c>
      <c r="J11" s="60"/>
      <c r="K11" s="38"/>
      <c r="L11" s="60">
        <f t="shared" ref="L11:M15" si="0">H11+J11</f>
        <v>32342727</v>
      </c>
      <c r="M11" s="38">
        <f t="shared" si="0"/>
        <v>69312647</v>
      </c>
    </row>
    <row r="12" spans="1:26" x14ac:dyDescent="0.25">
      <c r="A12" s="9">
        <v>2</v>
      </c>
      <c r="B12" s="7"/>
      <c r="C12" s="18" t="s">
        <v>27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5">
        <v>21139267</v>
      </c>
      <c r="E13" s="65">
        <v>45804400</v>
      </c>
      <c r="F13" s="60">
        <f t="shared" si="1"/>
        <v>0</v>
      </c>
      <c r="G13" s="37">
        <f t="shared" si="1"/>
        <v>0</v>
      </c>
      <c r="H13" s="65">
        <f t="shared" si="2"/>
        <v>21139267</v>
      </c>
      <c r="I13" s="66">
        <f t="shared" si="2"/>
        <v>45804400</v>
      </c>
      <c r="J13" s="60"/>
      <c r="K13" s="38"/>
      <c r="L13" s="60">
        <f t="shared" si="0"/>
        <v>21139267</v>
      </c>
      <c r="M13" s="38">
        <f t="shared" si="0"/>
        <v>45804400</v>
      </c>
    </row>
    <row r="14" spans="1:26" x14ac:dyDescent="0.25">
      <c r="A14" s="9">
        <v>4</v>
      </c>
      <c r="B14" s="7"/>
      <c r="C14" s="18" t="s">
        <v>29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53481994</v>
      </c>
      <c r="E16" s="39">
        <v>115117047</v>
      </c>
      <c r="F16" s="61">
        <f t="shared" ref="F16:M16" si="3">SUM(F11:F15)</f>
        <v>0</v>
      </c>
      <c r="G16" s="39">
        <f t="shared" si="3"/>
        <v>0</v>
      </c>
      <c r="H16" s="61">
        <f>SUM(H11:H15)</f>
        <v>53481994</v>
      </c>
      <c r="I16" s="39">
        <f>SUM(I11:I15)</f>
        <v>115117047</v>
      </c>
      <c r="J16" s="61">
        <f t="shared" si="3"/>
        <v>0</v>
      </c>
      <c r="K16" s="39">
        <f t="shared" si="3"/>
        <v>0</v>
      </c>
      <c r="L16" s="61">
        <f t="shared" si="3"/>
        <v>53481994</v>
      </c>
      <c r="M16" s="39">
        <f t="shared" si="3"/>
        <v>115117047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5">
        <v>-30998801</v>
      </c>
      <c r="E19" s="65">
        <v>-64763316</v>
      </c>
      <c r="F19" s="60">
        <f>H19-D19</f>
        <v>0</v>
      </c>
      <c r="G19" s="37">
        <f>I19-E19</f>
        <v>0</v>
      </c>
      <c r="H19" s="65">
        <f t="shared" si="4"/>
        <v>-30998801</v>
      </c>
      <c r="I19" s="66">
        <f t="shared" si="4"/>
        <v>-64763316</v>
      </c>
      <c r="J19" s="60"/>
      <c r="K19" s="38"/>
      <c r="L19" s="60">
        <f t="shared" ref="L19:M23" si="5">H19+J19</f>
        <v>-30998801</v>
      </c>
      <c r="M19" s="38">
        <f t="shared" si="5"/>
        <v>-64763316</v>
      </c>
    </row>
    <row r="20" spans="1:13" x14ac:dyDescent="0.25">
      <c r="A20" s="9">
        <v>7</v>
      </c>
      <c r="B20" s="7"/>
      <c r="C20" s="18" t="s">
        <v>27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5">
        <v>-22756694</v>
      </c>
      <c r="E21" s="65">
        <v>-49167379</v>
      </c>
      <c r="F21" s="60">
        <f t="shared" si="6"/>
        <v>0</v>
      </c>
      <c r="G21" s="37">
        <f t="shared" si="6"/>
        <v>0</v>
      </c>
      <c r="H21" s="65">
        <f t="shared" si="4"/>
        <v>-22756694</v>
      </c>
      <c r="I21" s="66">
        <f t="shared" si="4"/>
        <v>-49167379</v>
      </c>
      <c r="J21" s="60"/>
      <c r="K21" s="38"/>
      <c r="L21" s="60">
        <f t="shared" si="5"/>
        <v>-22756694</v>
      </c>
      <c r="M21" s="38">
        <f t="shared" si="5"/>
        <v>-49167379</v>
      </c>
    </row>
    <row r="22" spans="1:13" x14ac:dyDescent="0.25">
      <c r="A22" s="9">
        <v>9</v>
      </c>
      <c r="B22" s="7"/>
      <c r="C22" s="18" t="s">
        <v>29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5">
        <v>278223</v>
      </c>
      <c r="E23" s="65">
        <v>563822</v>
      </c>
      <c r="F23" s="60">
        <f t="shared" si="6"/>
        <v>0</v>
      </c>
      <c r="G23" s="37">
        <f t="shared" si="6"/>
        <v>0</v>
      </c>
      <c r="H23" s="65">
        <f t="shared" si="4"/>
        <v>278223</v>
      </c>
      <c r="I23" s="66">
        <f t="shared" si="4"/>
        <v>563822</v>
      </c>
      <c r="J23" s="60"/>
      <c r="K23" s="38"/>
      <c r="L23" s="60">
        <f t="shared" si="5"/>
        <v>278223</v>
      </c>
      <c r="M23" s="38">
        <f t="shared" si="5"/>
        <v>563822</v>
      </c>
    </row>
    <row r="24" spans="1:13" x14ac:dyDescent="0.25">
      <c r="A24" s="9"/>
      <c r="B24" s="7" t="s">
        <v>34</v>
      </c>
      <c r="C24" s="6"/>
      <c r="D24" s="61">
        <v>-53477272</v>
      </c>
      <c r="E24" s="39">
        <v>-113366873</v>
      </c>
      <c r="F24" s="61">
        <f t="shared" ref="F24:M24" si="7">SUM(F19:F23)</f>
        <v>0</v>
      </c>
      <c r="G24" s="39">
        <f t="shared" si="7"/>
        <v>0</v>
      </c>
      <c r="H24" s="61">
        <f>SUM(H19:H23)</f>
        <v>-53477272</v>
      </c>
      <c r="I24" s="39">
        <f>SUM(I19:I23)</f>
        <v>-113366873</v>
      </c>
      <c r="J24" s="61">
        <f t="shared" si="7"/>
        <v>0</v>
      </c>
      <c r="K24" s="39">
        <f t="shared" si="7"/>
        <v>0</v>
      </c>
      <c r="L24" s="61">
        <f t="shared" si="7"/>
        <v>-53477272</v>
      </c>
      <c r="M24" s="39">
        <f t="shared" si="7"/>
        <v>-113366873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5">
        <v>-37334</v>
      </c>
      <c r="E32" s="65">
        <v>-107909</v>
      </c>
      <c r="F32" s="60">
        <f>H32-D32</f>
        <v>0</v>
      </c>
      <c r="G32" s="37">
        <f>I32-E32</f>
        <v>0</v>
      </c>
      <c r="H32" s="65">
        <f t="shared" ref="H32:I35" si="9">D32</f>
        <v>-37334</v>
      </c>
      <c r="I32" s="66">
        <f t="shared" si="9"/>
        <v>-107909</v>
      </c>
      <c r="J32" s="60"/>
      <c r="K32" s="38"/>
      <c r="L32" s="60">
        <f t="shared" ref="L32:M35" si="10">H32+J32</f>
        <v>-37334</v>
      </c>
      <c r="M32" s="38">
        <f t="shared" si="10"/>
        <v>-107909</v>
      </c>
    </row>
    <row r="33" spans="1:13" x14ac:dyDescent="0.25">
      <c r="A33" s="9">
        <v>14</v>
      </c>
      <c r="B33" s="7"/>
      <c r="C33" s="18" t="s">
        <v>41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5">
        <v>50948</v>
      </c>
      <c r="E35" s="65">
        <v>130305</v>
      </c>
      <c r="F35" s="60">
        <f t="shared" si="11"/>
        <v>0</v>
      </c>
      <c r="G35" s="37">
        <f t="shared" si="11"/>
        <v>0</v>
      </c>
      <c r="H35" s="65">
        <f t="shared" si="9"/>
        <v>50948</v>
      </c>
      <c r="I35" s="66">
        <f t="shared" si="9"/>
        <v>130305</v>
      </c>
      <c r="J35" s="60"/>
      <c r="K35" s="38"/>
      <c r="L35" s="60">
        <f t="shared" si="10"/>
        <v>50948</v>
      </c>
      <c r="M35" s="38">
        <f t="shared" si="10"/>
        <v>130305</v>
      </c>
    </row>
    <row r="36" spans="1:13" x14ac:dyDescent="0.25">
      <c r="A36" s="9"/>
      <c r="B36" s="7" t="s">
        <v>44</v>
      </c>
      <c r="C36" s="6"/>
      <c r="D36" s="61">
        <v>13614</v>
      </c>
      <c r="E36" s="39">
        <v>22396</v>
      </c>
      <c r="F36" s="61">
        <f>SUM(F32:F35)</f>
        <v>0</v>
      </c>
      <c r="G36" s="39">
        <f>SUM(G32:G35)</f>
        <v>0</v>
      </c>
      <c r="H36" s="61">
        <f>SUM(H32:H35)</f>
        <v>13614</v>
      </c>
      <c r="I36" s="39">
        <f>SUM(I32:I35)</f>
        <v>22396</v>
      </c>
      <c r="J36" s="61">
        <f>SUM(J32:J34)</f>
        <v>0</v>
      </c>
      <c r="K36" s="39">
        <f>SUM(K32:K34)</f>
        <v>0</v>
      </c>
      <c r="L36" s="61">
        <f>SUM(L32:L35)</f>
        <v>13614</v>
      </c>
      <c r="M36" s="39">
        <f>SUM(M32:M35)</f>
        <v>22396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5">
        <v>18826</v>
      </c>
      <c r="E39" s="65">
        <v>36154</v>
      </c>
      <c r="F39" s="60">
        <f t="shared" ref="F39:G41" si="13">H39-D39</f>
        <v>0</v>
      </c>
      <c r="G39" s="37">
        <f t="shared" si="13"/>
        <v>0</v>
      </c>
      <c r="H39" s="65">
        <f t="shared" si="12"/>
        <v>18826</v>
      </c>
      <c r="I39" s="66">
        <f t="shared" si="12"/>
        <v>36154</v>
      </c>
      <c r="J39" s="60"/>
      <c r="K39" s="38"/>
      <c r="L39" s="60">
        <f t="shared" ref="L39:M41" si="14">H39+J39</f>
        <v>18826</v>
      </c>
      <c r="M39" s="38">
        <f t="shared" si="14"/>
        <v>36154</v>
      </c>
    </row>
    <row r="40" spans="1:13" ht="22.5" customHeight="1" x14ac:dyDescent="0.25">
      <c r="A40" s="9">
        <v>18</v>
      </c>
      <c r="B40" s="7"/>
      <c r="C40" s="18" t="s">
        <v>47</v>
      </c>
      <c r="D40" s="65">
        <v>-69727</v>
      </c>
      <c r="E40" s="65">
        <v>-129724</v>
      </c>
      <c r="F40" s="60">
        <f t="shared" si="13"/>
        <v>0</v>
      </c>
      <c r="G40" s="37">
        <f t="shared" si="13"/>
        <v>0</v>
      </c>
      <c r="H40" s="65">
        <f t="shared" si="12"/>
        <v>-69727</v>
      </c>
      <c r="I40" s="66">
        <f t="shared" si="12"/>
        <v>-129724</v>
      </c>
      <c r="J40" s="60"/>
      <c r="K40" s="38"/>
      <c r="L40" s="60">
        <f t="shared" si="14"/>
        <v>-69727</v>
      </c>
      <c r="M40" s="38">
        <f t="shared" si="14"/>
        <v>-129724</v>
      </c>
    </row>
    <row r="41" spans="1:13" x14ac:dyDescent="0.25">
      <c r="A41" s="9">
        <v>19</v>
      </c>
      <c r="B41" s="7"/>
      <c r="C41" s="18" t="s">
        <v>48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-69727</v>
      </c>
      <c r="E42" s="39">
        <v>-129724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-69727</v>
      </c>
      <c r="I42" s="39">
        <f>SUM(I40:I41)</f>
        <v>-129724</v>
      </c>
      <c r="J42" s="61">
        <f t="shared" si="15"/>
        <v>0</v>
      </c>
      <c r="K42" s="39">
        <f t="shared" si="15"/>
        <v>0</v>
      </c>
      <c r="L42" s="61">
        <f t="shared" si="15"/>
        <v>-69727</v>
      </c>
      <c r="M42" s="39">
        <f t="shared" si="15"/>
        <v>-129724</v>
      </c>
    </row>
    <row r="43" spans="1:13" ht="21" customHeight="1" x14ac:dyDescent="0.25">
      <c r="A43" s="9"/>
      <c r="B43" s="7" t="s">
        <v>50</v>
      </c>
      <c r="C43" s="6"/>
      <c r="D43" s="61">
        <v>-50901</v>
      </c>
      <c r="E43" s="39">
        <v>-93570</v>
      </c>
      <c r="F43" s="61">
        <f t="shared" ref="F43:M43" si="16">F42+F39</f>
        <v>0</v>
      </c>
      <c r="G43" s="39">
        <f t="shared" si="16"/>
        <v>0</v>
      </c>
      <c r="H43" s="61">
        <f>H42+H39</f>
        <v>-50901</v>
      </c>
      <c r="I43" s="39">
        <f>I42+I39</f>
        <v>-93570</v>
      </c>
      <c r="J43" s="61">
        <f t="shared" si="16"/>
        <v>0</v>
      </c>
      <c r="K43" s="39">
        <f t="shared" si="16"/>
        <v>0</v>
      </c>
      <c r="L43" s="61">
        <f t="shared" si="16"/>
        <v>-50901</v>
      </c>
      <c r="M43" s="39">
        <f t="shared" si="16"/>
        <v>-93570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5">
        <v>32565</v>
      </c>
      <c r="E49" s="65">
        <v>67967.512630615573</v>
      </c>
      <c r="F49" s="60">
        <f>H49-D49</f>
        <v>0</v>
      </c>
      <c r="G49" s="37">
        <f>I49-E49</f>
        <v>0</v>
      </c>
      <c r="H49" s="65">
        <f>D49</f>
        <v>32565</v>
      </c>
      <c r="I49" s="66">
        <f>E49</f>
        <v>67967.512630615573</v>
      </c>
      <c r="J49" s="60"/>
      <c r="K49" s="38"/>
      <c r="L49" s="60">
        <f>H49+J49</f>
        <v>32565</v>
      </c>
      <c r="M49" s="38">
        <f>I49+K49</f>
        <v>67967.512630615573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5">
        <v>-278223</v>
      </c>
      <c r="E51" s="65">
        <v>-563822</v>
      </c>
      <c r="F51" s="60">
        <f>H51-D51</f>
        <v>0</v>
      </c>
      <c r="G51" s="37">
        <f>I51-E51</f>
        <v>0</v>
      </c>
      <c r="H51" s="65">
        <f>D51</f>
        <v>-278223</v>
      </c>
      <c r="I51" s="66">
        <f>E51</f>
        <v>-563822</v>
      </c>
      <c r="J51" s="60"/>
      <c r="K51" s="38"/>
      <c r="L51" s="60">
        <f>H51+J51</f>
        <v>-278223</v>
      </c>
      <c r="M51" s="38">
        <f>I51+K51</f>
        <v>-563822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5">
        <v>0</v>
      </c>
      <c r="E54" s="65">
        <v>-328269.08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-328269.08</v>
      </c>
      <c r="J54" s="60"/>
      <c r="K54" s="38"/>
      <c r="L54" s="60">
        <f>H54+J54</f>
        <v>0</v>
      </c>
      <c r="M54" s="38">
        <f>I54+K54</f>
        <v>-328269.08</v>
      </c>
    </row>
    <row r="55" spans="1:15" x14ac:dyDescent="0.25">
      <c r="A55" s="9">
        <v>25</v>
      </c>
      <c r="B55" s="7"/>
      <c r="C55" s="18" t="s">
        <v>57</v>
      </c>
      <c r="D55" s="65">
        <v>0</v>
      </c>
      <c r="E55" s="65">
        <v>-1381591.6439499999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-1381591.6439499999</v>
      </c>
      <c r="J55" s="60"/>
      <c r="K55" s="38"/>
      <c r="L55" s="60">
        <f>H55+J55</f>
        <v>0</v>
      </c>
      <c r="M55" s="38">
        <f>I55+K55</f>
        <v>-1381591.6439499999</v>
      </c>
    </row>
    <row r="56" spans="1:15" x14ac:dyDescent="0.25">
      <c r="A56" s="9"/>
      <c r="B56" s="7" t="s">
        <v>58</v>
      </c>
      <c r="C56" s="6"/>
      <c r="D56" s="61">
        <v>0</v>
      </c>
      <c r="E56" s="39">
        <v>-1709860.72395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-1709860.72395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-1709860.72395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5">
        <v>0</v>
      </c>
      <c r="E70" s="65">
        <v>4213356.8099999996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4213356.8099999996</v>
      </c>
      <c r="J70" s="60"/>
      <c r="K70" s="38"/>
      <c r="L70" s="60">
        <f>H70+J70</f>
        <v>0</v>
      </c>
      <c r="M70" s="38">
        <f>I70+K70</f>
        <v>4213356.8099999996</v>
      </c>
    </row>
    <row r="71" spans="1:13" x14ac:dyDescent="0.25">
      <c r="A71" s="9">
        <v>31</v>
      </c>
      <c r="B71" s="3"/>
      <c r="C71" s="10" t="s">
        <v>69</v>
      </c>
      <c r="D71" s="65">
        <v>0</v>
      </c>
      <c r="E71" s="65">
        <v>-2029682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-2029682</v>
      </c>
      <c r="J71" s="60"/>
      <c r="K71" s="38"/>
      <c r="L71" s="60">
        <f>H71+J71</f>
        <v>0</v>
      </c>
      <c r="M71" s="38">
        <f>I71+K71</f>
        <v>-2029682</v>
      </c>
    </row>
    <row r="72" spans="1:13" x14ac:dyDescent="0.25">
      <c r="A72" s="9"/>
      <c r="B72" s="3"/>
      <c r="C72" s="55" t="s">
        <v>70</v>
      </c>
      <c r="D72" s="61">
        <v>0</v>
      </c>
      <c r="E72" s="39">
        <v>2183674.81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2183674.8099999996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2183674.8099999996</v>
      </c>
    </row>
    <row r="73" spans="1:13" x14ac:dyDescent="0.25">
      <c r="A73" s="9">
        <v>32</v>
      </c>
      <c r="B73" s="3"/>
      <c r="C73" s="10" t="s">
        <v>71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72</v>
      </c>
      <c r="D74" s="65">
        <v>0</v>
      </c>
      <c r="E74" s="65">
        <v>-435409.37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-435409.37</v>
      </c>
      <c r="J74" s="60"/>
      <c r="K74" s="38"/>
      <c r="L74" s="60">
        <f t="shared" si="22"/>
        <v>0</v>
      </c>
      <c r="M74" s="38">
        <f t="shared" si="22"/>
        <v>-435409.37</v>
      </c>
    </row>
    <row r="75" spans="1:13" x14ac:dyDescent="0.25">
      <c r="A75" s="9">
        <v>34</v>
      </c>
      <c r="B75" s="3"/>
      <c r="C75" s="10" t="s">
        <v>73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74</v>
      </c>
      <c r="D76" s="65">
        <v>0</v>
      </c>
      <c r="E76" s="65">
        <v>-23158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-23158</v>
      </c>
      <c r="J76" s="60"/>
      <c r="K76" s="38"/>
      <c r="L76" s="60">
        <f t="shared" si="22"/>
        <v>0</v>
      </c>
      <c r="M76" s="38">
        <f t="shared" si="22"/>
        <v>-23158</v>
      </c>
    </row>
    <row r="77" spans="1:13" x14ac:dyDescent="0.25">
      <c r="A77" s="9">
        <v>36</v>
      </c>
      <c r="B77" s="3"/>
      <c r="C77" s="10" t="s">
        <v>75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76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77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78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79</v>
      </c>
      <c r="D81" s="65">
        <v>0</v>
      </c>
      <c r="E81" s="65">
        <v>8921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8921</v>
      </c>
      <c r="J81" s="60"/>
      <c r="K81" s="38"/>
      <c r="L81" s="60">
        <f t="shared" si="22"/>
        <v>0</v>
      </c>
      <c r="M81" s="38">
        <f t="shared" si="22"/>
        <v>8921</v>
      </c>
    </row>
    <row r="82" spans="1:67" s="44" customFormat="1" ht="20.25" customHeight="1" thickBot="1" x14ac:dyDescent="0.3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1207313.228680613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1207313.228680613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1207313.228680613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178</v>
      </c>
      <c r="B85" s="3"/>
    </row>
    <row r="86" spans="1:67" s="3" customFormat="1" x14ac:dyDescent="0.25">
      <c r="A86" s="173"/>
      <c r="C86" s="10" t="s">
        <v>173</v>
      </c>
      <c r="D86" s="174">
        <v>0</v>
      </c>
      <c r="E86" s="174">
        <v>0</v>
      </c>
      <c r="F86" s="174">
        <v>0</v>
      </c>
      <c r="G86" s="174">
        <v>0</v>
      </c>
      <c r="H86" s="174">
        <v>0</v>
      </c>
      <c r="I86" s="174">
        <v>0</v>
      </c>
      <c r="J86" s="174">
        <v>0</v>
      </c>
      <c r="K86" s="174">
        <v>0</v>
      </c>
      <c r="L86" s="174">
        <v>0</v>
      </c>
      <c r="M86" s="174">
        <v>0</v>
      </c>
    </row>
    <row r="87" spans="1:67" s="3" customFormat="1" x14ac:dyDescent="0.25">
      <c r="A87" s="173"/>
      <c r="C87" s="10" t="s">
        <v>72</v>
      </c>
      <c r="D87" s="175">
        <v>0</v>
      </c>
      <c r="E87" s="175">
        <v>0</v>
      </c>
      <c r="F87" s="175">
        <v>0</v>
      </c>
      <c r="G87" s="175">
        <v>0</v>
      </c>
      <c r="H87" s="175">
        <v>0</v>
      </c>
      <c r="I87" s="175">
        <v>0</v>
      </c>
      <c r="J87" s="175">
        <v>0</v>
      </c>
      <c r="K87" s="175">
        <v>0</v>
      </c>
      <c r="L87" s="175">
        <v>0</v>
      </c>
      <c r="M87" s="175">
        <v>0</v>
      </c>
    </row>
    <row r="88" spans="1:67" s="3" customFormat="1" x14ac:dyDescent="0.25">
      <c r="A88" s="173"/>
      <c r="C88" s="10" t="s">
        <v>73</v>
      </c>
      <c r="D88" s="176">
        <v>0</v>
      </c>
      <c r="E88" s="176">
        <v>0</v>
      </c>
      <c r="F88" s="176">
        <v>0</v>
      </c>
      <c r="G88" s="176">
        <v>0</v>
      </c>
      <c r="H88" s="176">
        <v>0</v>
      </c>
      <c r="I88" s="176">
        <v>0</v>
      </c>
      <c r="J88" s="176">
        <v>0</v>
      </c>
      <c r="K88" s="176">
        <v>0</v>
      </c>
      <c r="L88" s="176">
        <v>0</v>
      </c>
      <c r="M88" s="176">
        <v>0</v>
      </c>
    </row>
    <row r="89" spans="1:67" s="44" customFormat="1" ht="20.25" customHeight="1" x14ac:dyDescent="0.25">
      <c r="A89" s="180"/>
      <c r="B89" s="181"/>
      <c r="C89" s="182" t="s">
        <v>176</v>
      </c>
      <c r="D89" s="184">
        <f>SUM(D86:D88)</f>
        <v>0</v>
      </c>
      <c r="E89" s="184">
        <f t="shared" ref="E89:M89" si="24">SUM(E86:E88)</f>
        <v>0</v>
      </c>
      <c r="F89" s="184">
        <f t="shared" si="24"/>
        <v>0</v>
      </c>
      <c r="G89" s="184">
        <f t="shared" si="24"/>
        <v>0</v>
      </c>
      <c r="H89" s="184">
        <f t="shared" si="24"/>
        <v>0</v>
      </c>
      <c r="I89" s="184">
        <f t="shared" si="24"/>
        <v>0</v>
      </c>
      <c r="J89" s="184">
        <f t="shared" si="24"/>
        <v>0</v>
      </c>
      <c r="K89" s="184">
        <f t="shared" si="24"/>
        <v>0</v>
      </c>
      <c r="L89" s="184">
        <f t="shared" si="24"/>
        <v>0</v>
      </c>
      <c r="M89" s="184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0"/>
      <c r="B91" s="181"/>
      <c r="C91" s="182" t="s">
        <v>174</v>
      </c>
      <c r="D91" s="184">
        <f>+D82+D89</f>
        <v>0</v>
      </c>
      <c r="E91" s="184">
        <f t="shared" ref="E91:M91" si="25">+E82+E89</f>
        <v>1207313.228680613</v>
      </c>
      <c r="F91" s="184">
        <f t="shared" si="25"/>
        <v>0</v>
      </c>
      <c r="G91" s="184">
        <f t="shared" si="25"/>
        <v>0</v>
      </c>
      <c r="H91" s="184">
        <f t="shared" si="25"/>
        <v>0</v>
      </c>
      <c r="I91" s="184">
        <f t="shared" si="25"/>
        <v>1207313.228680613</v>
      </c>
      <c r="J91" s="184">
        <f t="shared" si="25"/>
        <v>0</v>
      </c>
      <c r="K91" s="184">
        <f t="shared" si="25"/>
        <v>0</v>
      </c>
      <c r="L91" s="184">
        <f t="shared" si="25"/>
        <v>0</v>
      </c>
      <c r="M91" s="184">
        <f t="shared" si="25"/>
        <v>1207313.228680613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8" activePane="bottomRight" state="frozen"/>
      <selection activeCell="A91" sqref="A91"/>
      <selection pane="topRight" activeCell="A91" sqref="A91"/>
      <selection pane="bottomLeft" activeCell="A91" sqref="A91"/>
      <selection pane="bottomRight" activeCell="F68" sqref="F68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27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29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27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29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34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48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57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61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60"/>
      <c r="E70" s="38">
        <v>5957659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5957659</v>
      </c>
      <c r="J70" s="65"/>
      <c r="K70" s="38"/>
      <c r="L70" s="60">
        <f t="shared" si="21"/>
        <v>0</v>
      </c>
      <c r="M70" s="38">
        <f t="shared" si="21"/>
        <v>5957659</v>
      </c>
    </row>
    <row r="71" spans="1:13" x14ac:dyDescent="0.25">
      <c r="A71" s="9">
        <v>31</v>
      </c>
      <c r="B71" s="3"/>
      <c r="C71" s="10" t="s">
        <v>69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5957659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5957659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5957659</v>
      </c>
    </row>
    <row r="73" spans="1:13" x14ac:dyDescent="0.25">
      <c r="A73" s="9">
        <v>32</v>
      </c>
      <c r="B73" s="3"/>
      <c r="C73" s="10" t="s">
        <v>71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72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73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74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75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76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77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78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79</v>
      </c>
      <c r="D81" s="60"/>
      <c r="E81" s="38">
        <f>1292000-5957659</f>
        <v>-4665659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207">
        <f t="shared" si="23"/>
        <v>-4665659</v>
      </c>
      <c r="J81" s="60"/>
      <c r="K81" s="38"/>
      <c r="L81" s="60">
        <f t="shared" si="24"/>
        <v>0</v>
      </c>
      <c r="M81" s="38">
        <f t="shared" si="24"/>
        <v>-4665659</v>
      </c>
    </row>
    <row r="82" spans="1:67" s="44" customFormat="1" ht="20.25" customHeight="1" thickBot="1" x14ac:dyDescent="0.3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1292000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1292000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1292000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C62" zoomScale="75" workbookViewId="0">
      <selection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11934458</v>
      </c>
      <c r="E11" s="38">
        <v>27364164</v>
      </c>
      <c r="F11" s="60">
        <f>H11-D11</f>
        <v>0</v>
      </c>
      <c r="G11" s="37">
        <f>I11-E11</f>
        <v>0</v>
      </c>
      <c r="H11" s="65">
        <f>D11</f>
        <v>11934458</v>
      </c>
      <c r="I11" s="66">
        <f>E11</f>
        <v>27364164</v>
      </c>
      <c r="J11" s="60"/>
      <c r="K11" s="38"/>
      <c r="L11" s="60">
        <f t="shared" ref="L11:M15" si="0">H11+J11</f>
        <v>11934458</v>
      </c>
      <c r="M11" s="38">
        <f t="shared" si="0"/>
        <v>27364164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4092265</v>
      </c>
      <c r="E13" s="38">
        <v>9421115</v>
      </c>
      <c r="F13" s="60">
        <f t="shared" si="1"/>
        <v>0</v>
      </c>
      <c r="G13" s="37">
        <f t="shared" si="1"/>
        <v>0</v>
      </c>
      <c r="H13" s="65">
        <f t="shared" si="2"/>
        <v>4092265</v>
      </c>
      <c r="I13" s="66">
        <f t="shared" si="2"/>
        <v>9421115</v>
      </c>
      <c r="J13" s="60"/>
      <c r="K13" s="38"/>
      <c r="L13" s="60">
        <f t="shared" si="0"/>
        <v>4092265</v>
      </c>
      <c r="M13" s="38">
        <f t="shared" si="0"/>
        <v>9421115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16026723</v>
      </c>
      <c r="E16" s="39">
        <v>36785279</v>
      </c>
      <c r="F16" s="61">
        <f t="shared" ref="F16:M16" si="3">SUM(F11:F15)</f>
        <v>0</v>
      </c>
      <c r="G16" s="39">
        <f t="shared" si="3"/>
        <v>0</v>
      </c>
      <c r="H16" s="61">
        <f>SUM(H11:H15)</f>
        <v>16026723</v>
      </c>
      <c r="I16" s="39">
        <f>SUM(I11:I15)</f>
        <v>36785279</v>
      </c>
      <c r="J16" s="61">
        <f t="shared" si="3"/>
        <v>0</v>
      </c>
      <c r="K16" s="39">
        <f t="shared" si="3"/>
        <v>0</v>
      </c>
      <c r="L16" s="61">
        <f t="shared" si="3"/>
        <v>16026723</v>
      </c>
      <c r="M16" s="39">
        <f t="shared" si="3"/>
        <v>36785279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-11941111</v>
      </c>
      <c r="E19" s="38">
        <v>-27369207</v>
      </c>
      <c r="F19" s="60">
        <f>H19-D19</f>
        <v>0</v>
      </c>
      <c r="G19" s="37">
        <f>I19-E19</f>
        <v>0</v>
      </c>
      <c r="H19" s="65">
        <f t="shared" si="4"/>
        <v>-11941111</v>
      </c>
      <c r="I19" s="66">
        <f t="shared" si="4"/>
        <v>-27369207</v>
      </c>
      <c r="J19" s="60"/>
      <c r="K19" s="38"/>
      <c r="L19" s="60">
        <f t="shared" ref="L19:M23" si="5">H19+J19</f>
        <v>-11941111</v>
      </c>
      <c r="M19" s="38">
        <f t="shared" si="5"/>
        <v>-27369207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-4094437</v>
      </c>
      <c r="E21" s="38">
        <v>-9482021</v>
      </c>
      <c r="F21" s="60">
        <f t="shared" si="6"/>
        <v>0</v>
      </c>
      <c r="G21" s="37">
        <f t="shared" si="6"/>
        <v>0</v>
      </c>
      <c r="H21" s="65">
        <f t="shared" si="4"/>
        <v>-4094437</v>
      </c>
      <c r="I21" s="66">
        <f t="shared" si="4"/>
        <v>-9482021</v>
      </c>
      <c r="J21" s="60"/>
      <c r="K21" s="38"/>
      <c r="L21" s="60">
        <f t="shared" si="5"/>
        <v>-4094437</v>
      </c>
      <c r="M21" s="38">
        <f t="shared" si="5"/>
        <v>-9482021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34</v>
      </c>
      <c r="C24" s="6"/>
      <c r="D24" s="61">
        <v>-16035548</v>
      </c>
      <c r="E24" s="39">
        <v>-36851228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-16035548</v>
      </c>
      <c r="I24" s="39">
        <f>SUM(I19:I23)</f>
        <v>-36851228</v>
      </c>
      <c r="J24" s="61">
        <f t="shared" si="7"/>
        <v>0</v>
      </c>
      <c r="K24" s="39">
        <f t="shared" si="7"/>
        <v>0</v>
      </c>
      <c r="L24" s="61">
        <f t="shared" si="7"/>
        <v>-16035548</v>
      </c>
      <c r="M24" s="39">
        <f t="shared" si="7"/>
        <v>-36851228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8825</v>
      </c>
      <c r="E49" s="38">
        <v>23033.25</v>
      </c>
      <c r="F49" s="60">
        <f>H49-D49</f>
        <v>0</v>
      </c>
      <c r="G49" s="37">
        <f>I49-E49</f>
        <v>0</v>
      </c>
      <c r="H49" s="65">
        <f>D49</f>
        <v>8825</v>
      </c>
      <c r="I49" s="66">
        <f>E49</f>
        <v>23033.25</v>
      </c>
      <c r="J49" s="60"/>
      <c r="K49" s="38"/>
      <c r="L49" s="60">
        <f>H49+J49</f>
        <v>8825</v>
      </c>
      <c r="M49" s="38">
        <f>I49+K49</f>
        <v>23033.25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60">
        <v>0</v>
      </c>
      <c r="E70" s="38">
        <v>-1156439.7147876816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-1156439.7147876816</v>
      </c>
      <c r="J70" s="65"/>
      <c r="K70" s="38"/>
      <c r="L70" s="60">
        <f t="shared" si="20"/>
        <v>0</v>
      </c>
      <c r="M70" s="38">
        <f t="shared" si="20"/>
        <v>-1156439.7147876816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38">
        <v>1203656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1203656</v>
      </c>
      <c r="J71" s="65"/>
      <c r="K71" s="38"/>
      <c r="L71" s="60">
        <f t="shared" si="20"/>
        <v>0</v>
      </c>
      <c r="M71" s="38">
        <f t="shared" si="20"/>
        <v>1203656</v>
      </c>
    </row>
    <row r="72" spans="1:13" x14ac:dyDescent="0.25">
      <c r="A72" s="9"/>
      <c r="B72" s="3"/>
      <c r="C72" s="55" t="s">
        <v>70</v>
      </c>
      <c r="D72" s="61">
        <v>0</v>
      </c>
      <c r="E72" s="39">
        <v>47216.285212318413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47216.285212318413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47216.285212318413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38">
        <v>464350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464350</v>
      </c>
      <c r="J74" s="60"/>
      <c r="K74" s="38"/>
      <c r="L74" s="60">
        <f t="shared" si="23"/>
        <v>0</v>
      </c>
      <c r="M74" s="38">
        <f t="shared" si="23"/>
        <v>464350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38">
        <v>-440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-440</v>
      </c>
      <c r="J76" s="60"/>
      <c r="K76" s="38"/>
      <c r="L76" s="60">
        <f t="shared" si="23"/>
        <v>0</v>
      </c>
      <c r="M76" s="38">
        <f t="shared" si="23"/>
        <v>-440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79</v>
      </c>
      <c r="D81" s="60">
        <v>0</v>
      </c>
      <c r="E81" s="38">
        <v>-23960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-23960</v>
      </c>
      <c r="J81" s="60"/>
      <c r="K81" s="38"/>
      <c r="L81" s="60">
        <f t="shared" si="23"/>
        <v>0</v>
      </c>
      <c r="M81" s="38">
        <f t="shared" si="23"/>
        <v>-23960</v>
      </c>
    </row>
    <row r="82" spans="1:13" s="2" customFormat="1" ht="20.25" customHeight="1" thickBot="1" x14ac:dyDescent="0.3">
      <c r="A82" s="95"/>
      <c r="B82" s="30"/>
      <c r="C82" s="96" t="s">
        <v>175</v>
      </c>
      <c r="D82" s="73">
        <f>D16+D24+D29+D36+D43+D45+D47+D49</f>
        <v>0</v>
      </c>
      <c r="E82" s="74">
        <f>SUM(E72:E81)+E16+E24+E29+E36+E43+E45+E47+E49+E51+E56+E61+E66</f>
        <v>444250.53521231562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444250.53521231562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444250.53521231562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170</v>
      </c>
      <c r="B85" s="3"/>
      <c r="L85" s="45"/>
    </row>
    <row r="86" spans="1:13" s="3" customFormat="1" x14ac:dyDescent="0.25">
      <c r="A86" s="173"/>
      <c r="C86" s="10" t="s">
        <v>173</v>
      </c>
      <c r="D86" s="177">
        <v>0</v>
      </c>
      <c r="E86" s="177">
        <v>109108</v>
      </c>
      <c r="F86" s="177">
        <f t="shared" ref="F86:G88" si="25">H86-D86</f>
        <v>0</v>
      </c>
      <c r="G86" s="177">
        <f t="shared" si="25"/>
        <v>0</v>
      </c>
      <c r="H86" s="177">
        <f t="shared" ref="H86:I88" si="26">D86</f>
        <v>0</v>
      </c>
      <c r="I86" s="177">
        <f t="shared" si="26"/>
        <v>109108</v>
      </c>
      <c r="J86" s="177"/>
      <c r="K86" s="177"/>
      <c r="L86" s="177">
        <f t="shared" ref="L86:M88" si="27">H86+J86</f>
        <v>0</v>
      </c>
      <c r="M86" s="177">
        <f t="shared" si="27"/>
        <v>109108</v>
      </c>
    </row>
    <row r="87" spans="1:13" s="3" customFormat="1" x14ac:dyDescent="0.25">
      <c r="A87" s="173"/>
      <c r="C87" s="10" t="s">
        <v>72</v>
      </c>
      <c r="D87" s="178">
        <v>0</v>
      </c>
      <c r="E87" s="178">
        <v>0</v>
      </c>
      <c r="F87" s="178">
        <f t="shared" si="25"/>
        <v>0</v>
      </c>
      <c r="G87" s="178">
        <f t="shared" si="25"/>
        <v>0</v>
      </c>
      <c r="H87" s="178">
        <f t="shared" si="26"/>
        <v>0</v>
      </c>
      <c r="I87" s="178">
        <f t="shared" si="26"/>
        <v>0</v>
      </c>
      <c r="J87" s="178"/>
      <c r="K87" s="178"/>
      <c r="L87" s="178">
        <f t="shared" si="27"/>
        <v>0</v>
      </c>
      <c r="M87" s="178">
        <f t="shared" si="27"/>
        <v>0</v>
      </c>
    </row>
    <row r="88" spans="1:13" s="3" customFormat="1" x14ac:dyDescent="0.25">
      <c r="A88" s="173"/>
      <c r="C88" s="10" t="s">
        <v>73</v>
      </c>
      <c r="D88" s="179">
        <v>0</v>
      </c>
      <c r="E88" s="179">
        <v>0</v>
      </c>
      <c r="F88" s="179">
        <f t="shared" si="25"/>
        <v>0</v>
      </c>
      <c r="G88" s="179">
        <f t="shared" si="25"/>
        <v>0</v>
      </c>
      <c r="H88" s="179">
        <f t="shared" si="26"/>
        <v>0</v>
      </c>
      <c r="I88" s="179">
        <f t="shared" si="26"/>
        <v>0</v>
      </c>
      <c r="J88" s="179"/>
      <c r="K88" s="179"/>
      <c r="L88" s="179">
        <f t="shared" si="27"/>
        <v>0</v>
      </c>
      <c r="M88" s="179">
        <f t="shared" si="27"/>
        <v>0</v>
      </c>
    </row>
    <row r="89" spans="1:13" s="2" customFormat="1" ht="20.25" customHeight="1" x14ac:dyDescent="0.25">
      <c r="A89" s="173"/>
      <c r="B89" s="4"/>
      <c r="C89" s="183" t="s">
        <v>176</v>
      </c>
      <c r="D89" s="184">
        <f>SUM(D86:D88)</f>
        <v>0</v>
      </c>
      <c r="E89" s="184">
        <f t="shared" ref="E89:M89" si="28">SUM(E86:E88)</f>
        <v>109108</v>
      </c>
      <c r="F89" s="184">
        <f t="shared" si="28"/>
        <v>0</v>
      </c>
      <c r="G89" s="184">
        <f t="shared" si="28"/>
        <v>0</v>
      </c>
      <c r="H89" s="184">
        <f t="shared" si="28"/>
        <v>0</v>
      </c>
      <c r="I89" s="184">
        <f t="shared" si="28"/>
        <v>109108</v>
      </c>
      <c r="J89" s="184">
        <f t="shared" si="28"/>
        <v>0</v>
      </c>
      <c r="K89" s="184">
        <f t="shared" si="28"/>
        <v>0</v>
      </c>
      <c r="L89" s="184">
        <f t="shared" si="28"/>
        <v>0</v>
      </c>
      <c r="M89" s="184">
        <f t="shared" si="28"/>
        <v>109108</v>
      </c>
    </row>
    <row r="90" spans="1:13" x14ac:dyDescent="0.25">
      <c r="A90" s="4"/>
      <c r="B90" s="3"/>
    </row>
    <row r="91" spans="1:13" s="2" customFormat="1" ht="20.25" customHeight="1" x14ac:dyDescent="0.25">
      <c r="A91" s="173"/>
      <c r="B91" s="4"/>
      <c r="C91" s="183" t="s">
        <v>174</v>
      </c>
      <c r="D91" s="184">
        <f>+D82+D89</f>
        <v>0</v>
      </c>
      <c r="E91" s="184">
        <f t="shared" ref="E91:M91" si="29">+E82+E89</f>
        <v>553358.53521231562</v>
      </c>
      <c r="F91" s="184">
        <f t="shared" si="29"/>
        <v>0</v>
      </c>
      <c r="G91" s="184">
        <f t="shared" si="29"/>
        <v>0</v>
      </c>
      <c r="H91" s="184">
        <f t="shared" si="29"/>
        <v>0</v>
      </c>
      <c r="I91" s="184">
        <f t="shared" si="29"/>
        <v>553358.53521231562</v>
      </c>
      <c r="J91" s="184">
        <f t="shared" si="29"/>
        <v>0</v>
      </c>
      <c r="K91" s="184">
        <f t="shared" si="29"/>
        <v>0</v>
      </c>
      <c r="L91" s="184">
        <f t="shared" si="29"/>
        <v>0</v>
      </c>
      <c r="M91" s="184">
        <f t="shared" si="29"/>
        <v>553358.53521231562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>
      <selection activeCell="E81" sqref="E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9346810</v>
      </c>
      <c r="E11" s="65">
        <v>21772141</v>
      </c>
      <c r="F11" s="60">
        <f>H11-D11</f>
        <v>0</v>
      </c>
      <c r="G11" s="37">
        <f>I11-E11</f>
        <v>0</v>
      </c>
      <c r="H11" s="65">
        <f>D11</f>
        <v>9346810</v>
      </c>
      <c r="I11" s="66">
        <f>E11</f>
        <v>21772141</v>
      </c>
      <c r="J11" s="60"/>
      <c r="K11" s="38"/>
      <c r="L11" s="60">
        <f t="shared" ref="L11:M15" si="0">H11+J11</f>
        <v>9346810</v>
      </c>
      <c r="M11" s="38">
        <f t="shared" si="0"/>
        <v>21772141</v>
      </c>
    </row>
    <row r="12" spans="1:26" x14ac:dyDescent="0.25">
      <c r="A12" s="9">
        <v>2</v>
      </c>
      <c r="B12" s="7"/>
      <c r="C12" s="18" t="s">
        <v>27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5">
        <v>16101572</v>
      </c>
      <c r="E13" s="65">
        <v>41121828</v>
      </c>
      <c r="F13" s="60">
        <f t="shared" si="1"/>
        <v>0</v>
      </c>
      <c r="G13" s="37">
        <f t="shared" si="1"/>
        <v>0</v>
      </c>
      <c r="H13" s="65">
        <f t="shared" si="2"/>
        <v>16101572</v>
      </c>
      <c r="I13" s="66">
        <f t="shared" si="2"/>
        <v>41121828</v>
      </c>
      <c r="J13" s="60"/>
      <c r="K13" s="38"/>
      <c r="L13" s="60">
        <f t="shared" si="0"/>
        <v>16101572</v>
      </c>
      <c r="M13" s="38">
        <f t="shared" si="0"/>
        <v>41121828</v>
      </c>
    </row>
    <row r="14" spans="1:26" x14ac:dyDescent="0.25">
      <c r="A14" s="9">
        <v>4</v>
      </c>
      <c r="B14" s="7"/>
      <c r="C14" s="18" t="s">
        <v>29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25448382</v>
      </c>
      <c r="E16" s="39">
        <v>62893969</v>
      </c>
      <c r="F16" s="61">
        <f t="shared" ref="F16:M16" si="3">SUM(F11:F15)</f>
        <v>0</v>
      </c>
      <c r="G16" s="39">
        <f t="shared" si="3"/>
        <v>0</v>
      </c>
      <c r="H16" s="61">
        <f>SUM(H11:H15)</f>
        <v>25448382</v>
      </c>
      <c r="I16" s="39">
        <f>SUM(I11:I15)</f>
        <v>62893969</v>
      </c>
      <c r="J16" s="61">
        <f t="shared" si="3"/>
        <v>0</v>
      </c>
      <c r="K16" s="39">
        <f t="shared" si="3"/>
        <v>0</v>
      </c>
      <c r="L16" s="61">
        <f t="shared" si="3"/>
        <v>25448382</v>
      </c>
      <c r="M16" s="39">
        <f t="shared" si="3"/>
        <v>62893969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5">
        <v>-6719000</v>
      </c>
      <c r="E19" s="65">
        <v>-13748694</v>
      </c>
      <c r="F19" s="60">
        <f>H19-D19</f>
        <v>0</v>
      </c>
      <c r="G19" s="37">
        <f>I19-E19</f>
        <v>0</v>
      </c>
      <c r="H19" s="65">
        <f t="shared" si="4"/>
        <v>-6719000</v>
      </c>
      <c r="I19" s="66">
        <f t="shared" si="4"/>
        <v>-13748694</v>
      </c>
      <c r="J19" s="60"/>
      <c r="K19" s="38"/>
      <c r="L19" s="60">
        <f t="shared" ref="L19:M23" si="5">H19+J19</f>
        <v>-6719000</v>
      </c>
      <c r="M19" s="38">
        <f t="shared" si="5"/>
        <v>-13748694</v>
      </c>
    </row>
    <row r="20" spans="1:13" x14ac:dyDescent="0.25">
      <c r="A20" s="9">
        <v>7</v>
      </c>
      <c r="B20" s="7"/>
      <c r="C20" s="18" t="s">
        <v>27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5">
        <v>-21579459</v>
      </c>
      <c r="E21" s="65">
        <v>-53470940</v>
      </c>
      <c r="F21" s="60">
        <f t="shared" si="6"/>
        <v>0</v>
      </c>
      <c r="G21" s="37">
        <f t="shared" si="6"/>
        <v>0</v>
      </c>
      <c r="H21" s="65">
        <f t="shared" si="4"/>
        <v>-21579459</v>
      </c>
      <c r="I21" s="66">
        <f t="shared" si="4"/>
        <v>-53470940</v>
      </c>
      <c r="J21" s="60"/>
      <c r="K21" s="38"/>
      <c r="L21" s="60">
        <f t="shared" si="5"/>
        <v>-21579459</v>
      </c>
      <c r="M21" s="38">
        <f t="shared" si="5"/>
        <v>-53470940</v>
      </c>
    </row>
    <row r="22" spans="1:13" x14ac:dyDescent="0.25">
      <c r="A22" s="9">
        <v>9</v>
      </c>
      <c r="B22" s="7"/>
      <c r="C22" s="18" t="s">
        <v>29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5">
        <v>433218</v>
      </c>
      <c r="E23" s="65">
        <v>1012453</v>
      </c>
      <c r="F23" s="60">
        <f t="shared" si="6"/>
        <v>0</v>
      </c>
      <c r="G23" s="37">
        <f t="shared" si="6"/>
        <v>0</v>
      </c>
      <c r="H23" s="65">
        <f t="shared" si="4"/>
        <v>433218</v>
      </c>
      <c r="I23" s="66">
        <f t="shared" si="4"/>
        <v>1012453</v>
      </c>
      <c r="J23" s="60"/>
      <c r="K23" s="38"/>
      <c r="L23" s="60">
        <f t="shared" si="5"/>
        <v>433218</v>
      </c>
      <c r="M23" s="38">
        <f t="shared" si="5"/>
        <v>1012453</v>
      </c>
    </row>
    <row r="24" spans="1:13" x14ac:dyDescent="0.25">
      <c r="A24" s="9"/>
      <c r="B24" s="7" t="s">
        <v>34</v>
      </c>
      <c r="C24" s="6"/>
      <c r="D24" s="61">
        <v>-27865241</v>
      </c>
      <c r="E24" s="39">
        <v>-66207181</v>
      </c>
      <c r="F24" s="61">
        <f t="shared" ref="F24:M24" si="7">SUM(F19:F23)</f>
        <v>0</v>
      </c>
      <c r="G24" s="39">
        <f t="shared" si="7"/>
        <v>0</v>
      </c>
      <c r="H24" s="61">
        <f>SUM(H19:H23)</f>
        <v>-27865241</v>
      </c>
      <c r="I24" s="39">
        <f>SUM(I19:I23)</f>
        <v>-66207181</v>
      </c>
      <c r="J24" s="61">
        <f t="shared" si="7"/>
        <v>0</v>
      </c>
      <c r="K24" s="39">
        <f t="shared" si="7"/>
        <v>0</v>
      </c>
      <c r="L24" s="61">
        <f t="shared" si="7"/>
        <v>-27865241</v>
      </c>
      <c r="M24" s="39">
        <f t="shared" si="7"/>
        <v>-66207181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5">
        <v>13702</v>
      </c>
      <c r="E32" s="65">
        <v>32748</v>
      </c>
      <c r="F32" s="60">
        <f>H32-D32</f>
        <v>0</v>
      </c>
      <c r="G32" s="37">
        <f>I32-E32</f>
        <v>0</v>
      </c>
      <c r="H32" s="65">
        <f t="shared" ref="H32:I35" si="9">D32</f>
        <v>13702</v>
      </c>
      <c r="I32" s="66">
        <f t="shared" si="9"/>
        <v>32748</v>
      </c>
      <c r="J32" s="60"/>
      <c r="K32" s="38"/>
      <c r="L32" s="60">
        <f t="shared" ref="L32:M35" si="10">H32+J32</f>
        <v>13702</v>
      </c>
      <c r="M32" s="38">
        <f t="shared" si="10"/>
        <v>32748</v>
      </c>
    </row>
    <row r="33" spans="1:13" x14ac:dyDescent="0.25">
      <c r="A33" s="9">
        <v>14</v>
      </c>
      <c r="B33" s="7"/>
      <c r="C33" s="18" t="s">
        <v>41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5">
        <v>-33900</v>
      </c>
      <c r="E34" s="65">
        <v>-98290</v>
      </c>
      <c r="F34" s="60">
        <f t="shared" si="11"/>
        <v>0</v>
      </c>
      <c r="G34" s="37">
        <f t="shared" si="11"/>
        <v>0</v>
      </c>
      <c r="H34" s="65">
        <f t="shared" si="9"/>
        <v>-33900</v>
      </c>
      <c r="I34" s="66">
        <f t="shared" si="9"/>
        <v>-98290</v>
      </c>
      <c r="J34" s="60"/>
      <c r="K34" s="38"/>
      <c r="L34" s="60">
        <f t="shared" si="10"/>
        <v>-33900</v>
      </c>
      <c r="M34" s="38">
        <f t="shared" si="10"/>
        <v>-98290</v>
      </c>
    </row>
    <row r="35" spans="1:13" x14ac:dyDescent="0.25">
      <c r="A35" s="9">
        <v>16</v>
      </c>
      <c r="B35" s="7"/>
      <c r="C35" s="18" t="s">
        <v>43</v>
      </c>
      <c r="D35" s="65">
        <v>0</v>
      </c>
      <c r="E35" s="65">
        <v>-2077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-2077</v>
      </c>
      <c r="J35" s="60"/>
      <c r="K35" s="38"/>
      <c r="L35" s="60">
        <f t="shared" si="10"/>
        <v>0</v>
      </c>
      <c r="M35" s="38">
        <f t="shared" si="10"/>
        <v>-2077</v>
      </c>
    </row>
    <row r="36" spans="1:13" x14ac:dyDescent="0.25">
      <c r="A36" s="9"/>
      <c r="B36" s="7" t="s">
        <v>44</v>
      </c>
      <c r="C36" s="6"/>
      <c r="D36" s="61">
        <v>-20198</v>
      </c>
      <c r="E36" s="39">
        <v>-67619</v>
      </c>
      <c r="F36" s="61">
        <f>SUM(F32:F35)</f>
        <v>0</v>
      </c>
      <c r="G36" s="39">
        <f>SUM(G32:G35)</f>
        <v>0</v>
      </c>
      <c r="H36" s="61">
        <f>SUM(H32:H35)</f>
        <v>-20198</v>
      </c>
      <c r="I36" s="39">
        <f>SUM(I32:I35)</f>
        <v>-67619</v>
      </c>
      <c r="J36" s="61">
        <f>SUM(J32:J34)</f>
        <v>0</v>
      </c>
      <c r="K36" s="39">
        <f>SUM(K32:K34)</f>
        <v>0</v>
      </c>
      <c r="L36" s="61">
        <f>SUM(L32:L35)</f>
        <v>-20198</v>
      </c>
      <c r="M36" s="39">
        <f>SUM(M32:M35)</f>
        <v>-67619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5">
        <v>2371256</v>
      </c>
      <c r="E39" s="65">
        <v>5979653</v>
      </c>
      <c r="F39" s="60">
        <f t="shared" ref="F39:G41" si="13">H39-D39</f>
        <v>0</v>
      </c>
      <c r="G39" s="37">
        <f t="shared" si="13"/>
        <v>0</v>
      </c>
      <c r="H39" s="65">
        <f t="shared" si="12"/>
        <v>2371256</v>
      </c>
      <c r="I39" s="66">
        <f t="shared" si="12"/>
        <v>5979653</v>
      </c>
      <c r="J39" s="60"/>
      <c r="K39" s="38"/>
      <c r="L39" s="60">
        <f t="shared" ref="L39:M41" si="14">H39+J39</f>
        <v>2371256</v>
      </c>
      <c r="M39" s="38">
        <f t="shared" si="14"/>
        <v>5979653</v>
      </c>
    </row>
    <row r="40" spans="1:13" ht="22.5" customHeight="1" x14ac:dyDescent="0.25">
      <c r="A40" s="9">
        <v>18</v>
      </c>
      <c r="B40" s="7"/>
      <c r="C40" s="18" t="s">
        <v>47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1">
        <v>2371256</v>
      </c>
      <c r="E43" s="39">
        <v>5979653</v>
      </c>
      <c r="F43" s="61">
        <f t="shared" ref="F43:M43" si="16">F42+F39</f>
        <v>0</v>
      </c>
      <c r="G43" s="39">
        <f t="shared" si="16"/>
        <v>0</v>
      </c>
      <c r="H43" s="61">
        <f>H42+H39</f>
        <v>2371256</v>
      </c>
      <c r="I43" s="39">
        <f>I42+I39</f>
        <v>5979653</v>
      </c>
      <c r="J43" s="61">
        <f t="shared" si="16"/>
        <v>0</v>
      </c>
      <c r="K43" s="39">
        <f t="shared" si="16"/>
        <v>0</v>
      </c>
      <c r="L43" s="61">
        <f t="shared" si="16"/>
        <v>2371256</v>
      </c>
      <c r="M43" s="39">
        <f t="shared" si="16"/>
        <v>5979653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5">
        <v>65801</v>
      </c>
      <c r="E49" s="65">
        <v>149039.26500000001</v>
      </c>
      <c r="F49" s="60">
        <f>H49-D49</f>
        <v>0</v>
      </c>
      <c r="G49" s="37">
        <f>I49-E49</f>
        <v>0</v>
      </c>
      <c r="H49" s="65">
        <f>D49</f>
        <v>65801</v>
      </c>
      <c r="I49" s="66">
        <f>E49</f>
        <v>149039.26500000001</v>
      </c>
      <c r="J49" s="60"/>
      <c r="K49" s="38"/>
      <c r="L49" s="60">
        <f>H49+J49</f>
        <v>65801</v>
      </c>
      <c r="M49" s="38">
        <f>I49+K49</f>
        <v>149039.26500000001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5">
        <v>-433218</v>
      </c>
      <c r="E51" s="65">
        <v>-1012453</v>
      </c>
      <c r="F51" s="60">
        <f>H51-D51</f>
        <v>0</v>
      </c>
      <c r="G51" s="37">
        <f>I51-E51</f>
        <v>0</v>
      </c>
      <c r="H51" s="65">
        <f>D51</f>
        <v>-433218</v>
      </c>
      <c r="I51" s="66">
        <f>E51</f>
        <v>-1012453</v>
      </c>
      <c r="J51" s="60"/>
      <c r="K51" s="38"/>
      <c r="L51" s="60">
        <f>H51+J51</f>
        <v>-433218</v>
      </c>
      <c r="M51" s="38">
        <f>I51+K51</f>
        <v>-1012453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5">
        <v>0</v>
      </c>
      <c r="E54" s="65">
        <v>-512941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-512941</v>
      </c>
      <c r="J54" s="60"/>
      <c r="K54" s="38"/>
      <c r="L54" s="60">
        <f>H54+J54</f>
        <v>0</v>
      </c>
      <c r="M54" s="38">
        <f>I54+K54</f>
        <v>-512941</v>
      </c>
    </row>
    <row r="55" spans="1:15" x14ac:dyDescent="0.25">
      <c r="A55" s="9">
        <v>25</v>
      </c>
      <c r="B55" s="7"/>
      <c r="C55" s="18" t="s">
        <v>57</v>
      </c>
      <c r="D55" s="65">
        <v>0</v>
      </c>
      <c r="E55" s="65">
        <v>186651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186651</v>
      </c>
      <c r="J55" s="60"/>
      <c r="K55" s="38"/>
      <c r="L55" s="60">
        <f>H55+J55</f>
        <v>0</v>
      </c>
      <c r="M55" s="38">
        <f>I55+K55</f>
        <v>186651</v>
      </c>
    </row>
    <row r="56" spans="1:15" x14ac:dyDescent="0.25">
      <c r="A56" s="9"/>
      <c r="B56" s="7" t="s">
        <v>58</v>
      </c>
      <c r="C56" s="6"/>
      <c r="D56" s="61">
        <v>0</v>
      </c>
      <c r="E56" s="39">
        <v>-326290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-326290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-326290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61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65">
        <v>0</v>
      </c>
      <c r="E70" s="65">
        <v>6564288.6324007958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6564288.6324007958</v>
      </c>
      <c r="J70" s="65"/>
      <c r="K70" s="38"/>
      <c r="L70" s="60">
        <f t="shared" si="20"/>
        <v>0</v>
      </c>
      <c r="M70" s="38">
        <f t="shared" si="20"/>
        <v>6564288.6324007958</v>
      </c>
    </row>
    <row r="71" spans="1:13" x14ac:dyDescent="0.25">
      <c r="A71" s="9">
        <v>31</v>
      </c>
      <c r="B71" s="3"/>
      <c r="C71" s="10" t="s">
        <v>69</v>
      </c>
      <c r="D71" s="65">
        <v>0</v>
      </c>
      <c r="E71" s="65">
        <v>-6075073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-6075073</v>
      </c>
      <c r="J71" s="65"/>
      <c r="K71" s="38"/>
      <c r="L71" s="60">
        <f t="shared" si="20"/>
        <v>0</v>
      </c>
      <c r="M71" s="38">
        <f t="shared" si="20"/>
        <v>-6075073</v>
      </c>
    </row>
    <row r="72" spans="1:13" x14ac:dyDescent="0.25">
      <c r="A72" s="9"/>
      <c r="B72" s="3"/>
      <c r="C72" s="55" t="s">
        <v>70</v>
      </c>
      <c r="D72" s="61">
        <v>0</v>
      </c>
      <c r="E72" s="39">
        <v>489215.63240079582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489215.63240079582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489215.63240079582</v>
      </c>
    </row>
    <row r="73" spans="1:13" x14ac:dyDescent="0.25">
      <c r="A73" s="9">
        <v>32</v>
      </c>
      <c r="B73" s="3"/>
      <c r="C73" s="10" t="s">
        <v>71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72</v>
      </c>
      <c r="D74" s="65">
        <v>0</v>
      </c>
      <c r="E74" s="65">
        <v>-567594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-567594</v>
      </c>
      <c r="J74" s="60"/>
      <c r="K74" s="38"/>
      <c r="L74" s="60">
        <f t="shared" si="23"/>
        <v>0</v>
      </c>
      <c r="M74" s="38">
        <f t="shared" si="23"/>
        <v>-567594</v>
      </c>
    </row>
    <row r="75" spans="1:13" x14ac:dyDescent="0.25">
      <c r="A75" s="9">
        <v>34</v>
      </c>
      <c r="B75" s="3"/>
      <c r="C75" s="10" t="s">
        <v>73</v>
      </c>
      <c r="D75" s="65">
        <v>0</v>
      </c>
      <c r="E75" s="65">
        <v>130708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130708</v>
      </c>
      <c r="J75" s="60"/>
      <c r="K75" s="38"/>
      <c r="L75" s="60">
        <f t="shared" si="23"/>
        <v>0</v>
      </c>
      <c r="M75" s="38">
        <f t="shared" si="23"/>
        <v>130708</v>
      </c>
    </row>
    <row r="76" spans="1:13" x14ac:dyDescent="0.25">
      <c r="A76" s="9">
        <v>35</v>
      </c>
      <c r="B76" s="3"/>
      <c r="C76" s="10" t="s">
        <v>74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75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76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77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78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79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1461447.8974007959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1461447.8974007959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1461447.8974007959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T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">
        <v>184</v>
      </c>
      <c r="I8" s="27"/>
      <c r="J8" s="26" t="s">
        <v>187</v>
      </c>
      <c r="K8" s="27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">
        <v>102</v>
      </c>
      <c r="AC8" s="27"/>
      <c r="AD8" s="26" t="s">
        <v>102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59104441</v>
      </c>
      <c r="E11" s="38">
        <f>SUM(G11,I11,K11,M11,O11,Q11,S11,U11,W11,Y11,AA11,AC11,AE11)</f>
        <v>139070188.18999997</v>
      </c>
      <c r="F11" s="60">
        <f>'TIE-OUT'!F11+RECLASS!F11</f>
        <v>0</v>
      </c>
      <c r="G11" s="38">
        <f>'TIE-OUT'!G11+RECLASS!G11</f>
        <v>-1910000</v>
      </c>
      <c r="H11" s="129">
        <f>+Actuals!E124</f>
        <v>58757878</v>
      </c>
      <c r="I11" s="130">
        <f>+Actuals!F124</f>
        <v>139353476.34999999</v>
      </c>
      <c r="J11" s="129">
        <f>+Actuals!G124</f>
        <v>100358</v>
      </c>
      <c r="K11" s="130">
        <f>+Actuals!H124</f>
        <v>1004292.87</v>
      </c>
      <c r="L11" s="129">
        <f>+Actuals!I124</f>
        <v>228234</v>
      </c>
      <c r="M11" s="130">
        <f>+Actuals!J124</f>
        <v>507326.35</v>
      </c>
      <c r="N11" s="129">
        <f>+Actuals!K124</f>
        <v>-1</v>
      </c>
      <c r="O11" s="130">
        <f>+Actuals!L124</f>
        <v>-3182.29</v>
      </c>
      <c r="P11" s="129">
        <f>+Actuals!M124</f>
        <v>12791</v>
      </c>
      <c r="Q11" s="130">
        <f>+Actuals!N124</f>
        <v>27928.29</v>
      </c>
      <c r="R11" s="129">
        <f>+Actuals!O124</f>
        <v>0</v>
      </c>
      <c r="S11" s="130">
        <f>+Actuals!P124</f>
        <v>-375.43</v>
      </c>
      <c r="T11" s="129">
        <f>+Actuals!Q164</f>
        <v>5181</v>
      </c>
      <c r="U11" s="130">
        <f>+Actuals!R164</f>
        <v>89938.95</v>
      </c>
      <c r="V11" s="129">
        <f>+Actuals!S164</f>
        <v>0</v>
      </c>
      <c r="W11" s="130">
        <f>+Actuals!T164</f>
        <v>783.1</v>
      </c>
      <c r="X11" s="129">
        <f>+Actuals!U164</f>
        <v>0</v>
      </c>
      <c r="Y11" s="130">
        <f>+Actuals!V164</f>
        <v>0</v>
      </c>
      <c r="Z11" s="129">
        <f>+Actuals!W164</f>
        <v>0</v>
      </c>
      <c r="AA11" s="130">
        <f>+Actuals!X164</f>
        <v>0</v>
      </c>
      <c r="AB11" s="129">
        <f>+Actuals!Y124</f>
        <v>0</v>
      </c>
      <c r="AC11" s="130">
        <f>+Actuals!Z124</f>
        <v>0</v>
      </c>
      <c r="AD11" s="129">
        <f>+Actuals!AA124</f>
        <v>0</v>
      </c>
      <c r="AE11" s="130">
        <f>+Actuals!AB124</f>
        <v>0</v>
      </c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-4266223.46</v>
      </c>
      <c r="F12" s="60">
        <f>'TIE-OUT'!F12+RECLASS!F12</f>
        <v>0</v>
      </c>
      <c r="G12" s="38">
        <f>'TIE-OUT'!G12+RECLASS!G12</f>
        <v>-4266223.46</v>
      </c>
      <c r="H12" s="129">
        <f>+Actuals!E125</f>
        <v>0</v>
      </c>
      <c r="I12" s="130">
        <f>+Actuals!F125</f>
        <v>0</v>
      </c>
      <c r="J12" s="129">
        <f>+Actuals!G125</f>
        <v>0</v>
      </c>
      <c r="K12" s="162">
        <f>+Actuals!H125</f>
        <v>0</v>
      </c>
      <c r="L12" s="129">
        <f>+Actuals!I125</f>
        <v>0</v>
      </c>
      <c r="M12" s="130">
        <f>+Actuals!J125</f>
        <v>0</v>
      </c>
      <c r="N12" s="129">
        <f>+Actuals!K125</f>
        <v>0</v>
      </c>
      <c r="O12" s="130">
        <f>+Actuals!L125</f>
        <v>0</v>
      </c>
      <c r="P12" s="129">
        <f>+Actuals!M125</f>
        <v>0</v>
      </c>
      <c r="Q12" s="130">
        <f>+Actuals!N125</f>
        <v>0</v>
      </c>
      <c r="R12" s="129">
        <f>+Actuals!O125</f>
        <v>0</v>
      </c>
      <c r="S12" s="130">
        <f>+Actuals!P125</f>
        <v>0</v>
      </c>
      <c r="T12" s="129">
        <f>+Actuals!Q165</f>
        <v>0</v>
      </c>
      <c r="U12" s="130">
        <f>+Actuals!R165</f>
        <v>0</v>
      </c>
      <c r="V12" s="129">
        <f>+Actuals!S165</f>
        <v>0</v>
      </c>
      <c r="W12" s="130">
        <f>+Actuals!T165</f>
        <v>0</v>
      </c>
      <c r="X12" s="129">
        <f>+Actuals!U165</f>
        <v>0</v>
      </c>
      <c r="Y12" s="130">
        <f>+Actuals!V165</f>
        <v>0</v>
      </c>
      <c r="Z12" s="129">
        <f>+Actuals!W165</f>
        <v>0</v>
      </c>
      <c r="AA12" s="130">
        <f>+Actuals!X165</f>
        <v>0</v>
      </c>
      <c r="AB12" s="129">
        <f>+Actuals!Y125</f>
        <v>0</v>
      </c>
      <c r="AC12" s="130">
        <f>+Actuals!Z125</f>
        <v>0</v>
      </c>
      <c r="AD12" s="129">
        <f>+Actuals!AA125</f>
        <v>0</v>
      </c>
      <c r="AE12" s="130">
        <f>+Actuals!AB125</f>
        <v>0</v>
      </c>
    </row>
    <row r="13" spans="1:31" x14ac:dyDescent="0.25">
      <c r="A13" s="9">
        <v>3</v>
      </c>
      <c r="B13" s="7"/>
      <c r="C13" s="18" t="s">
        <v>28</v>
      </c>
      <c r="D13" s="60">
        <f t="shared" si="0"/>
        <v>17180581</v>
      </c>
      <c r="E13" s="38">
        <f t="shared" si="0"/>
        <v>39293378</v>
      </c>
      <c r="F13" s="60">
        <f>'TIE-OUT'!F13+RECLASS!F13</f>
        <v>0</v>
      </c>
      <c r="G13" s="38">
        <f>'TIE-OUT'!G13+RECLASS!G13</f>
        <v>0</v>
      </c>
      <c r="H13" s="129">
        <f>+Actuals!E126</f>
        <v>17180581</v>
      </c>
      <c r="I13" s="130">
        <f>+Actuals!F126</f>
        <v>39293378</v>
      </c>
      <c r="J13" s="129">
        <f>+Actuals!G126</f>
        <v>-206997</v>
      </c>
      <c r="K13" s="130">
        <f>+Actuals!H126</f>
        <v>-443417</v>
      </c>
      <c r="L13" s="129">
        <f>+Actuals!I126</f>
        <v>0</v>
      </c>
      <c r="M13" s="130">
        <f>+Actuals!J126</f>
        <v>0</v>
      </c>
      <c r="N13" s="129">
        <f>+Actuals!K126</f>
        <v>1417617</v>
      </c>
      <c r="O13" s="130">
        <f>+Actuals!L126</f>
        <v>3236201</v>
      </c>
      <c r="P13" s="129">
        <f>+Actuals!M126</f>
        <v>1417449</v>
      </c>
      <c r="Q13" s="130">
        <f>+Actuals!N126</f>
        <v>3235832</v>
      </c>
      <c r="R13" s="129">
        <f>+Actuals!O126</f>
        <v>-2628069</v>
      </c>
      <c r="S13" s="130">
        <f>+Actuals!P126</f>
        <v>-6028616</v>
      </c>
      <c r="T13" s="129">
        <f>+Actuals!Q166</f>
        <v>2628069</v>
      </c>
      <c r="U13" s="130">
        <f>+Actuals!R166</f>
        <v>6028616</v>
      </c>
      <c r="V13" s="129">
        <f>+Actuals!S166</f>
        <v>0</v>
      </c>
      <c r="W13" s="130">
        <f>+Actuals!T166</f>
        <v>0</v>
      </c>
      <c r="X13" s="129">
        <f>+Actuals!U166</f>
        <v>-2628069</v>
      </c>
      <c r="Y13" s="130">
        <f>+Actuals!V166</f>
        <v>-6028616</v>
      </c>
      <c r="Z13" s="129">
        <f>+Actuals!W166</f>
        <v>0</v>
      </c>
      <c r="AA13" s="130">
        <f>+Actuals!X166</f>
        <v>0</v>
      </c>
      <c r="AB13" s="129">
        <f>+Actuals!Y126</f>
        <v>0</v>
      </c>
      <c r="AC13" s="130">
        <f>+Actuals!Z126</f>
        <v>0</v>
      </c>
      <c r="AD13" s="129">
        <f>+Actuals!AA126</f>
        <v>0</v>
      </c>
      <c r="AE13" s="130">
        <f>+Actuals!AB126</f>
        <v>0</v>
      </c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9">
        <f>+Actuals!E127</f>
        <v>0</v>
      </c>
      <c r="I14" s="130">
        <f>+Actuals!F127</f>
        <v>0</v>
      </c>
      <c r="J14" s="129">
        <f>+Actuals!G127</f>
        <v>0</v>
      </c>
      <c r="K14" s="130">
        <f>+Actuals!H127</f>
        <v>0</v>
      </c>
      <c r="L14" s="129">
        <f>+Actuals!I127</f>
        <v>0</v>
      </c>
      <c r="M14" s="130">
        <f>+Actuals!J127</f>
        <v>0</v>
      </c>
      <c r="N14" s="129">
        <f>+Actuals!K127</f>
        <v>0</v>
      </c>
      <c r="O14" s="130">
        <f>+Actuals!L127</f>
        <v>0</v>
      </c>
      <c r="P14" s="129">
        <f>+Actuals!M127</f>
        <v>0</v>
      </c>
      <c r="Q14" s="130">
        <f>+Actuals!N127</f>
        <v>0</v>
      </c>
      <c r="R14" s="129">
        <f>+Actuals!O127</f>
        <v>0</v>
      </c>
      <c r="S14" s="130">
        <f>+Actuals!P127</f>
        <v>0</v>
      </c>
      <c r="T14" s="129">
        <f>+Actuals!Q167</f>
        <v>0</v>
      </c>
      <c r="U14" s="130">
        <f>+Actuals!R167</f>
        <v>0</v>
      </c>
      <c r="V14" s="129">
        <f>+Actuals!S167</f>
        <v>0</v>
      </c>
      <c r="W14" s="130">
        <f>+Actuals!T167</f>
        <v>0</v>
      </c>
      <c r="X14" s="129">
        <f>+Actuals!U167</f>
        <v>0</v>
      </c>
      <c r="Y14" s="130">
        <f>+Actuals!V167</f>
        <v>0</v>
      </c>
      <c r="Z14" s="129">
        <f>+Actuals!W167</f>
        <v>0</v>
      </c>
      <c r="AA14" s="130">
        <f>+Actuals!X167</f>
        <v>0</v>
      </c>
      <c r="AB14" s="129">
        <f>+Actuals!Y127</f>
        <v>0</v>
      </c>
      <c r="AC14" s="130">
        <f>+Actuals!Z127</f>
        <v>0</v>
      </c>
      <c r="AD14" s="129">
        <f>+Actuals!AA127</f>
        <v>0</v>
      </c>
      <c r="AE14" s="130">
        <f>+Actuals!AB127</f>
        <v>0</v>
      </c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'TIE-OUT'!F15+RECLASS!F15</f>
        <v>0</v>
      </c>
      <c r="G15" s="82">
        <f>'TIE-OUT'!G15+RECLASS!G15</f>
        <v>0</v>
      </c>
      <c r="H15" s="129">
        <f>+Actuals!E128</f>
        <v>0</v>
      </c>
      <c r="I15" s="131">
        <f>+Actuals!F128</f>
        <v>0</v>
      </c>
      <c r="J15" s="129">
        <f>+Actuals!G128</f>
        <v>0</v>
      </c>
      <c r="K15" s="131">
        <f>+Actuals!H128</f>
        <v>0</v>
      </c>
      <c r="L15" s="129">
        <f>+Actuals!I128</f>
        <v>0</v>
      </c>
      <c r="M15" s="131">
        <f>+Actuals!J128</f>
        <v>0</v>
      </c>
      <c r="N15" s="129">
        <f>+Actuals!K128</f>
        <v>0</v>
      </c>
      <c r="O15" s="131">
        <f>+Actuals!L128</f>
        <v>0</v>
      </c>
      <c r="P15" s="129">
        <f>+Actuals!M128</f>
        <v>0</v>
      </c>
      <c r="Q15" s="131">
        <f>+Actuals!N128</f>
        <v>0</v>
      </c>
      <c r="R15" s="129">
        <f>+Actuals!O128</f>
        <v>0</v>
      </c>
      <c r="S15" s="131">
        <f>+Actuals!P128</f>
        <v>0</v>
      </c>
      <c r="T15" s="129">
        <f>+Actuals!Q168</f>
        <v>0</v>
      </c>
      <c r="U15" s="130">
        <f>+Actuals!R168</f>
        <v>0</v>
      </c>
      <c r="V15" s="129">
        <f>+Actuals!S168</f>
        <v>0</v>
      </c>
      <c r="W15" s="131">
        <f>+Actuals!T168</f>
        <v>0</v>
      </c>
      <c r="X15" s="129">
        <f>+Actuals!U168</f>
        <v>0</v>
      </c>
      <c r="Y15" s="131">
        <f>+Actuals!V168</f>
        <v>0</v>
      </c>
      <c r="Z15" s="129">
        <f>+Actuals!W168</f>
        <v>0</v>
      </c>
      <c r="AA15" s="131">
        <f>+Actuals!X168</f>
        <v>0</v>
      </c>
      <c r="AB15" s="129">
        <f>+Actuals!Y128</f>
        <v>0</v>
      </c>
      <c r="AC15" s="131">
        <f>+Actuals!Z128</f>
        <v>0</v>
      </c>
      <c r="AD15" s="129">
        <f>+Actuals!AA128</f>
        <v>0</v>
      </c>
      <c r="AE15" s="131">
        <f>+Actuals!AB128</f>
        <v>0</v>
      </c>
    </row>
    <row r="16" spans="1:31" x14ac:dyDescent="0.25">
      <c r="A16" s="9"/>
      <c r="B16" s="7" t="s">
        <v>31</v>
      </c>
      <c r="C16" s="6"/>
      <c r="D16" s="61">
        <f t="shared" ref="D16:I16" si="1">SUM(D11:D15)</f>
        <v>76285022</v>
      </c>
      <c r="E16" s="39">
        <f t="shared" si="1"/>
        <v>174097342.72999996</v>
      </c>
      <c r="F16" s="61">
        <f t="shared" si="1"/>
        <v>0</v>
      </c>
      <c r="G16" s="39">
        <f t="shared" si="1"/>
        <v>-6176223.46</v>
      </c>
      <c r="H16" s="61">
        <f t="shared" si="1"/>
        <v>75938459</v>
      </c>
      <c r="I16" s="82">
        <f t="shared" si="1"/>
        <v>178646854.34999999</v>
      </c>
      <c r="J16" s="61">
        <f t="shared" ref="J16:AE16" si="2">SUM(J11:J15)</f>
        <v>-106639</v>
      </c>
      <c r="K16" s="82">
        <f t="shared" si="2"/>
        <v>560875.87</v>
      </c>
      <c r="L16" s="61">
        <f t="shared" si="2"/>
        <v>228234</v>
      </c>
      <c r="M16" s="82">
        <f t="shared" si="2"/>
        <v>507326.35</v>
      </c>
      <c r="N16" s="61">
        <f t="shared" si="2"/>
        <v>1417616</v>
      </c>
      <c r="O16" s="82">
        <f t="shared" si="2"/>
        <v>3233018.71</v>
      </c>
      <c r="P16" s="61">
        <f t="shared" si="2"/>
        <v>1430240</v>
      </c>
      <c r="Q16" s="82">
        <f t="shared" si="2"/>
        <v>3263760.29</v>
      </c>
      <c r="R16" s="61">
        <f t="shared" si="2"/>
        <v>-2628069</v>
      </c>
      <c r="S16" s="82">
        <f t="shared" si="2"/>
        <v>-6028991.4299999997</v>
      </c>
      <c r="T16" s="61">
        <f t="shared" si="2"/>
        <v>2633250</v>
      </c>
      <c r="U16" s="39">
        <f t="shared" si="2"/>
        <v>6118554.9500000002</v>
      </c>
      <c r="V16" s="61">
        <f t="shared" ref="V16:AA16" si="3">SUM(V11:V15)</f>
        <v>0</v>
      </c>
      <c r="W16" s="82">
        <f t="shared" si="3"/>
        <v>783.1</v>
      </c>
      <c r="X16" s="61">
        <f t="shared" si="3"/>
        <v>-2628069</v>
      </c>
      <c r="Y16" s="82">
        <f t="shared" si="3"/>
        <v>-6028616</v>
      </c>
      <c r="Z16" s="61">
        <f t="shared" si="3"/>
        <v>0</v>
      </c>
      <c r="AA16" s="82">
        <f t="shared" si="3"/>
        <v>0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SUM(F19,H19,J19,L19,N19,P19,R19,T19,V19,X19,Z19,AB19,AD19)</f>
        <v>-55785617</v>
      </c>
      <c r="E19" s="38">
        <f t="shared" si="4"/>
        <v>-124662191.61</v>
      </c>
      <c r="F19" s="64">
        <f>'TIE-OUT'!F19+RECLASS!F19</f>
        <v>0</v>
      </c>
      <c r="G19" s="68">
        <f>'TIE-OUT'!G19+RECLASS!G19</f>
        <v>613000</v>
      </c>
      <c r="H19" s="129">
        <f>+Actuals!E129</f>
        <v>-55181382</v>
      </c>
      <c r="I19" s="130">
        <f>+Actuals!F129</f>
        <v>-124370115</v>
      </c>
      <c r="J19" s="129">
        <f>+Actuals!G129</f>
        <v>-1187474</v>
      </c>
      <c r="K19" s="130">
        <f>+Actuals!H129</f>
        <v>-1315061.78</v>
      </c>
      <c r="L19" s="129">
        <f>+Actuals!I129</f>
        <v>189496</v>
      </c>
      <c r="M19" s="130">
        <f>+Actuals!J129</f>
        <v>543074.74</v>
      </c>
      <c r="N19" s="129">
        <f>+Actuals!K129</f>
        <v>591953</v>
      </c>
      <c r="O19" s="130">
        <f>+Actuals!L129</f>
        <v>19285.400000000001</v>
      </c>
      <c r="P19" s="129">
        <f>+Actuals!M129</f>
        <v>-201125</v>
      </c>
      <c r="Q19" s="130">
        <f>+Actuals!N129</f>
        <v>-440099.9</v>
      </c>
      <c r="R19" s="129">
        <f>+Actuals!O129</f>
        <v>0</v>
      </c>
      <c r="S19" s="130">
        <f>+Actuals!P129</f>
        <v>271877.53999999998</v>
      </c>
      <c r="T19" s="129">
        <f>+Actuals!Q169</f>
        <v>3474</v>
      </c>
      <c r="U19" s="130">
        <f>+Actuals!R169</f>
        <v>18401.53</v>
      </c>
      <c r="V19" s="129">
        <f>+Actuals!S169</f>
        <v>0</v>
      </c>
      <c r="W19" s="130">
        <f>+Actuals!T169</f>
        <v>0.62</v>
      </c>
      <c r="X19" s="129">
        <f>+Actuals!U169</f>
        <v>-559</v>
      </c>
      <c r="Y19" s="130">
        <f>+Actuals!V169</f>
        <v>-2554.7600000000002</v>
      </c>
      <c r="Z19" s="129">
        <f>+Actuals!W169</f>
        <v>0</v>
      </c>
      <c r="AA19" s="130">
        <f>+Actuals!X169</f>
        <v>0</v>
      </c>
      <c r="AB19" s="129">
        <f>+Actuals!Y129</f>
        <v>0</v>
      </c>
      <c r="AC19" s="130">
        <f>+Actuals!Z129</f>
        <v>0</v>
      </c>
      <c r="AD19" s="129">
        <f>+Actuals!AA129</f>
        <v>0</v>
      </c>
      <c r="AE19" s="130">
        <f>+Actuals!AB129</f>
        <v>0</v>
      </c>
    </row>
    <row r="20" spans="1:31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-982601.25</v>
      </c>
      <c r="F20" s="60">
        <f>'TIE-OUT'!F20+RECLASS!F20</f>
        <v>0</v>
      </c>
      <c r="G20" s="38">
        <f>'TIE-OUT'!G20+RECLASS!G20</f>
        <v>-982601.25</v>
      </c>
      <c r="H20" s="129">
        <f>+Actuals!E130</f>
        <v>0</v>
      </c>
      <c r="I20" s="130">
        <f>+Actuals!F130</f>
        <v>0</v>
      </c>
      <c r="J20" s="129">
        <f>+Actuals!G130</f>
        <v>0</v>
      </c>
      <c r="K20" s="159">
        <f>+Actuals!H130</f>
        <v>0</v>
      </c>
      <c r="L20" s="129">
        <f>+Actuals!I130</f>
        <v>0</v>
      </c>
      <c r="M20" s="130">
        <f>+Actuals!J130</f>
        <v>0</v>
      </c>
      <c r="N20" s="129">
        <f>+Actuals!K130</f>
        <v>0</v>
      </c>
      <c r="O20" s="130">
        <f>+Actuals!L130</f>
        <v>0</v>
      </c>
      <c r="P20" s="129">
        <f>+Actuals!M130</f>
        <v>0</v>
      </c>
      <c r="Q20" s="130">
        <f>+Actuals!N130</f>
        <v>0</v>
      </c>
      <c r="R20" s="129">
        <f>+Actuals!O130</f>
        <v>0</v>
      </c>
      <c r="S20" s="130">
        <f>+Actuals!P130</f>
        <v>0</v>
      </c>
      <c r="T20" s="129">
        <f>+Actuals!Q170</f>
        <v>0</v>
      </c>
      <c r="U20" s="130">
        <f>+Actuals!R170</f>
        <v>0</v>
      </c>
      <c r="V20" s="129">
        <f>+Actuals!S170</f>
        <v>0</v>
      </c>
      <c r="W20" s="130">
        <f>+Actuals!T170</f>
        <v>0</v>
      </c>
      <c r="X20" s="129">
        <f>+Actuals!U170</f>
        <v>0</v>
      </c>
      <c r="Y20" s="130">
        <f>+Actuals!V170</f>
        <v>0</v>
      </c>
      <c r="Z20" s="129">
        <f>+Actuals!W170</f>
        <v>0</v>
      </c>
      <c r="AA20" s="130">
        <f>+Actuals!X170</f>
        <v>0</v>
      </c>
      <c r="AB20" s="129">
        <f>+Actuals!Y130</f>
        <v>0</v>
      </c>
      <c r="AC20" s="130">
        <f>+Actuals!Z130</f>
        <v>0</v>
      </c>
      <c r="AD20" s="129">
        <f>+Actuals!AA130</f>
        <v>0</v>
      </c>
      <c r="AE20" s="130">
        <f>+Actuals!AB130</f>
        <v>0</v>
      </c>
    </row>
    <row r="21" spans="1:31" x14ac:dyDescent="0.25">
      <c r="A21" s="9">
        <v>8</v>
      </c>
      <c r="B21" s="7"/>
      <c r="C21" s="18" t="s">
        <v>28</v>
      </c>
      <c r="D21" s="60">
        <f t="shared" si="4"/>
        <v>-20775482</v>
      </c>
      <c r="E21" s="38">
        <f t="shared" si="4"/>
        <v>-47417327</v>
      </c>
      <c r="F21" s="60">
        <f>'TIE-OUT'!F21+RECLASS!F21</f>
        <v>0</v>
      </c>
      <c r="G21" s="38">
        <f>'TIE-OUT'!G21+RECLASS!G21</f>
        <v>0</v>
      </c>
      <c r="H21" s="129">
        <f>+Actuals!E131</f>
        <v>-20775482</v>
      </c>
      <c r="I21" s="130">
        <f>+Actuals!F131</f>
        <v>-47417327</v>
      </c>
      <c r="J21" s="129">
        <f>+Actuals!G131</f>
        <v>4297569</v>
      </c>
      <c r="K21" s="130">
        <f>+Actuals!H131</f>
        <v>9754291</v>
      </c>
      <c r="L21" s="129">
        <f>+Actuals!I131</f>
        <v>0</v>
      </c>
      <c r="M21" s="130">
        <f>+Actuals!J131</f>
        <v>0</v>
      </c>
      <c r="N21" s="129">
        <f>+Actuals!K131</f>
        <v>-1417617</v>
      </c>
      <c r="O21" s="130">
        <f>+Actuals!L131</f>
        <v>-3236201</v>
      </c>
      <c r="P21" s="129">
        <f>+Actuals!M131</f>
        <v>-1417449</v>
      </c>
      <c r="Q21" s="130">
        <f>+Actuals!N131</f>
        <v>-3235832</v>
      </c>
      <c r="R21" s="129">
        <f>+Actuals!O131</f>
        <v>-1462503</v>
      </c>
      <c r="S21" s="130">
        <f>+Actuals!P131</f>
        <v>-3282258</v>
      </c>
      <c r="T21" s="129">
        <f>+Actuals!Q171</f>
        <v>1462503</v>
      </c>
      <c r="U21" s="130">
        <f>+Actuals!R171</f>
        <v>3282258</v>
      </c>
      <c r="V21" s="129">
        <f>+Actuals!S171</f>
        <v>0</v>
      </c>
      <c r="W21" s="130">
        <f>+Actuals!T171</f>
        <v>0</v>
      </c>
      <c r="X21" s="129">
        <f>+Actuals!U171</f>
        <v>-1462503</v>
      </c>
      <c r="Y21" s="130">
        <f>+Actuals!V171</f>
        <v>-3282258</v>
      </c>
      <c r="Z21" s="129">
        <f>+Actuals!W171</f>
        <v>0</v>
      </c>
      <c r="AA21" s="130">
        <f>+Actuals!X171</f>
        <v>0</v>
      </c>
      <c r="AB21" s="129">
        <f>+Actuals!Y131</f>
        <v>0</v>
      </c>
      <c r="AC21" s="130">
        <f>+Actuals!Z131</f>
        <v>0</v>
      </c>
      <c r="AD21" s="129">
        <f>+Actuals!AA131</f>
        <v>0</v>
      </c>
      <c r="AE21" s="130">
        <f>+Actuals!AB131</f>
        <v>0</v>
      </c>
    </row>
    <row r="22" spans="1:31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9">
        <f>+Actuals!E132</f>
        <v>0</v>
      </c>
      <c r="I22" s="130">
        <f>+Actuals!F132</f>
        <v>0</v>
      </c>
      <c r="J22" s="129">
        <f>+Actuals!G132</f>
        <v>0</v>
      </c>
      <c r="K22" s="130">
        <f>+Actuals!H132</f>
        <v>0</v>
      </c>
      <c r="L22" s="129">
        <f>+Actuals!I132</f>
        <v>0</v>
      </c>
      <c r="M22" s="130">
        <f>+Actuals!J132</f>
        <v>0</v>
      </c>
      <c r="N22" s="129">
        <f>+Actuals!K132</f>
        <v>0</v>
      </c>
      <c r="O22" s="130">
        <f>+Actuals!L132</f>
        <v>0</v>
      </c>
      <c r="P22" s="129">
        <f>+Actuals!M132</f>
        <v>0</v>
      </c>
      <c r="Q22" s="130">
        <f>+Actuals!N132</f>
        <v>0</v>
      </c>
      <c r="R22" s="129">
        <f>+Actuals!O132</f>
        <v>0</v>
      </c>
      <c r="S22" s="130">
        <f>+Actuals!P132</f>
        <v>0</v>
      </c>
      <c r="T22" s="129">
        <f>+Actuals!Q172</f>
        <v>0</v>
      </c>
      <c r="U22" s="130">
        <f>+Actuals!R172</f>
        <v>0</v>
      </c>
      <c r="V22" s="129">
        <f>+Actuals!S172</f>
        <v>0</v>
      </c>
      <c r="W22" s="130">
        <f>+Actuals!T172</f>
        <v>0</v>
      </c>
      <c r="X22" s="129">
        <f>+Actuals!U172</f>
        <v>0</v>
      </c>
      <c r="Y22" s="130">
        <f>+Actuals!V172</f>
        <v>0</v>
      </c>
      <c r="Z22" s="129">
        <f>+Actuals!W172</f>
        <v>0</v>
      </c>
      <c r="AA22" s="130">
        <f>+Actuals!X172</f>
        <v>0</v>
      </c>
      <c r="AB22" s="129">
        <f>+Actuals!Y132</f>
        <v>0</v>
      </c>
      <c r="AC22" s="130">
        <f>+Actuals!Z132</f>
        <v>0</v>
      </c>
      <c r="AD22" s="129">
        <f>+Actuals!AA132</f>
        <v>0</v>
      </c>
      <c r="AE22" s="130">
        <f>+Actuals!AB132</f>
        <v>0</v>
      </c>
    </row>
    <row r="23" spans="1:31" x14ac:dyDescent="0.25">
      <c r="A23" s="9">
        <v>10</v>
      </c>
      <c r="B23" s="7"/>
      <c r="C23" s="18" t="s">
        <v>33</v>
      </c>
      <c r="D23" s="60">
        <f t="shared" si="4"/>
        <v>427794</v>
      </c>
      <c r="E23" s="38">
        <f t="shared" si="4"/>
        <v>952269.44799999997</v>
      </c>
      <c r="F23" s="81">
        <f>'TIE-OUT'!F23+RECLASS!F23</f>
        <v>0</v>
      </c>
      <c r="G23" s="82">
        <f>'TIE-OUT'!G23+RECLASS!G23</f>
        <v>0</v>
      </c>
      <c r="H23" s="129">
        <f>+Actuals!E133</f>
        <v>409806</v>
      </c>
      <c r="I23" s="131">
        <f>+Actuals!F133</f>
        <v>912228.16</v>
      </c>
      <c r="J23" s="129">
        <f>+Actuals!G133</f>
        <v>17214</v>
      </c>
      <c r="K23" s="131">
        <f>+Actuals!H133</f>
        <v>38318.364000000001</v>
      </c>
      <c r="L23" s="129">
        <f>+Actuals!I133</f>
        <v>0</v>
      </c>
      <c r="M23" s="131">
        <f>+Actuals!J133</f>
        <v>0</v>
      </c>
      <c r="N23" s="129">
        <f>+Actuals!K133</f>
        <v>7</v>
      </c>
      <c r="O23" s="131">
        <f>+Actuals!L133</f>
        <v>15.582000000000001</v>
      </c>
      <c r="P23" s="129">
        <f>+Actuals!M133</f>
        <v>171</v>
      </c>
      <c r="Q23" s="131">
        <f>+Actuals!N133</f>
        <v>380.64600000000002</v>
      </c>
      <c r="R23" s="129">
        <f>+Actuals!O133</f>
        <v>0</v>
      </c>
      <c r="S23" s="131">
        <f>+Actuals!P133</f>
        <v>0</v>
      </c>
      <c r="T23" s="129">
        <f>+Actuals!Q173</f>
        <v>568</v>
      </c>
      <c r="U23" s="130">
        <f>+Actuals!R173</f>
        <v>1264.3679999999999</v>
      </c>
      <c r="V23" s="129">
        <f>+Actuals!S173</f>
        <v>0</v>
      </c>
      <c r="W23" s="131">
        <f>+Actuals!T173</f>
        <v>0</v>
      </c>
      <c r="X23" s="129">
        <f>+Actuals!U173</f>
        <v>28</v>
      </c>
      <c r="Y23" s="131">
        <f>+Actuals!V173</f>
        <v>62.328000000000003</v>
      </c>
      <c r="Z23" s="129">
        <f>+Actuals!W173</f>
        <v>0</v>
      </c>
      <c r="AA23" s="131">
        <f>+Actuals!X173</f>
        <v>0</v>
      </c>
      <c r="AB23" s="129">
        <f>+Actuals!Y133</f>
        <v>0</v>
      </c>
      <c r="AC23" s="131">
        <f>+Actuals!Z133</f>
        <v>0</v>
      </c>
      <c r="AD23" s="129">
        <f>+Actuals!AA133</f>
        <v>0</v>
      </c>
      <c r="AE23" s="131">
        <f>+Actuals!AB133</f>
        <v>0</v>
      </c>
    </row>
    <row r="24" spans="1:31" x14ac:dyDescent="0.25">
      <c r="A24" s="9"/>
      <c r="B24" s="7" t="s">
        <v>34</v>
      </c>
      <c r="C24" s="6"/>
      <c r="D24" s="61">
        <f t="shared" ref="D24:I24" si="5">SUM(D19:D23)</f>
        <v>-76133305</v>
      </c>
      <c r="E24" s="39">
        <f t="shared" si="5"/>
        <v>-172109850.412</v>
      </c>
      <c r="F24" s="61">
        <f t="shared" si="5"/>
        <v>0</v>
      </c>
      <c r="G24" s="39">
        <f t="shared" si="5"/>
        <v>-369601.25</v>
      </c>
      <c r="H24" s="61">
        <f t="shared" si="5"/>
        <v>-75547058</v>
      </c>
      <c r="I24" s="39">
        <f t="shared" si="5"/>
        <v>-170875213.84</v>
      </c>
      <c r="J24" s="61">
        <f t="shared" ref="J24:AE24" si="6">SUM(J19:J23)</f>
        <v>3127309</v>
      </c>
      <c r="K24" s="39">
        <f t="shared" si="6"/>
        <v>8477547.5840000007</v>
      </c>
      <c r="L24" s="61">
        <f t="shared" si="6"/>
        <v>189496</v>
      </c>
      <c r="M24" s="39">
        <f t="shared" si="6"/>
        <v>543074.74</v>
      </c>
      <c r="N24" s="61">
        <f t="shared" si="6"/>
        <v>-825657</v>
      </c>
      <c r="O24" s="39">
        <f t="shared" si="6"/>
        <v>-3216900.0180000002</v>
      </c>
      <c r="P24" s="61">
        <f t="shared" si="6"/>
        <v>-1618403</v>
      </c>
      <c r="Q24" s="39">
        <f t="shared" si="6"/>
        <v>-3675551.2539999997</v>
      </c>
      <c r="R24" s="61">
        <f t="shared" si="6"/>
        <v>-1462503</v>
      </c>
      <c r="S24" s="39">
        <f t="shared" si="6"/>
        <v>-3010380.46</v>
      </c>
      <c r="T24" s="61">
        <f t="shared" si="6"/>
        <v>1466545</v>
      </c>
      <c r="U24" s="39">
        <f t="shared" si="6"/>
        <v>3301923.8979999996</v>
      </c>
      <c r="V24" s="61">
        <f t="shared" ref="V24:AA24" si="7">SUM(V19:V23)</f>
        <v>0</v>
      </c>
      <c r="W24" s="39">
        <f t="shared" si="7"/>
        <v>0.62</v>
      </c>
      <c r="X24" s="61">
        <f t="shared" si="7"/>
        <v>-1463034</v>
      </c>
      <c r="Y24" s="39">
        <f t="shared" si="7"/>
        <v>-3284750.4319999996</v>
      </c>
      <c r="Z24" s="61">
        <f t="shared" si="7"/>
        <v>0</v>
      </c>
      <c r="AA24" s="39">
        <f t="shared" si="7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382550</v>
      </c>
      <c r="E27" s="38">
        <f>SUM(G27,I27,K27,M27,O27,Q27,S27,U27,W27,Y27,AA27,AC27,AE27)</f>
        <v>853500</v>
      </c>
      <c r="F27" s="64">
        <f>'TIE-OUT'!F27+RECLASS!F27</f>
        <v>0</v>
      </c>
      <c r="G27" s="68">
        <f>'TIE-OUT'!G27+RECLASS!G27</f>
        <v>0</v>
      </c>
      <c r="H27" s="129">
        <f>+Actuals!E134</f>
        <v>382550</v>
      </c>
      <c r="I27" s="130">
        <f>+Actuals!F134</f>
        <v>853500</v>
      </c>
      <c r="J27" s="129">
        <f>+Actuals!G134</f>
        <v>0</v>
      </c>
      <c r="K27" s="130">
        <f>+Actuals!H134</f>
        <v>0</v>
      </c>
      <c r="L27" s="129">
        <f>+Actuals!I134</f>
        <v>0</v>
      </c>
      <c r="M27" s="130">
        <f>+Actuals!J134</f>
        <v>0</v>
      </c>
      <c r="N27" s="129">
        <f>+Actuals!K134</f>
        <v>0</v>
      </c>
      <c r="O27" s="130">
        <f>+Actuals!L134</f>
        <v>0</v>
      </c>
      <c r="P27" s="129">
        <f>+Actuals!M134</f>
        <v>0</v>
      </c>
      <c r="Q27" s="130">
        <f>+Actuals!N134</f>
        <v>0</v>
      </c>
      <c r="R27" s="129">
        <f>+Actuals!O134</f>
        <v>0</v>
      </c>
      <c r="S27" s="130">
        <f>+Actuals!P134</f>
        <v>0</v>
      </c>
      <c r="T27" s="129">
        <f>+Actuals!Q174</f>
        <v>0</v>
      </c>
      <c r="U27" s="130">
        <f>+Actuals!R174</f>
        <v>0</v>
      </c>
      <c r="V27" s="129">
        <f>+Actuals!S174</f>
        <v>0</v>
      </c>
      <c r="W27" s="130">
        <f>+Actuals!T174</f>
        <v>0</v>
      </c>
      <c r="X27" s="129">
        <f>+Actuals!U174</f>
        <v>0</v>
      </c>
      <c r="Y27" s="130">
        <f>+Actuals!V174</f>
        <v>0</v>
      </c>
      <c r="Z27" s="129">
        <f>+Actuals!W174</f>
        <v>0</v>
      </c>
      <c r="AA27" s="130">
        <f>+Actuals!X174</f>
        <v>0</v>
      </c>
      <c r="AB27" s="129">
        <f>+Actuals!Y134</f>
        <v>0</v>
      </c>
      <c r="AC27" s="130">
        <f>+Actuals!Z134</f>
        <v>0</v>
      </c>
      <c r="AD27" s="129">
        <f>+Actuals!AA134</f>
        <v>0</v>
      </c>
      <c r="AE27" s="130">
        <f>+Actuals!AB134</f>
        <v>0</v>
      </c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0</v>
      </c>
      <c r="E28" s="38">
        <f>SUM(G28,I28,K28,M28,O28,Q28,S28,U28,W28,Y28,AA28,AC28,AE28)</f>
        <v>-0.48999999999999488</v>
      </c>
      <c r="F28" s="81">
        <f>'TIE-OUT'!F28+RECLASS!F28</f>
        <v>0</v>
      </c>
      <c r="G28" s="82">
        <f>'TIE-OUT'!G28+RECLASS!G28</f>
        <v>0</v>
      </c>
      <c r="H28" s="129">
        <f>+Actuals!E135</f>
        <v>-31</v>
      </c>
      <c r="I28" s="130">
        <f>+Actuals!F135</f>
        <v>-69</v>
      </c>
      <c r="J28" s="129">
        <f>+Actuals!G135</f>
        <v>0</v>
      </c>
      <c r="K28" s="130">
        <f>+Actuals!H135</f>
        <v>0</v>
      </c>
      <c r="L28" s="129">
        <f>+Actuals!I135</f>
        <v>0</v>
      </c>
      <c r="M28" s="130">
        <f>+Actuals!J135</f>
        <v>0</v>
      </c>
      <c r="N28" s="129">
        <f>+Actuals!K135</f>
        <v>0</v>
      </c>
      <c r="O28" s="130">
        <f>+Actuals!L135</f>
        <v>0</v>
      </c>
      <c r="P28" s="129">
        <f>+Actuals!M135</f>
        <v>0</v>
      </c>
      <c r="Q28" s="130">
        <f>+Actuals!N135</f>
        <v>0</v>
      </c>
      <c r="R28" s="129">
        <f>+Actuals!O135</f>
        <v>0</v>
      </c>
      <c r="S28" s="130">
        <f>+Actuals!P135</f>
        <v>0</v>
      </c>
      <c r="T28" s="129">
        <f>+Actuals!Q175</f>
        <v>0</v>
      </c>
      <c r="U28" s="130">
        <f>+Actuals!R175</f>
        <v>0</v>
      </c>
      <c r="V28" s="129">
        <f>+Actuals!S175</f>
        <v>0</v>
      </c>
      <c r="W28" s="130">
        <f>+Actuals!T175</f>
        <v>0</v>
      </c>
      <c r="X28" s="129">
        <f>+Actuals!U175</f>
        <v>31</v>
      </c>
      <c r="Y28" s="130">
        <f>+Actuals!V175</f>
        <v>68.510000000000005</v>
      </c>
      <c r="Z28" s="129">
        <f>+Actuals!W175</f>
        <v>0</v>
      </c>
      <c r="AA28" s="130">
        <f>+Actuals!X175</f>
        <v>0</v>
      </c>
      <c r="AB28" s="129">
        <f>+Actuals!Y135</f>
        <v>0</v>
      </c>
      <c r="AC28" s="130">
        <f>+Actuals!Z135</f>
        <v>0</v>
      </c>
      <c r="AD28" s="129">
        <f>+Actuals!AA135</f>
        <v>0</v>
      </c>
      <c r="AE28" s="130">
        <f>+Actuals!AB135</f>
        <v>0</v>
      </c>
    </row>
    <row r="29" spans="1:31" x14ac:dyDescent="0.25">
      <c r="A29" s="9"/>
      <c r="B29" s="7" t="s">
        <v>38</v>
      </c>
      <c r="C29" s="18"/>
      <c r="D29" s="61">
        <f t="shared" ref="D29:I29" si="8">SUM(D27:D28)</f>
        <v>382550</v>
      </c>
      <c r="E29" s="39">
        <f t="shared" si="8"/>
        <v>853499.51</v>
      </c>
      <c r="F29" s="61">
        <f t="shared" si="8"/>
        <v>0</v>
      </c>
      <c r="G29" s="39">
        <f t="shared" si="8"/>
        <v>0</v>
      </c>
      <c r="H29" s="61">
        <f t="shared" si="8"/>
        <v>382519</v>
      </c>
      <c r="I29" s="39">
        <f t="shared" si="8"/>
        <v>853431</v>
      </c>
      <c r="J29" s="61">
        <f t="shared" ref="J29:AE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ref="V29:AA29" si="10">SUM(V27:V28)</f>
        <v>0</v>
      </c>
      <c r="W29" s="39">
        <f t="shared" si="10"/>
        <v>0</v>
      </c>
      <c r="X29" s="61">
        <f t="shared" si="10"/>
        <v>31</v>
      </c>
      <c r="Y29" s="39">
        <f t="shared" si="10"/>
        <v>68.510000000000005</v>
      </c>
      <c r="Z29" s="61">
        <f t="shared" si="10"/>
        <v>0</v>
      </c>
      <c r="AA29" s="39">
        <f t="shared" si="10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SUM(F32,H32,J32,L32,N32,P32,R32,T32,V32,X32,Z32,AB32,AD32)</f>
        <v>124161</v>
      </c>
      <c r="E32" s="38">
        <f t="shared" si="11"/>
        <v>-776804.7359999998</v>
      </c>
      <c r="F32" s="64">
        <f>'TIE-OUT'!F32+RECLASS!F32</f>
        <v>0</v>
      </c>
      <c r="G32" s="68">
        <f>'TIE-OUT'!G32+RECLASS!G32</f>
        <v>0</v>
      </c>
      <c r="H32" s="129">
        <f>+Actuals!E136</f>
        <v>1644</v>
      </c>
      <c r="I32" s="130">
        <f>+Actuals!F136</f>
        <v>-526436.93999999994</v>
      </c>
      <c r="J32" s="129">
        <f>+Actuals!G136</f>
        <v>109728</v>
      </c>
      <c r="K32" s="130">
        <f>+Actuals!H136</f>
        <v>892657.728</v>
      </c>
      <c r="L32" s="129">
        <f>+Actuals!I136</f>
        <v>-237792</v>
      </c>
      <c r="M32" s="130">
        <f>+Actuals!J136</f>
        <v>-690487.84</v>
      </c>
      <c r="N32" s="129">
        <f>+Actuals!K136</f>
        <v>630697</v>
      </c>
      <c r="O32" s="130">
        <f>+Actuals!L136</f>
        <v>393600.53</v>
      </c>
      <c r="P32" s="129">
        <f>+Actuals!M136</f>
        <v>-313872</v>
      </c>
      <c r="Q32" s="130">
        <f>+Actuals!N136</f>
        <v>-698679.07</v>
      </c>
      <c r="R32" s="129">
        <f>+Actuals!O136</f>
        <v>0</v>
      </c>
      <c r="S32" s="130">
        <f>+Actuals!P136</f>
        <v>0</v>
      </c>
      <c r="T32" s="129">
        <f>+Actuals!Q176</f>
        <v>-69452</v>
      </c>
      <c r="U32" s="130">
        <f>+Actuals!R176</f>
        <v>-154600.152</v>
      </c>
      <c r="V32" s="129">
        <f>+Actuals!S176</f>
        <v>0</v>
      </c>
      <c r="W32" s="130">
        <f>+Actuals!T176</f>
        <v>0</v>
      </c>
      <c r="X32" s="129">
        <f>+Actuals!U176</f>
        <v>3208</v>
      </c>
      <c r="Y32" s="130">
        <f>+Actuals!V176</f>
        <v>7141.0079999999998</v>
      </c>
      <c r="Z32" s="129">
        <f>+Actuals!W176</f>
        <v>0</v>
      </c>
      <c r="AA32" s="130">
        <f>+Actuals!X176</f>
        <v>0</v>
      </c>
      <c r="AB32" s="129">
        <f>+Actuals!Y136</f>
        <v>0</v>
      </c>
      <c r="AC32" s="130">
        <f>+Actuals!Z136</f>
        <v>0</v>
      </c>
      <c r="AD32" s="129">
        <f>+Actuals!AA136</f>
        <v>0</v>
      </c>
      <c r="AE32" s="130">
        <f>+Actuals!AB136</f>
        <v>0</v>
      </c>
    </row>
    <row r="33" spans="1:31" x14ac:dyDescent="0.25">
      <c r="A33" s="9">
        <v>14</v>
      </c>
      <c r="B33" s="7"/>
      <c r="C33" s="18" t="s">
        <v>41</v>
      </c>
      <c r="D33" s="60">
        <f t="shared" si="11"/>
        <v>-14292</v>
      </c>
      <c r="E33" s="38">
        <f t="shared" si="11"/>
        <v>-30394.36</v>
      </c>
      <c r="F33" s="60">
        <f>'TIE-OUT'!F33+RECLASS!F33</f>
        <v>0</v>
      </c>
      <c r="G33" s="38">
        <f>'TIE-OUT'!G33+RECLASS!G33</f>
        <v>0</v>
      </c>
      <c r="H33" s="129">
        <f>+Actuals!E137</f>
        <v>0</v>
      </c>
      <c r="I33" s="130">
        <f>+Actuals!F137</f>
        <v>0</v>
      </c>
      <c r="J33" s="129">
        <f>+Actuals!G137</f>
        <v>0</v>
      </c>
      <c r="K33" s="130">
        <f>+Actuals!H137</f>
        <v>0</v>
      </c>
      <c r="L33" s="129">
        <f>+Actuals!I137</f>
        <v>0</v>
      </c>
      <c r="M33" s="130">
        <f>+Actuals!J137</f>
        <v>0</v>
      </c>
      <c r="N33" s="129">
        <f>+Actuals!K137</f>
        <v>-6895</v>
      </c>
      <c r="O33" s="130">
        <f>+Actuals!L137</f>
        <v>-14958.02</v>
      </c>
      <c r="P33" s="129">
        <f>+Actuals!M137</f>
        <v>-16</v>
      </c>
      <c r="Q33" s="130">
        <f>+Actuals!N137</f>
        <v>-34.94</v>
      </c>
      <c r="R33" s="129">
        <f>+Actuals!O137</f>
        <v>-3639</v>
      </c>
      <c r="S33" s="130">
        <f>+Actuals!P137</f>
        <v>-7947.58</v>
      </c>
      <c r="T33" s="129">
        <f>+Actuals!Q177</f>
        <v>-1400</v>
      </c>
      <c r="U33" s="130">
        <f>+Actuals!R177</f>
        <v>-3057.6</v>
      </c>
      <c r="V33" s="129">
        <f>+Actuals!S177</f>
        <v>0</v>
      </c>
      <c r="W33" s="130">
        <f>+Actuals!T177</f>
        <v>0</v>
      </c>
      <c r="X33" s="129">
        <f>+Actuals!U177</f>
        <v>-2342</v>
      </c>
      <c r="Y33" s="130">
        <f>+Actuals!V177</f>
        <v>-4396.22</v>
      </c>
      <c r="Z33" s="129">
        <f>+Actuals!W177</f>
        <v>0</v>
      </c>
      <c r="AA33" s="130">
        <f>+Actuals!X177</f>
        <v>0</v>
      </c>
      <c r="AB33" s="129">
        <f>+Actuals!Y137</f>
        <v>0</v>
      </c>
      <c r="AC33" s="130">
        <f>+Actuals!Z137</f>
        <v>0</v>
      </c>
      <c r="AD33" s="129">
        <f>+Actuals!AA137</f>
        <v>0</v>
      </c>
      <c r="AE33" s="130">
        <f>+Actuals!AB137</f>
        <v>0</v>
      </c>
    </row>
    <row r="34" spans="1:31" x14ac:dyDescent="0.25">
      <c r="A34" s="9">
        <v>15</v>
      </c>
      <c r="B34" s="7"/>
      <c r="C34" s="18" t="s">
        <v>42</v>
      </c>
      <c r="D34" s="60">
        <f t="shared" si="11"/>
        <v>9165</v>
      </c>
      <c r="E34" s="38">
        <f t="shared" si="11"/>
        <v>18044.259999999998</v>
      </c>
      <c r="F34" s="60">
        <f>'TIE-OUT'!F34+RECLASS!F34</f>
        <v>0</v>
      </c>
      <c r="G34" s="38">
        <f>'TIE-OUT'!G34+RECLASS!G34</f>
        <v>0</v>
      </c>
      <c r="H34" s="129">
        <f>+Actuals!E138</f>
        <v>0</v>
      </c>
      <c r="I34" s="130">
        <f>+Actuals!F138</f>
        <v>0</v>
      </c>
      <c r="J34" s="129">
        <f>+Actuals!G138</f>
        <v>0</v>
      </c>
      <c r="K34" s="130">
        <f>+Actuals!H138</f>
        <v>0</v>
      </c>
      <c r="L34" s="129">
        <f>+Actuals!I138</f>
        <v>0</v>
      </c>
      <c r="M34" s="130">
        <f>+Actuals!J138</f>
        <v>0</v>
      </c>
      <c r="N34" s="129">
        <f>+Actuals!K138</f>
        <v>1364</v>
      </c>
      <c r="O34" s="130">
        <f>+Actuals!L138</f>
        <v>1802.25</v>
      </c>
      <c r="P34" s="129">
        <f>+Actuals!M138</f>
        <v>0</v>
      </c>
      <c r="Q34" s="130">
        <f>+Actuals!N138</f>
        <v>0</v>
      </c>
      <c r="R34" s="129">
        <f>+Actuals!O138</f>
        <v>3639</v>
      </c>
      <c r="S34" s="130">
        <f>+Actuals!P138</f>
        <v>7947.58</v>
      </c>
      <c r="T34" s="129">
        <f>+Actuals!Q178</f>
        <v>2239</v>
      </c>
      <c r="U34" s="130">
        <f>+Actuals!R178</f>
        <v>4889.9799999999996</v>
      </c>
      <c r="V34" s="129">
        <f>+Actuals!S178</f>
        <v>0</v>
      </c>
      <c r="W34" s="130">
        <f>+Actuals!T178</f>
        <v>0</v>
      </c>
      <c r="X34" s="129">
        <f>+Actuals!U178</f>
        <v>1923</v>
      </c>
      <c r="Y34" s="130">
        <f>+Actuals!V178</f>
        <v>3404.45</v>
      </c>
      <c r="Z34" s="129">
        <f>+Actuals!W178</f>
        <v>0</v>
      </c>
      <c r="AA34" s="130">
        <f>+Actuals!X178</f>
        <v>0</v>
      </c>
      <c r="AB34" s="129">
        <f>+Actuals!Y138</f>
        <v>0</v>
      </c>
      <c r="AC34" s="130">
        <f>+Actuals!Z138</f>
        <v>0</v>
      </c>
      <c r="AD34" s="129">
        <f>+Actuals!AA138</f>
        <v>0</v>
      </c>
      <c r="AE34" s="130">
        <f>+Actuals!AB138</f>
        <v>0</v>
      </c>
    </row>
    <row r="35" spans="1:31" x14ac:dyDescent="0.25">
      <c r="A35" s="9">
        <v>16</v>
      </c>
      <c r="B35" s="7"/>
      <c r="C35" s="18" t="s">
        <v>43</v>
      </c>
      <c r="D35" s="60">
        <f t="shared" si="11"/>
        <v>-473130</v>
      </c>
      <c r="E35" s="38">
        <f t="shared" si="11"/>
        <v>-0.01</v>
      </c>
      <c r="F35" s="81">
        <f>'TIE-OUT'!F35+RECLASS!F35</f>
        <v>0</v>
      </c>
      <c r="G35" s="82">
        <f>'TIE-OUT'!G35+RECLASS!G35</f>
        <v>0</v>
      </c>
      <c r="H35" s="129">
        <f>+Actuals!E139</f>
        <v>0</v>
      </c>
      <c r="I35" s="130">
        <f>+Actuals!F139</f>
        <v>-0.01</v>
      </c>
      <c r="J35" s="129">
        <f>+Actuals!G139</f>
        <v>0</v>
      </c>
      <c r="K35" s="130">
        <f>+Actuals!H139</f>
        <v>0</v>
      </c>
      <c r="L35" s="129">
        <f>+Actuals!I139</f>
        <v>-473130</v>
      </c>
      <c r="M35" s="130">
        <f>+Actuals!J139</f>
        <v>0</v>
      </c>
      <c r="N35" s="129">
        <f>+Actuals!K139</f>
        <v>0</v>
      </c>
      <c r="O35" s="130">
        <f>+Actuals!L139</f>
        <v>0</v>
      </c>
      <c r="P35" s="129">
        <f>+Actuals!M139</f>
        <v>0</v>
      </c>
      <c r="Q35" s="130">
        <f>+Actuals!N139</f>
        <v>0</v>
      </c>
      <c r="R35" s="129">
        <f>+Actuals!O139</f>
        <v>0</v>
      </c>
      <c r="S35" s="130">
        <f>+Actuals!P139</f>
        <v>0</v>
      </c>
      <c r="T35" s="129">
        <f>+Actuals!Q179</f>
        <v>0</v>
      </c>
      <c r="U35" s="130">
        <f>+Actuals!R179</f>
        <v>0</v>
      </c>
      <c r="V35" s="129">
        <f>+Actuals!S179</f>
        <v>0</v>
      </c>
      <c r="W35" s="130">
        <f>+Actuals!T179</f>
        <v>0</v>
      </c>
      <c r="X35" s="129">
        <f>+Actuals!U179</f>
        <v>0</v>
      </c>
      <c r="Y35" s="130">
        <f>+Actuals!V179</f>
        <v>0</v>
      </c>
      <c r="Z35" s="129">
        <f>+Actuals!W179</f>
        <v>0</v>
      </c>
      <c r="AA35" s="130">
        <f>+Actuals!X179</f>
        <v>0</v>
      </c>
      <c r="AB35" s="129">
        <f>+Actuals!Y139</f>
        <v>0</v>
      </c>
      <c r="AC35" s="130">
        <f>+Actuals!Z139</f>
        <v>0</v>
      </c>
      <c r="AD35" s="129">
        <f>+Actuals!AA139</f>
        <v>0</v>
      </c>
      <c r="AE35" s="130">
        <f>+Actuals!AB139</f>
        <v>0</v>
      </c>
    </row>
    <row r="36" spans="1:31" x14ac:dyDescent="0.25">
      <c r="A36" s="9"/>
      <c r="B36" s="7" t="s">
        <v>44</v>
      </c>
      <c r="C36" s="6"/>
      <c r="D36" s="61">
        <f t="shared" ref="D36:I36" si="12">SUM(D32:D35)</f>
        <v>-354096</v>
      </c>
      <c r="E36" s="39">
        <f t="shared" si="12"/>
        <v>-789154.84599999979</v>
      </c>
      <c r="F36" s="61">
        <f t="shared" si="12"/>
        <v>0</v>
      </c>
      <c r="G36" s="39">
        <f t="shared" si="12"/>
        <v>0</v>
      </c>
      <c r="H36" s="61">
        <f t="shared" si="12"/>
        <v>1644</v>
      </c>
      <c r="I36" s="39">
        <f t="shared" si="12"/>
        <v>-526436.94999999995</v>
      </c>
      <c r="J36" s="61">
        <f t="shared" ref="J36:AE36" si="13">SUM(J32:J35)</f>
        <v>109728</v>
      </c>
      <c r="K36" s="39">
        <f t="shared" si="13"/>
        <v>892657.728</v>
      </c>
      <c r="L36" s="61">
        <f t="shared" si="13"/>
        <v>-710922</v>
      </c>
      <c r="M36" s="39">
        <f t="shared" si="13"/>
        <v>-690487.84</v>
      </c>
      <c r="N36" s="61">
        <f t="shared" si="13"/>
        <v>625166</v>
      </c>
      <c r="O36" s="39">
        <f t="shared" si="13"/>
        <v>380444.76</v>
      </c>
      <c r="P36" s="61">
        <f t="shared" si="13"/>
        <v>-313888</v>
      </c>
      <c r="Q36" s="39">
        <f t="shared" si="13"/>
        <v>-698714.00999999989</v>
      </c>
      <c r="R36" s="61">
        <f t="shared" si="13"/>
        <v>0</v>
      </c>
      <c r="S36" s="39">
        <f t="shared" si="13"/>
        <v>0</v>
      </c>
      <c r="T36" s="61">
        <f t="shared" si="13"/>
        <v>-68613</v>
      </c>
      <c r="U36" s="39">
        <f t="shared" si="13"/>
        <v>-152767.772</v>
      </c>
      <c r="V36" s="61">
        <f t="shared" ref="V36:AA36" si="14">SUM(V32:V35)</f>
        <v>0</v>
      </c>
      <c r="W36" s="39">
        <f t="shared" si="14"/>
        <v>0</v>
      </c>
      <c r="X36" s="61">
        <f t="shared" si="14"/>
        <v>2789</v>
      </c>
      <c r="Y36" s="39">
        <f t="shared" si="14"/>
        <v>6149.2379999999994</v>
      </c>
      <c r="Z36" s="61">
        <f t="shared" si="14"/>
        <v>0</v>
      </c>
      <c r="AA36" s="39">
        <f t="shared" si="14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SUM(F39,H39,J39,L39,N39,P39,R39,T39,V39,X39,Z39,AB39,AD39)</f>
        <v>189</v>
      </c>
      <c r="E39" s="38">
        <f t="shared" si="15"/>
        <v>420.72</v>
      </c>
      <c r="F39" s="64">
        <f>'TIE-OUT'!F39+RECLASS!F39</f>
        <v>0</v>
      </c>
      <c r="G39" s="68">
        <f>'TIE-OUT'!G39+RECLASS!G39</f>
        <v>0</v>
      </c>
      <c r="H39" s="129">
        <f>+Actuals!E140</f>
        <v>188</v>
      </c>
      <c r="I39" s="130">
        <f>+Actuals!F140</f>
        <v>418.49</v>
      </c>
      <c r="J39" s="129">
        <f>+Actuals!G140</f>
        <v>1</v>
      </c>
      <c r="K39" s="130">
        <f>+Actuals!H140</f>
        <v>2.23</v>
      </c>
      <c r="L39" s="129">
        <f>+Actuals!I140</f>
        <v>0</v>
      </c>
      <c r="M39" s="130">
        <f>+Actuals!J140</f>
        <v>0</v>
      </c>
      <c r="N39" s="129">
        <f>+Actuals!K140</f>
        <v>0</v>
      </c>
      <c r="O39" s="130">
        <f>+Actuals!L140</f>
        <v>0</v>
      </c>
      <c r="P39" s="129">
        <f>+Actuals!M140</f>
        <v>0</v>
      </c>
      <c r="Q39" s="130">
        <f>+Actuals!N140</f>
        <v>0</v>
      </c>
      <c r="R39" s="129">
        <f>+Actuals!O140</f>
        <v>0</v>
      </c>
      <c r="S39" s="130">
        <f>+Actuals!P140</f>
        <v>0</v>
      </c>
      <c r="T39" s="129">
        <f>+Actuals!Q180</f>
        <v>0</v>
      </c>
      <c r="U39" s="130">
        <f>+Actuals!R180</f>
        <v>0</v>
      </c>
      <c r="V39" s="129">
        <f>+Actuals!S180</f>
        <v>0</v>
      </c>
      <c r="W39" s="130">
        <f>+Actuals!T180</f>
        <v>0</v>
      </c>
      <c r="X39" s="129">
        <f>+Actuals!U180</f>
        <v>0</v>
      </c>
      <c r="Y39" s="130">
        <f>+Actuals!V180</f>
        <v>0</v>
      </c>
      <c r="Z39" s="129">
        <f>+Actuals!W180</f>
        <v>0</v>
      </c>
      <c r="AA39" s="130">
        <f>+Actuals!X180</f>
        <v>0</v>
      </c>
      <c r="AB39" s="129">
        <f>+Actuals!Y140</f>
        <v>0</v>
      </c>
      <c r="AC39" s="130">
        <f>+Actuals!Z140</f>
        <v>0</v>
      </c>
      <c r="AD39" s="129">
        <f>+Actuals!AA140</f>
        <v>0</v>
      </c>
      <c r="AE39" s="130">
        <f>+Actuals!AB140</f>
        <v>0</v>
      </c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5"/>
        <v>-278443</v>
      </c>
      <c r="E40" s="38">
        <f t="shared" si="15"/>
        <v>-618375.85</v>
      </c>
      <c r="F40" s="60">
        <f>'TIE-OUT'!F40+RECLASS!F40</f>
        <v>0</v>
      </c>
      <c r="G40" s="38">
        <f>'TIE-OUT'!G40+RECLASS!G40</f>
        <v>0</v>
      </c>
      <c r="H40" s="129">
        <f>+Actuals!E141</f>
        <v>-279956</v>
      </c>
      <c r="I40" s="130">
        <f>+Actuals!F141</f>
        <v>-623182.05000000005</v>
      </c>
      <c r="J40" s="129">
        <f>+Actuals!G141</f>
        <v>1573</v>
      </c>
      <c r="K40" s="130">
        <f>+Actuals!H141</f>
        <v>3501.5</v>
      </c>
      <c r="L40" s="129">
        <f>+Actuals!I141</f>
        <v>-60</v>
      </c>
      <c r="M40" s="130">
        <f>+Actuals!J141</f>
        <v>-136.19999999999999</v>
      </c>
      <c r="N40" s="129">
        <f>+Actuals!K141</f>
        <v>0</v>
      </c>
      <c r="O40" s="130">
        <f>+Actuals!L141</f>
        <v>0</v>
      </c>
      <c r="P40" s="129">
        <f>+Actuals!M141</f>
        <v>0</v>
      </c>
      <c r="Q40" s="130">
        <f>+Actuals!N141</f>
        <v>0</v>
      </c>
      <c r="R40" s="129">
        <f>+Actuals!O141</f>
        <v>0</v>
      </c>
      <c r="S40" s="130">
        <f>+Actuals!P141</f>
        <v>0</v>
      </c>
      <c r="T40" s="129">
        <f>+Actuals!Q181</f>
        <v>0</v>
      </c>
      <c r="U40" s="130">
        <f>+Actuals!R181</f>
        <v>0</v>
      </c>
      <c r="V40" s="129">
        <f>+Actuals!S181</f>
        <v>0</v>
      </c>
      <c r="W40" s="130">
        <f>+Actuals!T181</f>
        <v>1440.9</v>
      </c>
      <c r="X40" s="129">
        <f>+Actuals!U181</f>
        <v>0</v>
      </c>
      <c r="Y40" s="130">
        <f>+Actuals!V181</f>
        <v>0</v>
      </c>
      <c r="Z40" s="129">
        <f>+Actuals!W181</f>
        <v>0</v>
      </c>
      <c r="AA40" s="130">
        <f>+Actuals!X181</f>
        <v>0</v>
      </c>
      <c r="AB40" s="129">
        <f>+Actuals!Y141</f>
        <v>0</v>
      </c>
      <c r="AC40" s="130">
        <f>+Actuals!Z141</f>
        <v>0</v>
      </c>
      <c r="AD40" s="129">
        <f>+Actuals!AA141</f>
        <v>0</v>
      </c>
      <c r="AE40" s="130">
        <f>+Actuals!AB141</f>
        <v>0</v>
      </c>
    </row>
    <row r="41" spans="1:31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9">
        <f>+Actuals!E142</f>
        <v>0</v>
      </c>
      <c r="I41" s="130">
        <f>+Actuals!F142</f>
        <v>0</v>
      </c>
      <c r="J41" s="129">
        <f>+Actuals!G142</f>
        <v>0</v>
      </c>
      <c r="K41" s="130">
        <f>+Actuals!H142</f>
        <v>0</v>
      </c>
      <c r="L41" s="129">
        <f>+Actuals!I142</f>
        <v>0</v>
      </c>
      <c r="M41" s="130">
        <f>+Actuals!J142</f>
        <v>0</v>
      </c>
      <c r="N41" s="129">
        <f>+Actuals!K142</f>
        <v>0</v>
      </c>
      <c r="O41" s="130">
        <f>+Actuals!L142</f>
        <v>0</v>
      </c>
      <c r="P41" s="129">
        <f>+Actuals!M142</f>
        <v>0</v>
      </c>
      <c r="Q41" s="130">
        <f>+Actuals!N142</f>
        <v>0</v>
      </c>
      <c r="R41" s="129">
        <f>+Actuals!O142</f>
        <v>0</v>
      </c>
      <c r="S41" s="130">
        <f>+Actuals!P142</f>
        <v>0</v>
      </c>
      <c r="T41" s="129">
        <f>+Actuals!Q182</f>
        <v>0</v>
      </c>
      <c r="U41" s="130">
        <f>+Actuals!R182</f>
        <v>0</v>
      </c>
      <c r="V41" s="129">
        <f>+Actuals!S182</f>
        <v>0</v>
      </c>
      <c r="W41" s="130">
        <f>+Actuals!T182</f>
        <v>0</v>
      </c>
      <c r="X41" s="129">
        <f>+Actuals!U182</f>
        <v>0</v>
      </c>
      <c r="Y41" s="130">
        <f>+Actuals!V182</f>
        <v>0</v>
      </c>
      <c r="Z41" s="129">
        <f>+Actuals!W182</f>
        <v>0</v>
      </c>
      <c r="AA41" s="130">
        <f>+Actuals!X182</f>
        <v>0</v>
      </c>
      <c r="AB41" s="129">
        <f>+Actuals!Y142</f>
        <v>0</v>
      </c>
      <c r="AC41" s="130">
        <f>+Actuals!Z142</f>
        <v>0</v>
      </c>
      <c r="AD41" s="129">
        <f>+Actuals!AA142</f>
        <v>0</v>
      </c>
      <c r="AE41" s="130">
        <f>+Actuals!AB142</f>
        <v>0</v>
      </c>
    </row>
    <row r="42" spans="1:31" x14ac:dyDescent="0.25">
      <c r="A42" s="9"/>
      <c r="B42" s="7"/>
      <c r="C42" s="53" t="s">
        <v>49</v>
      </c>
      <c r="D42" s="61">
        <f t="shared" ref="D42:I42" si="16">SUM(D40:D41)</f>
        <v>-278443</v>
      </c>
      <c r="E42" s="39">
        <f t="shared" si="16"/>
        <v>-618375.85</v>
      </c>
      <c r="F42" s="61">
        <f t="shared" si="16"/>
        <v>0</v>
      </c>
      <c r="G42" s="39">
        <f t="shared" si="16"/>
        <v>0</v>
      </c>
      <c r="H42" s="61">
        <f t="shared" si="16"/>
        <v>-279956</v>
      </c>
      <c r="I42" s="39">
        <f t="shared" si="16"/>
        <v>-623182.05000000005</v>
      </c>
      <c r="J42" s="61">
        <f t="shared" ref="J42:AE42" si="17">SUM(J40:J41)</f>
        <v>1573</v>
      </c>
      <c r="K42" s="39">
        <f t="shared" si="17"/>
        <v>3501.5</v>
      </c>
      <c r="L42" s="61">
        <f t="shared" si="17"/>
        <v>-60</v>
      </c>
      <c r="M42" s="39">
        <f t="shared" si="17"/>
        <v>-136.19999999999999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ref="V42:AA42" si="18">SUM(V40:V41)</f>
        <v>0</v>
      </c>
      <c r="W42" s="39">
        <f t="shared" si="18"/>
        <v>1440.9</v>
      </c>
      <c r="X42" s="61">
        <f t="shared" si="18"/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5">
      <c r="A43" s="9"/>
      <c r="B43" s="7" t="s">
        <v>50</v>
      </c>
      <c r="C43" s="6"/>
      <c r="D43" s="61">
        <f t="shared" ref="D43:I43" si="19">D42+D39</f>
        <v>-278254</v>
      </c>
      <c r="E43" s="39">
        <f t="shared" si="19"/>
        <v>-617955.13</v>
      </c>
      <c r="F43" s="61">
        <f t="shared" si="19"/>
        <v>0</v>
      </c>
      <c r="G43" s="39">
        <f t="shared" si="19"/>
        <v>0</v>
      </c>
      <c r="H43" s="61">
        <f t="shared" si="19"/>
        <v>-279768</v>
      </c>
      <c r="I43" s="39">
        <f t="shared" si="19"/>
        <v>-622763.56000000006</v>
      </c>
      <c r="J43" s="61">
        <f t="shared" ref="J43:AE43" si="20">J42+J39</f>
        <v>1574</v>
      </c>
      <c r="K43" s="39">
        <f t="shared" si="20"/>
        <v>3503.73</v>
      </c>
      <c r="L43" s="61">
        <f t="shared" si="20"/>
        <v>-60</v>
      </c>
      <c r="M43" s="39">
        <f t="shared" si="20"/>
        <v>-136.19999999999999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ref="V43:AA43" si="21">V42+V39</f>
        <v>0</v>
      </c>
      <c r="W43" s="39">
        <f t="shared" si="21"/>
        <v>1440.9</v>
      </c>
      <c r="X43" s="61">
        <f t="shared" si="21"/>
        <v>0</v>
      </c>
      <c r="Y43" s="39">
        <f t="shared" si="21"/>
        <v>0</v>
      </c>
      <c r="Z43" s="61">
        <f t="shared" si="21"/>
        <v>0</v>
      </c>
      <c r="AA43" s="39">
        <f t="shared" si="21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9">
        <f>+Actuals!E143</f>
        <v>0</v>
      </c>
      <c r="I45" s="130">
        <f>+Actuals!F143</f>
        <v>0</v>
      </c>
      <c r="J45" s="129">
        <f>+Actuals!G143</f>
        <v>0</v>
      </c>
      <c r="K45" s="130">
        <f>+Actuals!H143</f>
        <v>0</v>
      </c>
      <c r="L45" s="129">
        <f>+Actuals!I143</f>
        <v>0</v>
      </c>
      <c r="M45" s="130">
        <f>+Actuals!J143</f>
        <v>0</v>
      </c>
      <c r="N45" s="129">
        <f>+Actuals!K143</f>
        <v>0</v>
      </c>
      <c r="O45" s="130">
        <f>+Actuals!L143</f>
        <v>0</v>
      </c>
      <c r="P45" s="129">
        <f>+Actuals!M143</f>
        <v>0</v>
      </c>
      <c r="Q45" s="130">
        <f>+Actuals!N143</f>
        <v>0</v>
      </c>
      <c r="R45" s="129">
        <f>+Actuals!O143</f>
        <v>0</v>
      </c>
      <c r="S45" s="130">
        <f>+Actuals!P143</f>
        <v>0</v>
      </c>
      <c r="T45" s="129">
        <f>+Actuals!Q183</f>
        <v>0</v>
      </c>
      <c r="U45" s="130">
        <f>+Actuals!R183</f>
        <v>0</v>
      </c>
      <c r="V45" s="129">
        <f>+Actuals!S183</f>
        <v>0</v>
      </c>
      <c r="W45" s="130">
        <f>+Actuals!T183</f>
        <v>0</v>
      </c>
      <c r="X45" s="129">
        <f>+Actuals!U183</f>
        <v>0</v>
      </c>
      <c r="Y45" s="130">
        <f>+Actuals!V183</f>
        <v>0</v>
      </c>
      <c r="Z45" s="129">
        <f>+Actuals!W183</f>
        <v>0</v>
      </c>
      <c r="AA45" s="130">
        <f>+Actuals!X183</f>
        <v>0</v>
      </c>
      <c r="AB45" s="129">
        <f>+Actuals!Y143</f>
        <v>0</v>
      </c>
      <c r="AC45" s="130">
        <f>+Actuals!Z143</f>
        <v>0</v>
      </c>
      <c r="AD45" s="129">
        <f>+Actuals!AA143</f>
        <v>0</v>
      </c>
      <c r="AE45" s="130">
        <f>+Actuals!AB143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9">
        <f>+Actuals!E144</f>
        <v>0</v>
      </c>
      <c r="I47" s="130">
        <f>+Actuals!F144</f>
        <v>0</v>
      </c>
      <c r="J47" s="129">
        <f>+Actuals!G144</f>
        <v>0</v>
      </c>
      <c r="K47" s="130">
        <f>+Actuals!H144</f>
        <v>0</v>
      </c>
      <c r="L47" s="129">
        <f>+Actuals!I144</f>
        <v>0</v>
      </c>
      <c r="M47" s="130">
        <f>+Actuals!J144</f>
        <v>0</v>
      </c>
      <c r="N47" s="129">
        <f>+Actuals!K144</f>
        <v>0</v>
      </c>
      <c r="O47" s="130">
        <f>+Actuals!L144</f>
        <v>0</v>
      </c>
      <c r="P47" s="129">
        <f>+Actuals!M144</f>
        <v>0</v>
      </c>
      <c r="Q47" s="130">
        <f>+Actuals!N144</f>
        <v>0</v>
      </c>
      <c r="R47" s="129">
        <f>+Actuals!O144</f>
        <v>0</v>
      </c>
      <c r="S47" s="130">
        <f>+Actuals!P144</f>
        <v>0</v>
      </c>
      <c r="T47" s="129">
        <f>+Actuals!Q184</f>
        <v>0</v>
      </c>
      <c r="U47" s="130">
        <f>+Actuals!R184</f>
        <v>0</v>
      </c>
      <c r="V47" s="129">
        <f>+Actuals!S184</f>
        <v>0</v>
      </c>
      <c r="W47" s="130">
        <f>+Actuals!T184</f>
        <v>0</v>
      </c>
      <c r="X47" s="129">
        <f>+Actuals!U184</f>
        <v>0</v>
      </c>
      <c r="Y47" s="130">
        <f>+Actuals!V184</f>
        <v>0</v>
      </c>
      <c r="Z47" s="129">
        <f>+Actuals!W184</f>
        <v>0</v>
      </c>
      <c r="AA47" s="130">
        <f>+Actuals!X184</f>
        <v>0</v>
      </c>
      <c r="AB47" s="129">
        <f>+Actuals!Y144</f>
        <v>0</v>
      </c>
      <c r="AC47" s="130">
        <f>+Actuals!Z144</f>
        <v>0</v>
      </c>
      <c r="AD47" s="129">
        <f>+Actuals!AA144</f>
        <v>0</v>
      </c>
      <c r="AE47" s="130">
        <f>+Actuals!AB144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98083</v>
      </c>
      <c r="E49" s="38">
        <f>SUM(G49,I49,K49,M49,O49,Q49,S49,U49,W49,Y49,AA49,AC49,AE49)</f>
        <v>218332.75800000131</v>
      </c>
      <c r="F49" s="60">
        <f>'TIE-OUT'!F49+RECLASS!F49</f>
        <v>0</v>
      </c>
      <c r="G49" s="38">
        <f>'TIE-OUT'!G49+RECLASS!G49</f>
        <v>0</v>
      </c>
      <c r="H49" s="129">
        <f>+Actuals!E145</f>
        <v>-495796</v>
      </c>
      <c r="I49" s="130">
        <f>+Actuals!F145</f>
        <v>-1103641.8959999999</v>
      </c>
      <c r="J49" s="129">
        <f>+Actuals!G145</f>
        <v>-3131972</v>
      </c>
      <c r="K49" s="130">
        <f>+Actuals!H145</f>
        <v>-6971769.6720000003</v>
      </c>
      <c r="L49" s="129">
        <f>+Actuals!I145</f>
        <v>293252</v>
      </c>
      <c r="M49" s="130">
        <f>+Actuals!J145</f>
        <v>652778.95200000005</v>
      </c>
      <c r="N49" s="129">
        <f>+Actuals!K145</f>
        <v>-1217125</v>
      </c>
      <c r="O49" s="130">
        <f>+Actuals!L145</f>
        <v>-2709320.25</v>
      </c>
      <c r="P49" s="129">
        <f>+Actuals!M145</f>
        <v>502051</v>
      </c>
      <c r="Q49" s="130">
        <f>+Actuals!N145</f>
        <v>1117565.5260000001</v>
      </c>
      <c r="R49" s="129">
        <f>+Actuals!O145</f>
        <v>4090572</v>
      </c>
      <c r="S49" s="130">
        <f>+Actuals!P145</f>
        <v>9105613.2719999999</v>
      </c>
      <c r="T49" s="129">
        <f>+Actuals!Q185</f>
        <v>-4031182</v>
      </c>
      <c r="U49" s="130">
        <f>+Actuals!R185</f>
        <v>-8973411.1319999993</v>
      </c>
      <c r="V49" s="129">
        <f>+Actuals!S185</f>
        <v>0</v>
      </c>
      <c r="W49" s="130">
        <f>+Actuals!T185</f>
        <v>0</v>
      </c>
      <c r="X49" s="129">
        <f>+Actuals!U185</f>
        <v>4088283</v>
      </c>
      <c r="Y49" s="130">
        <f>+Actuals!V185</f>
        <v>9100517.9580000006</v>
      </c>
      <c r="Z49" s="129">
        <f>+Actuals!W185</f>
        <v>0</v>
      </c>
      <c r="AA49" s="130">
        <f>+Actuals!X185</f>
        <v>0</v>
      </c>
      <c r="AB49" s="129">
        <f>+Actuals!Y145</f>
        <v>0</v>
      </c>
      <c r="AC49" s="130">
        <f>+Actuals!Z145</f>
        <v>0</v>
      </c>
      <c r="AD49" s="129">
        <f>+Actuals!AA145</f>
        <v>0</v>
      </c>
      <c r="AE49" s="130">
        <f>+Actuals!AB145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-427794</v>
      </c>
      <c r="E51" s="38">
        <f>SUM(G51,I51,K51,M51,O51,Q51,S51,U51,W51,Y51,AA51,AC51,AE51)</f>
        <v>-952269.44799999997</v>
      </c>
      <c r="F51" s="60">
        <f>'TIE-OUT'!F51+RECLASS!F51</f>
        <v>0</v>
      </c>
      <c r="G51" s="38">
        <f>'TIE-OUT'!G51+RECLASS!G51</f>
        <v>0</v>
      </c>
      <c r="H51" s="129">
        <f>+Actuals!E146</f>
        <v>-409806</v>
      </c>
      <c r="I51" s="130">
        <f>+Actuals!F146</f>
        <v>-912228.16</v>
      </c>
      <c r="J51" s="129">
        <f>+Actuals!G146</f>
        <v>-17214</v>
      </c>
      <c r="K51" s="130">
        <f>+Actuals!H146</f>
        <v>-38318.364000000001</v>
      </c>
      <c r="L51" s="129">
        <f>+Actuals!I146</f>
        <v>0</v>
      </c>
      <c r="M51" s="130">
        <f>+Actuals!J146</f>
        <v>0</v>
      </c>
      <c r="N51" s="129">
        <f>+Actuals!K146</f>
        <v>-7</v>
      </c>
      <c r="O51" s="130">
        <f>+Actuals!L146</f>
        <v>-15.582000000000001</v>
      </c>
      <c r="P51" s="129">
        <f>+Actuals!M146</f>
        <v>-171</v>
      </c>
      <c r="Q51" s="130">
        <f>+Actuals!N146</f>
        <v>-380.64600000000002</v>
      </c>
      <c r="R51" s="129">
        <f>+Actuals!O146</f>
        <v>0</v>
      </c>
      <c r="S51" s="130">
        <f>+Actuals!P146</f>
        <v>0</v>
      </c>
      <c r="T51" s="129">
        <f>+Actuals!Q186</f>
        <v>-568</v>
      </c>
      <c r="U51" s="130">
        <f>+Actuals!R186</f>
        <v>-1264.3679999999999</v>
      </c>
      <c r="V51" s="129">
        <f>+Actuals!S186</f>
        <v>0</v>
      </c>
      <c r="W51" s="130">
        <f>+Actuals!T186</f>
        <v>0</v>
      </c>
      <c r="X51" s="129">
        <f>+Actuals!U186</f>
        <v>-28</v>
      </c>
      <c r="Y51" s="130">
        <f>+Actuals!V186</f>
        <v>-62.328000000000003</v>
      </c>
      <c r="Z51" s="129">
        <f>+Actuals!W186</f>
        <v>0</v>
      </c>
      <c r="AA51" s="130">
        <f>+Actuals!X186</f>
        <v>0</v>
      </c>
      <c r="AB51" s="129">
        <f>+Actuals!Y146</f>
        <v>0</v>
      </c>
      <c r="AC51" s="130">
        <f>+Actuals!Z146</f>
        <v>0</v>
      </c>
      <c r="AD51" s="129">
        <f>+Actuals!AA146</f>
        <v>0</v>
      </c>
      <c r="AE51" s="130">
        <f>+Actuals!AB146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-30543525</v>
      </c>
      <c r="E54" s="38">
        <f>SUM(G54,I54,K54,M54,O54,Q54,S54,U54,W54,Y54,AA54,AC54,AE54)</f>
        <v>-2347604.2400000007</v>
      </c>
      <c r="F54" s="64">
        <f>'TIE-OUT'!F54+RECLASS!F54</f>
        <v>0</v>
      </c>
      <c r="G54" s="68">
        <f>'TIE-OUT'!G54+RECLASS!G54</f>
        <v>0</v>
      </c>
      <c r="H54" s="129">
        <f>+Actuals!E147</f>
        <v>-24318932</v>
      </c>
      <c r="I54" s="130">
        <f>+Actuals!F147</f>
        <v>-2295236.39</v>
      </c>
      <c r="J54" s="129">
        <f>+Actuals!G147</f>
        <v>-4026008</v>
      </c>
      <c r="K54" s="130">
        <f>+Actuals!H147</f>
        <v>-109743.67999999999</v>
      </c>
      <c r="L54" s="129">
        <f>+Actuals!I147</f>
        <v>-69632</v>
      </c>
      <c r="M54" s="130">
        <f>+Actuals!J147</f>
        <v>21220.13</v>
      </c>
      <c r="N54" s="129">
        <f>+Actuals!K147</f>
        <v>-1915953</v>
      </c>
      <c r="O54" s="130">
        <f>+Actuals!L147</f>
        <v>19358.02</v>
      </c>
      <c r="P54" s="129">
        <f>+Actuals!M147</f>
        <v>24205</v>
      </c>
      <c r="Q54" s="130">
        <f>+Actuals!N147</f>
        <v>208.78</v>
      </c>
      <c r="R54" s="129">
        <f>+Actuals!O147</f>
        <v>-259</v>
      </c>
      <c r="S54" s="130">
        <f>+Actuals!P147</f>
        <v>1746.05</v>
      </c>
      <c r="T54" s="129">
        <f>+Actuals!Q187</f>
        <v>-54772</v>
      </c>
      <c r="U54" s="130">
        <f>+Actuals!R187</f>
        <v>-1250.44</v>
      </c>
      <c r="V54" s="129">
        <f>+Actuals!S187</f>
        <v>0</v>
      </c>
      <c r="W54" s="130">
        <f>+Actuals!T187</f>
        <v>36.99</v>
      </c>
      <c r="X54" s="129">
        <f>+Actuals!U187</f>
        <v>-2825</v>
      </c>
      <c r="Y54" s="130">
        <f>+Actuals!V187</f>
        <v>-36.989999999999782</v>
      </c>
      <c r="Z54" s="129">
        <f>+Actuals!W187</f>
        <v>-179349</v>
      </c>
      <c r="AA54" s="130">
        <f>+Actuals!X187</f>
        <v>16093.29</v>
      </c>
      <c r="AB54" s="129">
        <f>+Actuals!Y147</f>
        <v>0</v>
      </c>
      <c r="AC54" s="130">
        <f>+Actuals!Z147</f>
        <v>0</v>
      </c>
      <c r="AD54" s="129">
        <f>+Actuals!AA147</f>
        <v>0</v>
      </c>
      <c r="AE54" s="130">
        <f>+Actuals!AB147</f>
        <v>0</v>
      </c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1281418.1999999997</v>
      </c>
      <c r="F55" s="81">
        <f>'TIE-OUT'!F55+RECLASS!F55</f>
        <v>0</v>
      </c>
      <c r="G55" s="82">
        <f>'TIE-OUT'!G55+RECLASS!G55</f>
        <v>1323233</v>
      </c>
      <c r="H55" s="129">
        <f>+Actuals!E148</f>
        <v>0</v>
      </c>
      <c r="I55" s="130">
        <f>+Actuals!F148</f>
        <v>-22528.87</v>
      </c>
      <c r="J55" s="129">
        <f>+Actuals!G148</f>
        <v>0</v>
      </c>
      <c r="K55" s="130">
        <f>+Actuals!H148</f>
        <v>0</v>
      </c>
      <c r="L55" s="129">
        <f>+Actuals!I148</f>
        <v>0</v>
      </c>
      <c r="M55" s="130">
        <f>+Actuals!J148</f>
        <v>17475</v>
      </c>
      <c r="N55" s="129">
        <f>+Actuals!K148</f>
        <v>0</v>
      </c>
      <c r="O55" s="130">
        <f>+Actuals!L148</f>
        <v>-43481.279999999999</v>
      </c>
      <c r="P55" s="129">
        <f>+Actuals!M148</f>
        <v>0</v>
      </c>
      <c r="Q55" s="130">
        <f>+Actuals!N148</f>
        <v>20018.72</v>
      </c>
      <c r="R55" s="129">
        <f>+Actuals!O148</f>
        <v>0</v>
      </c>
      <c r="S55" s="130">
        <f>+Actuals!P148</f>
        <v>-3298.37</v>
      </c>
      <c r="T55" s="129">
        <f>+Actuals!Q188</f>
        <v>0</v>
      </c>
      <c r="U55" s="130">
        <f>+Actuals!R188</f>
        <v>0</v>
      </c>
      <c r="V55" s="129">
        <f>+Actuals!S188</f>
        <v>0</v>
      </c>
      <c r="W55" s="130">
        <f>+Actuals!T188</f>
        <v>-10000</v>
      </c>
      <c r="X55" s="129">
        <f>+Actuals!U188</f>
        <v>0</v>
      </c>
      <c r="Y55" s="130">
        <f>+Actuals!V188</f>
        <v>0</v>
      </c>
      <c r="Z55" s="129">
        <f>+Actuals!W188</f>
        <v>0</v>
      </c>
      <c r="AA55" s="130">
        <f>+Actuals!X188</f>
        <v>0</v>
      </c>
      <c r="AB55" s="129">
        <f>+Actuals!Y148</f>
        <v>0</v>
      </c>
      <c r="AC55" s="130">
        <f>+Actuals!Z148</f>
        <v>0</v>
      </c>
      <c r="AD55" s="129">
        <f>+Actuals!AA148</f>
        <v>0</v>
      </c>
      <c r="AE55" s="130">
        <f>+Actuals!AB148</f>
        <v>0</v>
      </c>
    </row>
    <row r="56" spans="1:31" x14ac:dyDescent="0.25">
      <c r="A56" s="9"/>
      <c r="B56" s="7" t="s">
        <v>58</v>
      </c>
      <c r="C56" s="6"/>
      <c r="D56" s="61">
        <f t="shared" ref="D56:I56" si="22">SUM(D54:D55)</f>
        <v>-30543525</v>
      </c>
      <c r="E56" s="39">
        <f t="shared" si="22"/>
        <v>-1066186.040000001</v>
      </c>
      <c r="F56" s="61">
        <f t="shared" si="22"/>
        <v>0</v>
      </c>
      <c r="G56" s="39">
        <f t="shared" si="22"/>
        <v>1323233</v>
      </c>
      <c r="H56" s="61">
        <f t="shared" si="22"/>
        <v>-24318932</v>
      </c>
      <c r="I56" s="39">
        <f t="shared" si="22"/>
        <v>-2317765.2600000002</v>
      </c>
      <c r="J56" s="61">
        <f t="shared" ref="J56:AE56" si="23">SUM(J54:J55)</f>
        <v>-4026008</v>
      </c>
      <c r="K56" s="39">
        <f t="shared" si="23"/>
        <v>-109743.67999999999</v>
      </c>
      <c r="L56" s="61">
        <f t="shared" si="23"/>
        <v>-69632</v>
      </c>
      <c r="M56" s="39">
        <f t="shared" si="23"/>
        <v>38695.130000000005</v>
      </c>
      <c r="N56" s="61">
        <f t="shared" si="23"/>
        <v>-1915953</v>
      </c>
      <c r="O56" s="39">
        <f t="shared" si="23"/>
        <v>-24123.26</v>
      </c>
      <c r="P56" s="61">
        <f t="shared" si="23"/>
        <v>24205</v>
      </c>
      <c r="Q56" s="39">
        <f t="shared" si="23"/>
        <v>20227.5</v>
      </c>
      <c r="R56" s="61">
        <f t="shared" si="23"/>
        <v>-259</v>
      </c>
      <c r="S56" s="39">
        <f t="shared" si="23"/>
        <v>-1552.32</v>
      </c>
      <c r="T56" s="61">
        <f t="shared" si="23"/>
        <v>-54772</v>
      </c>
      <c r="U56" s="39">
        <f t="shared" si="23"/>
        <v>-1250.44</v>
      </c>
      <c r="V56" s="61">
        <f t="shared" ref="V56:AA56" si="24">SUM(V54:V55)</f>
        <v>0</v>
      </c>
      <c r="W56" s="39">
        <f t="shared" si="24"/>
        <v>-9963.01</v>
      </c>
      <c r="X56" s="61">
        <f t="shared" si="24"/>
        <v>-2825</v>
      </c>
      <c r="Y56" s="39">
        <f t="shared" si="24"/>
        <v>-36.989999999999782</v>
      </c>
      <c r="Z56" s="61">
        <f t="shared" si="24"/>
        <v>-179349</v>
      </c>
      <c r="AA56" s="39">
        <f t="shared" si="24"/>
        <v>16093.29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9">
        <f>+Actuals!E149</f>
        <v>0</v>
      </c>
      <c r="I59" s="130">
        <f>+Actuals!F149</f>
        <v>0</v>
      </c>
      <c r="J59" s="129">
        <f>+Actuals!G149</f>
        <v>0</v>
      </c>
      <c r="K59" s="130">
        <f>+Actuals!H149</f>
        <v>0</v>
      </c>
      <c r="L59" s="129">
        <f>+Actuals!I149</f>
        <v>0</v>
      </c>
      <c r="M59" s="130">
        <f>+Actuals!J149</f>
        <v>0</v>
      </c>
      <c r="N59" s="129">
        <f>+Actuals!K149</f>
        <v>0</v>
      </c>
      <c r="O59" s="130">
        <f>+Actuals!L149</f>
        <v>0</v>
      </c>
      <c r="P59" s="129">
        <f>+Actuals!M149</f>
        <v>0</v>
      </c>
      <c r="Q59" s="130">
        <f>+Actuals!N149</f>
        <v>0</v>
      </c>
      <c r="R59" s="129">
        <f>+Actuals!O149</f>
        <v>0</v>
      </c>
      <c r="S59" s="130">
        <f>+Actuals!P149</f>
        <v>0</v>
      </c>
      <c r="T59" s="129">
        <f>+Actuals!Q189</f>
        <v>0</v>
      </c>
      <c r="U59" s="130">
        <f>+Actuals!R189</f>
        <v>0</v>
      </c>
      <c r="V59" s="129">
        <f>+Actuals!S189</f>
        <v>0</v>
      </c>
      <c r="W59" s="130">
        <f>+Actuals!T189</f>
        <v>0</v>
      </c>
      <c r="X59" s="129">
        <f>+Actuals!U189</f>
        <v>0</v>
      </c>
      <c r="Y59" s="130">
        <f>+Actuals!V189</f>
        <v>0</v>
      </c>
      <c r="Z59" s="129">
        <f>+Actuals!W189</f>
        <v>0</v>
      </c>
      <c r="AA59" s="130">
        <f>+Actuals!X189</f>
        <v>0</v>
      </c>
      <c r="AB59" s="129">
        <f>+Actuals!Y149</f>
        <v>0</v>
      </c>
      <c r="AC59" s="130">
        <f>+Actuals!Z149</f>
        <v>0</v>
      </c>
      <c r="AD59" s="129">
        <f>+Actuals!AA149</f>
        <v>0</v>
      </c>
      <c r="AE59" s="130">
        <f>+Actuals!AB149</f>
        <v>0</v>
      </c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9">
        <f>+Actuals!E150</f>
        <v>0</v>
      </c>
      <c r="I60" s="130">
        <f>+Actuals!F150</f>
        <v>0</v>
      </c>
      <c r="J60" s="129">
        <f>+Actuals!G150</f>
        <v>0</v>
      </c>
      <c r="K60" s="130">
        <f>+Actuals!H150</f>
        <v>0</v>
      </c>
      <c r="L60" s="129">
        <f>+Actuals!I150</f>
        <v>0</v>
      </c>
      <c r="M60" s="130">
        <f>+Actuals!J150</f>
        <v>0</v>
      </c>
      <c r="N60" s="129">
        <f>+Actuals!K150</f>
        <v>0</v>
      </c>
      <c r="O60" s="130">
        <f>+Actuals!L150</f>
        <v>0</v>
      </c>
      <c r="P60" s="129">
        <f>+Actuals!M150</f>
        <v>0</v>
      </c>
      <c r="Q60" s="130">
        <f>+Actuals!N150</f>
        <v>0</v>
      </c>
      <c r="R60" s="129">
        <f>+Actuals!O150</f>
        <v>0</v>
      </c>
      <c r="S60" s="130">
        <f>+Actuals!P150</f>
        <v>0</v>
      </c>
      <c r="T60" s="129">
        <f>+Actuals!Q190</f>
        <v>0</v>
      </c>
      <c r="U60" s="130">
        <f>+Actuals!R190</f>
        <v>0</v>
      </c>
      <c r="V60" s="129">
        <f>+Actuals!S190</f>
        <v>0</v>
      </c>
      <c r="W60" s="130">
        <f>+Actuals!T190</f>
        <v>0</v>
      </c>
      <c r="X60" s="129">
        <f>+Actuals!U190</f>
        <v>0</v>
      </c>
      <c r="Y60" s="130">
        <f>+Actuals!V190</f>
        <v>0</v>
      </c>
      <c r="Z60" s="129">
        <f>+Actuals!W190</f>
        <v>0</v>
      </c>
      <c r="AA60" s="130">
        <f>+Actuals!X190</f>
        <v>0</v>
      </c>
      <c r="AB60" s="129">
        <f>+Actuals!Y150</f>
        <v>0</v>
      </c>
      <c r="AC60" s="130">
        <f>+Actuals!Z150</f>
        <v>0</v>
      </c>
      <c r="AD60" s="129">
        <f>+Actuals!AA150</f>
        <v>0</v>
      </c>
      <c r="AE60" s="130">
        <f>+Actuals!AB150</f>
        <v>0</v>
      </c>
    </row>
    <row r="61" spans="1:31" x14ac:dyDescent="0.25">
      <c r="A61" s="9"/>
      <c r="B61" s="62" t="s">
        <v>62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ref="V61:AA61" si="27">SUM(V59:V60)</f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 t="shared" si="27"/>
        <v>0</v>
      </c>
      <c r="AA61" s="39">
        <f t="shared" si="27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9">
        <f>+Actuals!E151</f>
        <v>0</v>
      </c>
      <c r="I64" s="130">
        <f>+Actuals!F151</f>
        <v>0</v>
      </c>
      <c r="J64" s="129">
        <f>+Actuals!G151</f>
        <v>0</v>
      </c>
      <c r="K64" s="130">
        <f>+Actuals!H151</f>
        <v>0</v>
      </c>
      <c r="L64" s="129">
        <f>+Actuals!I151</f>
        <v>0</v>
      </c>
      <c r="M64" s="130">
        <f>+Actuals!J151</f>
        <v>0</v>
      </c>
      <c r="N64" s="129">
        <f>+Actuals!K151</f>
        <v>0</v>
      </c>
      <c r="O64" s="130">
        <f>+Actuals!L151</f>
        <v>0</v>
      </c>
      <c r="P64" s="129">
        <f>+Actuals!M151</f>
        <v>0</v>
      </c>
      <c r="Q64" s="130">
        <f>+Actuals!N151</f>
        <v>0</v>
      </c>
      <c r="R64" s="129">
        <f>+Actuals!O151</f>
        <v>0</v>
      </c>
      <c r="S64" s="130">
        <f>+Actuals!P151</f>
        <v>0</v>
      </c>
      <c r="T64" s="129">
        <f>+Actuals!Q191</f>
        <v>0</v>
      </c>
      <c r="U64" s="130">
        <f>+Actuals!R191</f>
        <v>0</v>
      </c>
      <c r="V64" s="129">
        <f>+Actuals!S191</f>
        <v>0</v>
      </c>
      <c r="W64" s="130">
        <f>+Actuals!T191</f>
        <v>0</v>
      </c>
      <c r="X64" s="129">
        <f>+Actuals!U191</f>
        <v>0</v>
      </c>
      <c r="Y64" s="130">
        <f>+Actuals!V191</f>
        <v>0</v>
      </c>
      <c r="Z64" s="129">
        <f>+Actuals!W191</f>
        <v>0</v>
      </c>
      <c r="AA64" s="130">
        <f>+Actuals!X191</f>
        <v>0</v>
      </c>
      <c r="AB64" s="129">
        <f>+Actuals!Y151</f>
        <v>0</v>
      </c>
      <c r="AC64" s="130">
        <f>+Actuals!Z151</f>
        <v>0</v>
      </c>
      <c r="AD64" s="129">
        <f>+Actuals!AA151</f>
        <v>0</v>
      </c>
      <c r="AE64" s="130">
        <f>+Actuals!AB151</f>
        <v>0</v>
      </c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9">
        <f>+Actuals!E152</f>
        <v>0</v>
      </c>
      <c r="I65" s="130">
        <f>+Actuals!F152</f>
        <v>0</v>
      </c>
      <c r="J65" s="129">
        <f>+Actuals!G152</f>
        <v>0</v>
      </c>
      <c r="K65" s="130">
        <f>+Actuals!H152</f>
        <v>0</v>
      </c>
      <c r="L65" s="129">
        <f>+Actuals!I152</f>
        <v>0</v>
      </c>
      <c r="M65" s="130">
        <f>+Actuals!J152</f>
        <v>0</v>
      </c>
      <c r="N65" s="129">
        <f>+Actuals!K152</f>
        <v>0</v>
      </c>
      <c r="O65" s="130">
        <f>+Actuals!L152</f>
        <v>0</v>
      </c>
      <c r="P65" s="129">
        <f>+Actuals!M152</f>
        <v>0</v>
      </c>
      <c r="Q65" s="130">
        <f>+Actuals!N152</f>
        <v>0</v>
      </c>
      <c r="R65" s="129">
        <f>+Actuals!O152</f>
        <v>0</v>
      </c>
      <c r="S65" s="130">
        <f>+Actuals!P152</f>
        <v>0</v>
      </c>
      <c r="T65" s="129">
        <f>+Actuals!Q192</f>
        <v>0</v>
      </c>
      <c r="U65" s="130">
        <f>+Actuals!R192</f>
        <v>0</v>
      </c>
      <c r="V65" s="129">
        <f>+Actuals!S192</f>
        <v>0</v>
      </c>
      <c r="W65" s="130">
        <f>+Actuals!T192</f>
        <v>0</v>
      </c>
      <c r="X65" s="129">
        <f>+Actuals!U192</f>
        <v>0</v>
      </c>
      <c r="Y65" s="130">
        <f>+Actuals!V192</f>
        <v>0</v>
      </c>
      <c r="Z65" s="129">
        <f>+Actuals!W192</f>
        <v>0</v>
      </c>
      <c r="AA65" s="130">
        <f>+Actuals!X192</f>
        <v>0</v>
      </c>
      <c r="AB65" s="129">
        <f>+Actuals!Y152</f>
        <v>0</v>
      </c>
      <c r="AC65" s="130">
        <f>+Actuals!Z152</f>
        <v>0</v>
      </c>
      <c r="AD65" s="129">
        <f>+Actuals!AA152</f>
        <v>0</v>
      </c>
      <c r="AE65" s="130">
        <f>+Actuals!AB152</f>
        <v>0</v>
      </c>
    </row>
    <row r="66" spans="1:31" x14ac:dyDescent="0.25">
      <c r="A66" s="9"/>
      <c r="B66" s="7" t="s">
        <v>65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ref="V66:AA66" si="30">SUM(V64:V65)</f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3090114.61</v>
      </c>
      <c r="F70" s="64">
        <f>'TIE-OUT'!F70+RECLASS!F70</f>
        <v>0</v>
      </c>
      <c r="G70" s="68">
        <f>'TIE-OUT'!G70+RECLASS!G70</f>
        <v>3090114.61</v>
      </c>
      <c r="H70" s="129">
        <f>+Actuals!E153</f>
        <v>0</v>
      </c>
      <c r="I70" s="130">
        <f>+Actuals!F153</f>
        <v>0</v>
      </c>
      <c r="J70" s="129">
        <f>+Actuals!G153</f>
        <v>0</v>
      </c>
      <c r="K70" s="130">
        <f>+Actuals!H153</f>
        <v>0</v>
      </c>
      <c r="L70" s="129">
        <f>+Actuals!I153</f>
        <v>0</v>
      </c>
      <c r="M70" s="130">
        <f>+Actuals!J153</f>
        <v>0</v>
      </c>
      <c r="N70" s="129">
        <f>+Actuals!K153</f>
        <v>0</v>
      </c>
      <c r="O70" s="130">
        <f>+Actuals!L153</f>
        <v>0</v>
      </c>
      <c r="P70" s="129">
        <f>+Actuals!M153</f>
        <v>0</v>
      </c>
      <c r="Q70" s="130">
        <f>+Actuals!N153</f>
        <v>0</v>
      </c>
      <c r="R70" s="129">
        <f>+Actuals!O153</f>
        <v>0</v>
      </c>
      <c r="S70" s="130">
        <f>+Actuals!P153</f>
        <v>0</v>
      </c>
      <c r="T70" s="129">
        <f>+Actuals!Q193</f>
        <v>0</v>
      </c>
      <c r="U70" s="130">
        <f>+Actuals!R193</f>
        <v>0</v>
      </c>
      <c r="V70" s="129">
        <f>+Actuals!S193</f>
        <v>0</v>
      </c>
      <c r="W70" s="130">
        <f>+Actuals!T193</f>
        <v>0</v>
      </c>
      <c r="X70" s="129">
        <f>+Actuals!U193</f>
        <v>0</v>
      </c>
      <c r="Y70" s="130">
        <f>+Actuals!V193</f>
        <v>0</v>
      </c>
      <c r="Z70" s="129">
        <f>+Actuals!W193</f>
        <v>0</v>
      </c>
      <c r="AA70" s="130">
        <f>+Actuals!X193</f>
        <v>0</v>
      </c>
      <c r="AB70" s="129">
        <f>+Actuals!Y153</f>
        <v>0</v>
      </c>
      <c r="AC70" s="130">
        <f>+Actuals!Z153</f>
        <v>0</v>
      </c>
      <c r="AD70" s="129">
        <f>+Actuals!AA153</f>
        <v>0</v>
      </c>
      <c r="AE70" s="130">
        <f>+Actuals!AB153</f>
        <v>0</v>
      </c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-1955927</v>
      </c>
      <c r="F71" s="81">
        <f>'TIE-OUT'!F71+RECLASS!F71</f>
        <v>0</v>
      </c>
      <c r="G71" s="82">
        <f>'TIE-OUT'!G71+RECLASS!G71</f>
        <v>-1955927</v>
      </c>
      <c r="H71" s="129">
        <f>+Actuals!E154</f>
        <v>0</v>
      </c>
      <c r="I71" s="130">
        <f>+Actuals!F154</f>
        <v>0</v>
      </c>
      <c r="J71" s="129">
        <f>+Actuals!G154</f>
        <v>0</v>
      </c>
      <c r="K71" s="130">
        <f>+Actuals!H154</f>
        <v>0</v>
      </c>
      <c r="L71" s="129">
        <f>+Actuals!I154</f>
        <v>0</v>
      </c>
      <c r="M71" s="130">
        <f>+Actuals!J154</f>
        <v>0</v>
      </c>
      <c r="N71" s="129">
        <f>+Actuals!K154</f>
        <v>0</v>
      </c>
      <c r="O71" s="130">
        <f>+Actuals!L154</f>
        <v>0</v>
      </c>
      <c r="P71" s="129">
        <f>+Actuals!M154</f>
        <v>0</v>
      </c>
      <c r="Q71" s="130">
        <f>+Actuals!N154</f>
        <v>0</v>
      </c>
      <c r="R71" s="129">
        <f>+Actuals!O154</f>
        <v>0</v>
      </c>
      <c r="S71" s="130">
        <f>+Actuals!P154</f>
        <v>0</v>
      </c>
      <c r="T71" s="129">
        <f>+Actuals!Q194</f>
        <v>0</v>
      </c>
      <c r="U71" s="130">
        <f>+Actuals!R194</f>
        <v>0</v>
      </c>
      <c r="V71" s="129">
        <f>+Actuals!S194</f>
        <v>0</v>
      </c>
      <c r="W71" s="130">
        <f>+Actuals!T194</f>
        <v>0</v>
      </c>
      <c r="X71" s="129">
        <f>+Actuals!U194</f>
        <v>0</v>
      </c>
      <c r="Y71" s="130">
        <f>+Actuals!V194</f>
        <v>0</v>
      </c>
      <c r="Z71" s="129">
        <f>+Actuals!W194</f>
        <v>0</v>
      </c>
      <c r="AA71" s="130">
        <f>+Actuals!X194</f>
        <v>0</v>
      </c>
      <c r="AB71" s="129">
        <f>+Actuals!Y154</f>
        <v>0</v>
      </c>
      <c r="AC71" s="130">
        <f>+Actuals!Z154</f>
        <v>0</v>
      </c>
      <c r="AD71" s="129">
        <f>+Actuals!AA154</f>
        <v>0</v>
      </c>
      <c r="AE71" s="130">
        <f>+Actuals!AB154</f>
        <v>0</v>
      </c>
    </row>
    <row r="72" spans="1:31" x14ac:dyDescent="0.25">
      <c r="A72" s="9"/>
      <c r="B72" s="3"/>
      <c r="C72" s="55" t="s">
        <v>70</v>
      </c>
      <c r="D72" s="61">
        <f t="shared" ref="D72:I72" si="31">SUM(D70:D71)</f>
        <v>0</v>
      </c>
      <c r="E72" s="39">
        <f t="shared" si="31"/>
        <v>1134187.6099999999</v>
      </c>
      <c r="F72" s="61">
        <f t="shared" si="31"/>
        <v>0</v>
      </c>
      <c r="G72" s="39">
        <f t="shared" si="31"/>
        <v>1134187.6099999999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ref="V72:AA72" si="33">SUM(V70:V71)</f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9">
        <f>+Actuals!E155</f>
        <v>0</v>
      </c>
      <c r="I73" s="130">
        <f>+Actuals!F155</f>
        <v>0</v>
      </c>
      <c r="J73" s="129">
        <f>+Actuals!G155</f>
        <v>0</v>
      </c>
      <c r="K73" s="130">
        <f>+Actuals!H155</f>
        <v>0</v>
      </c>
      <c r="L73" s="129">
        <f>+Actuals!I155</f>
        <v>0</v>
      </c>
      <c r="M73" s="130">
        <f>+Actuals!J155</f>
        <v>0</v>
      </c>
      <c r="N73" s="129">
        <f>+Actuals!K155</f>
        <v>0</v>
      </c>
      <c r="O73" s="130">
        <f>+Actuals!L155</f>
        <v>0</v>
      </c>
      <c r="P73" s="129">
        <f>+Actuals!M155</f>
        <v>0</v>
      </c>
      <c r="Q73" s="130">
        <f>+Actuals!N155</f>
        <v>0</v>
      </c>
      <c r="R73" s="129">
        <f>+Actuals!O155</f>
        <v>0</v>
      </c>
      <c r="S73" s="130">
        <f>+Actuals!P155</f>
        <v>0</v>
      </c>
      <c r="T73" s="129">
        <f>+Actuals!Q195</f>
        <v>0</v>
      </c>
      <c r="U73" s="130">
        <f>+Actuals!R195</f>
        <v>0</v>
      </c>
      <c r="V73" s="129">
        <f>+Actuals!S195</f>
        <v>0</v>
      </c>
      <c r="W73" s="130">
        <f>+Actuals!T195</f>
        <v>0</v>
      </c>
      <c r="X73" s="129">
        <f>+Actuals!U195</f>
        <v>0</v>
      </c>
      <c r="Y73" s="130">
        <f>+Actuals!V195</f>
        <v>0</v>
      </c>
      <c r="Z73" s="129">
        <f>+Actuals!W195</f>
        <v>0</v>
      </c>
      <c r="AA73" s="130">
        <f>+Actuals!X195</f>
        <v>0</v>
      </c>
      <c r="AB73" s="129">
        <f>+Actuals!Y155</f>
        <v>0</v>
      </c>
      <c r="AC73" s="130">
        <f>+Actuals!Z155</f>
        <v>0</v>
      </c>
      <c r="AD73" s="129">
        <f>+Actuals!AA155</f>
        <v>0</v>
      </c>
      <c r="AE73" s="130">
        <f>+Actuals!AB155</f>
        <v>0</v>
      </c>
    </row>
    <row r="74" spans="1:31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4"/>
        <v>-651462.24</v>
      </c>
      <c r="F74" s="60">
        <f>'TIE-OUT'!F74+RECLASS!F74</f>
        <v>0</v>
      </c>
      <c r="G74" s="60">
        <f>'TIE-OUT'!G74+RECLASS!G74</f>
        <v>-760484</v>
      </c>
      <c r="H74" s="129">
        <f>+Actuals!E156</f>
        <v>0</v>
      </c>
      <c r="I74" s="130">
        <f>+Actuals!F156</f>
        <v>0</v>
      </c>
      <c r="J74" s="129">
        <f>+Actuals!G156</f>
        <v>0</v>
      </c>
      <c r="K74" s="162">
        <v>0</v>
      </c>
      <c r="L74" s="129">
        <f>+Actuals!I156</f>
        <v>0</v>
      </c>
      <c r="M74" s="130">
        <f>+Actuals!J156</f>
        <v>0</v>
      </c>
      <c r="N74" s="129">
        <f>+Actuals!K156</f>
        <v>0</v>
      </c>
      <c r="O74" s="159">
        <v>109021.75999999999</v>
      </c>
      <c r="P74" s="129">
        <f>+Actuals!M156</f>
        <v>0</v>
      </c>
      <c r="Q74" s="130">
        <f>+Actuals!N156</f>
        <v>0</v>
      </c>
      <c r="R74" s="129">
        <f>+Actuals!O156</f>
        <v>0</v>
      </c>
      <c r="S74" s="130">
        <f>+Actuals!P156</f>
        <v>0</v>
      </c>
      <c r="T74" s="129">
        <f>+Actuals!Q196</f>
        <v>0</v>
      </c>
      <c r="U74" s="130">
        <f>+Actuals!R196</f>
        <v>0</v>
      </c>
      <c r="V74" s="129">
        <f>+Actuals!S196</f>
        <v>0</v>
      </c>
      <c r="W74" s="130">
        <f>+Actuals!T196</f>
        <v>0</v>
      </c>
      <c r="X74" s="129">
        <f>+Actuals!U196</f>
        <v>0</v>
      </c>
      <c r="Y74" s="130">
        <f>+Actuals!V196</f>
        <v>0</v>
      </c>
      <c r="Z74" s="129">
        <f>+Actuals!W196</f>
        <v>0</v>
      </c>
      <c r="AA74" s="130">
        <f>+Actuals!X196</f>
        <v>0</v>
      </c>
      <c r="AB74" s="129">
        <f>+Actuals!Y156</f>
        <v>0</v>
      </c>
      <c r="AC74" s="130">
        <f>+Actuals!Z156</f>
        <v>0</v>
      </c>
      <c r="AD74" s="129">
        <f>+Actuals!AA156</f>
        <v>0</v>
      </c>
      <c r="AE74" s="130">
        <f>+Actuals!AB156</f>
        <v>0</v>
      </c>
    </row>
    <row r="75" spans="1:31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4"/>
        <v>16200</v>
      </c>
      <c r="F75" s="60">
        <f>'TIE-OUT'!F75+RECLASS!F75</f>
        <v>0</v>
      </c>
      <c r="G75" s="60">
        <f>'TIE-OUT'!G75+RECLASS!G75</f>
        <v>16200</v>
      </c>
      <c r="H75" s="129">
        <f>+Actuals!E157</f>
        <v>0</v>
      </c>
      <c r="I75" s="130">
        <f>+Actuals!F157</f>
        <v>0</v>
      </c>
      <c r="J75" s="129">
        <f>+Actuals!G157</f>
        <v>0</v>
      </c>
      <c r="K75" s="130">
        <f>+Actuals!H157</f>
        <v>0</v>
      </c>
      <c r="L75" s="129">
        <f>+Actuals!I157</f>
        <v>0</v>
      </c>
      <c r="M75" s="130">
        <f>+Actuals!J157</f>
        <v>0</v>
      </c>
      <c r="N75" s="129">
        <f>+Actuals!K157</f>
        <v>0</v>
      </c>
      <c r="O75" s="130">
        <f>+Actuals!L157</f>
        <v>0</v>
      </c>
      <c r="P75" s="129">
        <f>+Actuals!M157</f>
        <v>0</v>
      </c>
      <c r="Q75" s="130">
        <f>+Actuals!N157</f>
        <v>0</v>
      </c>
      <c r="R75" s="129">
        <f>+Actuals!O157</f>
        <v>0</v>
      </c>
      <c r="S75" s="130">
        <f>+Actuals!P157</f>
        <v>0</v>
      </c>
      <c r="T75" s="129">
        <f>+Actuals!Q197</f>
        <v>0</v>
      </c>
      <c r="U75" s="130">
        <f>+Actuals!R197</f>
        <v>0</v>
      </c>
      <c r="V75" s="129">
        <f>+Actuals!S197</f>
        <v>0</v>
      </c>
      <c r="W75" s="130">
        <f>+Actuals!T197</f>
        <v>0</v>
      </c>
      <c r="X75" s="129">
        <f>+Actuals!U197</f>
        <v>0</v>
      </c>
      <c r="Y75" s="130">
        <f>+Actuals!V197</f>
        <v>0</v>
      </c>
      <c r="Z75" s="129">
        <f>+Actuals!W197</f>
        <v>0</v>
      </c>
      <c r="AA75" s="130">
        <f>+Actuals!X197</f>
        <v>0</v>
      </c>
      <c r="AB75" s="129">
        <f>+Actuals!Y157</f>
        <v>0</v>
      </c>
      <c r="AC75" s="130">
        <f>+Actuals!Z157</f>
        <v>0</v>
      </c>
      <c r="AD75" s="129">
        <f>+Actuals!AA157</f>
        <v>0</v>
      </c>
      <c r="AE75" s="130">
        <f>+Actuals!AB157</f>
        <v>0</v>
      </c>
    </row>
    <row r="76" spans="1:31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4"/>
        <v>-29819.48</v>
      </c>
      <c r="F76" s="60">
        <f>'TIE-OUT'!F76+RECLASS!F76</f>
        <v>0</v>
      </c>
      <c r="G76" s="60">
        <f>'TIE-OUT'!G76+RECLASS!G76</f>
        <v>0</v>
      </c>
      <c r="H76" s="129">
        <f>+Actuals!E158</f>
        <v>0</v>
      </c>
      <c r="I76" s="130">
        <f>+Actuals!F158</f>
        <v>0</v>
      </c>
      <c r="J76" s="129">
        <f>+Actuals!G158</f>
        <v>0</v>
      </c>
      <c r="K76" s="130">
        <f>+Actuals!H158</f>
        <v>0</v>
      </c>
      <c r="L76" s="129">
        <f>+Actuals!I158</f>
        <v>0</v>
      </c>
      <c r="M76" s="130">
        <f>+Actuals!J158</f>
        <v>-29819.48</v>
      </c>
      <c r="N76" s="129">
        <f>+Actuals!K158</f>
        <v>0</v>
      </c>
      <c r="O76" s="130">
        <f>+Actuals!L158</f>
        <v>0</v>
      </c>
      <c r="P76" s="129">
        <f>+Actuals!M158</f>
        <v>0</v>
      </c>
      <c r="Q76" s="130">
        <f>+Actuals!N158</f>
        <v>0</v>
      </c>
      <c r="R76" s="129">
        <f>+Actuals!O158</f>
        <v>0</v>
      </c>
      <c r="S76" s="130">
        <f>+Actuals!P158</f>
        <v>0</v>
      </c>
      <c r="T76" s="129">
        <f>+Actuals!Q198</f>
        <v>0</v>
      </c>
      <c r="U76" s="130">
        <f>+Actuals!R198</f>
        <v>0</v>
      </c>
      <c r="V76" s="129">
        <f>+Actuals!S198</f>
        <v>0</v>
      </c>
      <c r="W76" s="130">
        <f>+Actuals!T198</f>
        <v>0</v>
      </c>
      <c r="X76" s="129">
        <f>+Actuals!U198</f>
        <v>0</v>
      </c>
      <c r="Y76" s="130">
        <f>+Actuals!V198</f>
        <v>0</v>
      </c>
      <c r="Z76" s="129">
        <f>+Actuals!W198</f>
        <v>0</v>
      </c>
      <c r="AA76" s="130">
        <f>+Actuals!X198</f>
        <v>0</v>
      </c>
      <c r="AB76" s="129">
        <f>+Actuals!Y158</f>
        <v>0</v>
      </c>
      <c r="AC76" s="130">
        <f>+Actuals!Z158</f>
        <v>0</v>
      </c>
      <c r="AD76" s="129">
        <f>+Actuals!AA158</f>
        <v>0</v>
      </c>
      <c r="AE76" s="130">
        <f>+Actuals!AB158</f>
        <v>0</v>
      </c>
    </row>
    <row r="77" spans="1:31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9">
        <f>+Actuals!E159</f>
        <v>0</v>
      </c>
      <c r="I77" s="130">
        <f>+Actuals!F159</f>
        <v>0</v>
      </c>
      <c r="J77" s="129">
        <f>+Actuals!G159</f>
        <v>0</v>
      </c>
      <c r="K77" s="130">
        <f>+Actuals!H159</f>
        <v>0</v>
      </c>
      <c r="L77" s="129">
        <f>+Actuals!I159</f>
        <v>0</v>
      </c>
      <c r="M77" s="130">
        <f>+Actuals!J159</f>
        <v>0</v>
      </c>
      <c r="N77" s="129">
        <f>+Actuals!K159</f>
        <v>0</v>
      </c>
      <c r="O77" s="130">
        <f>+Actuals!L159</f>
        <v>0</v>
      </c>
      <c r="P77" s="129">
        <f>+Actuals!M159</f>
        <v>0</v>
      </c>
      <c r="Q77" s="130">
        <f>+Actuals!N159</f>
        <v>0</v>
      </c>
      <c r="R77" s="129">
        <f>+Actuals!O159</f>
        <v>0</v>
      </c>
      <c r="S77" s="130">
        <f>+Actuals!P159</f>
        <v>0</v>
      </c>
      <c r="T77" s="129">
        <f>+Actuals!Q199</f>
        <v>0</v>
      </c>
      <c r="U77" s="130">
        <f>+Actuals!R199</f>
        <v>0</v>
      </c>
      <c r="V77" s="129">
        <f>+Actuals!S199</f>
        <v>0</v>
      </c>
      <c r="W77" s="130">
        <f>+Actuals!T199</f>
        <v>0</v>
      </c>
      <c r="X77" s="129">
        <f>+Actuals!U199</f>
        <v>0</v>
      </c>
      <c r="Y77" s="130">
        <f>+Actuals!V199</f>
        <v>0</v>
      </c>
      <c r="Z77" s="129">
        <f>+Actuals!W199</f>
        <v>0</v>
      </c>
      <c r="AA77" s="130">
        <f>+Actuals!X199</f>
        <v>0</v>
      </c>
      <c r="AB77" s="129">
        <f>+Actuals!Y159</f>
        <v>0</v>
      </c>
      <c r="AC77" s="130">
        <f>+Actuals!Z159</f>
        <v>0</v>
      </c>
      <c r="AD77" s="129">
        <f>+Actuals!AA159</f>
        <v>0</v>
      </c>
      <c r="AE77" s="130">
        <f>+Actuals!AB159</f>
        <v>0</v>
      </c>
    </row>
    <row r="78" spans="1:31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9">
        <f>+Actuals!E160</f>
        <v>0</v>
      </c>
      <c r="I78" s="130">
        <f>+Actuals!F160</f>
        <v>0</v>
      </c>
      <c r="J78" s="129">
        <f>+Actuals!G160</f>
        <v>0</v>
      </c>
      <c r="K78" s="130">
        <f>+Actuals!H160</f>
        <v>0</v>
      </c>
      <c r="L78" s="129">
        <f>+Actuals!I160</f>
        <v>0</v>
      </c>
      <c r="M78" s="130">
        <f>+Actuals!J160</f>
        <v>0</v>
      </c>
      <c r="N78" s="129">
        <f>+Actuals!K160</f>
        <v>0</v>
      </c>
      <c r="O78" s="130">
        <f>+Actuals!L160</f>
        <v>0</v>
      </c>
      <c r="P78" s="129">
        <f>+Actuals!M160</f>
        <v>0</v>
      </c>
      <c r="Q78" s="130">
        <f>+Actuals!N160</f>
        <v>0</v>
      </c>
      <c r="R78" s="129">
        <f>+Actuals!O160</f>
        <v>0</v>
      </c>
      <c r="S78" s="130">
        <f>+Actuals!P160</f>
        <v>0</v>
      </c>
      <c r="T78" s="129">
        <f>+Actuals!Q200</f>
        <v>0</v>
      </c>
      <c r="U78" s="130">
        <f>+Actuals!R200</f>
        <v>0</v>
      </c>
      <c r="V78" s="129">
        <f>+Actuals!S200</f>
        <v>0</v>
      </c>
      <c r="W78" s="130">
        <f>+Actuals!T200</f>
        <v>0</v>
      </c>
      <c r="X78" s="129">
        <f>+Actuals!U200</f>
        <v>0</v>
      </c>
      <c r="Y78" s="130">
        <f>+Actuals!V200</f>
        <v>0</v>
      </c>
      <c r="Z78" s="129">
        <f>+Actuals!W200</f>
        <v>0</v>
      </c>
      <c r="AA78" s="130">
        <f>+Actuals!X200</f>
        <v>0</v>
      </c>
      <c r="AB78" s="129">
        <f>+Actuals!Y160</f>
        <v>0</v>
      </c>
      <c r="AC78" s="130">
        <f>+Actuals!Z160</f>
        <v>0</v>
      </c>
      <c r="AD78" s="129">
        <f>+Actuals!AA160</f>
        <v>0</v>
      </c>
      <c r="AE78" s="130">
        <f>+Actuals!AB160</f>
        <v>0</v>
      </c>
    </row>
    <row r="79" spans="1:31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9">
        <f>+Actuals!E161</f>
        <v>0</v>
      </c>
      <c r="I79" s="130">
        <f>+Actuals!F161</f>
        <v>0</v>
      </c>
      <c r="J79" s="129">
        <f>+Actuals!G161</f>
        <v>0</v>
      </c>
      <c r="K79" s="130">
        <f>+Actuals!H161</f>
        <v>0</v>
      </c>
      <c r="L79" s="129">
        <f>+Actuals!I161</f>
        <v>0</v>
      </c>
      <c r="M79" s="130">
        <f>+Actuals!J161</f>
        <v>0</v>
      </c>
      <c r="N79" s="129">
        <f>+Actuals!K161</f>
        <v>0</v>
      </c>
      <c r="O79" s="130">
        <f>+Actuals!L161</f>
        <v>0</v>
      </c>
      <c r="P79" s="129">
        <f>+Actuals!M161</f>
        <v>0</v>
      </c>
      <c r="Q79" s="130">
        <f>+Actuals!N161</f>
        <v>0</v>
      </c>
      <c r="R79" s="129">
        <f>+Actuals!O161</f>
        <v>0</v>
      </c>
      <c r="S79" s="130">
        <f>+Actuals!P161</f>
        <v>0</v>
      </c>
      <c r="T79" s="129">
        <f>+Actuals!Q201</f>
        <v>0</v>
      </c>
      <c r="U79" s="130">
        <f>+Actuals!R201</f>
        <v>0</v>
      </c>
      <c r="V79" s="129">
        <f>+Actuals!S201</f>
        <v>0</v>
      </c>
      <c r="W79" s="130">
        <f>+Actuals!T201</f>
        <v>0</v>
      </c>
      <c r="X79" s="129">
        <f>+Actuals!U201</f>
        <v>0</v>
      </c>
      <c r="Y79" s="130">
        <f>+Actuals!V201</f>
        <v>0</v>
      </c>
      <c r="Z79" s="129">
        <f>+Actuals!W201</f>
        <v>0</v>
      </c>
      <c r="AA79" s="130">
        <f>+Actuals!X201</f>
        <v>0</v>
      </c>
      <c r="AB79" s="129">
        <f>+Actuals!Y161</f>
        <v>0</v>
      </c>
      <c r="AC79" s="130">
        <f>+Actuals!Z161</f>
        <v>0</v>
      </c>
      <c r="AD79" s="129">
        <f>+Actuals!AA161</f>
        <v>0</v>
      </c>
      <c r="AE79" s="130">
        <f>+Actuals!AB161</f>
        <v>0</v>
      </c>
    </row>
    <row r="80" spans="1:31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9">
        <f>+Actuals!E162</f>
        <v>0</v>
      </c>
      <c r="I80" s="130">
        <f>+Actuals!F162</f>
        <v>0</v>
      </c>
      <c r="J80" s="129">
        <f>+Actuals!G162</f>
        <v>0</v>
      </c>
      <c r="K80" s="130">
        <f>+Actuals!H162</f>
        <v>0</v>
      </c>
      <c r="L80" s="129">
        <f>+Actuals!I162</f>
        <v>0</v>
      </c>
      <c r="M80" s="130">
        <f>+Actuals!J162</f>
        <v>0</v>
      </c>
      <c r="N80" s="129">
        <f>+Actuals!K162</f>
        <v>0</v>
      </c>
      <c r="O80" s="130">
        <f>+Actuals!L162</f>
        <v>0</v>
      </c>
      <c r="P80" s="129">
        <f>+Actuals!M162</f>
        <v>0</v>
      </c>
      <c r="Q80" s="130">
        <f>+Actuals!N162</f>
        <v>0</v>
      </c>
      <c r="R80" s="129">
        <f>+Actuals!O162</f>
        <v>0</v>
      </c>
      <c r="S80" s="130">
        <f>+Actuals!P162</f>
        <v>0</v>
      </c>
      <c r="T80" s="129">
        <f>+Actuals!Q202</f>
        <v>0</v>
      </c>
      <c r="U80" s="130">
        <f>+Actuals!R202</f>
        <v>0</v>
      </c>
      <c r="V80" s="129">
        <f>+Actuals!S202</f>
        <v>0</v>
      </c>
      <c r="W80" s="130">
        <f>+Actuals!T202</f>
        <v>0</v>
      </c>
      <c r="X80" s="129">
        <f>+Actuals!U202</f>
        <v>0</v>
      </c>
      <c r="Y80" s="130">
        <f>+Actuals!V202</f>
        <v>0</v>
      </c>
      <c r="Z80" s="129">
        <f>+Actuals!W202</f>
        <v>0</v>
      </c>
      <c r="AA80" s="130">
        <f>+Actuals!X202</f>
        <v>0</v>
      </c>
      <c r="AB80" s="129">
        <f>+Actuals!Y162</f>
        <v>0</v>
      </c>
      <c r="AC80" s="130">
        <f>+Actuals!Z162</f>
        <v>0</v>
      </c>
      <c r="AD80" s="129">
        <f>+Actuals!AA162</f>
        <v>0</v>
      </c>
      <c r="AE80" s="130">
        <f>+Actuals!AB162</f>
        <v>0</v>
      </c>
    </row>
    <row r="81" spans="1:31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4"/>
        <v>1279374</v>
      </c>
      <c r="F81" s="60">
        <f>'TIE-OUT'!F81+RECLASS!F81</f>
        <v>0</v>
      </c>
      <c r="G81" s="60">
        <f>'TIE-OUT'!G81+RECLASS!G81</f>
        <v>0</v>
      </c>
      <c r="H81" s="129">
        <f>+Actuals!E163</f>
        <v>0</v>
      </c>
      <c r="I81" s="159">
        <f>+Actuals!F163</f>
        <v>1279374</v>
      </c>
      <c r="J81" s="129">
        <f>+Actuals!G163</f>
        <v>0</v>
      </c>
      <c r="K81" s="130">
        <f>+Actuals!H163</f>
        <v>0</v>
      </c>
      <c r="L81" s="129">
        <f>+Actuals!I163</f>
        <v>0</v>
      </c>
      <c r="M81" s="130">
        <f>+Actuals!J163</f>
        <v>0</v>
      </c>
      <c r="N81" s="129">
        <f>+Actuals!K163</f>
        <v>0</v>
      </c>
      <c r="O81" s="130">
        <f>+Actuals!L163</f>
        <v>0</v>
      </c>
      <c r="P81" s="129">
        <f>+Actuals!M163</f>
        <v>0</v>
      </c>
      <c r="Q81" s="130">
        <f>+Actuals!N163</f>
        <v>0</v>
      </c>
      <c r="R81" s="129">
        <f>+Actuals!O163</f>
        <v>0</v>
      </c>
      <c r="S81" s="130">
        <f>+Actuals!P163</f>
        <v>0</v>
      </c>
      <c r="T81" s="129">
        <f>+Actuals!Q203</f>
        <v>0</v>
      </c>
      <c r="U81" s="130">
        <f>+Actuals!R203</f>
        <v>0</v>
      </c>
      <c r="V81" s="129">
        <f>+Actuals!S203</f>
        <v>0</v>
      </c>
      <c r="W81" s="130">
        <f>+Actuals!T203</f>
        <v>0</v>
      </c>
      <c r="X81" s="129">
        <f>+Actuals!U203</f>
        <v>0</v>
      </c>
      <c r="Y81" s="130">
        <f>+Actuals!V203</f>
        <v>0</v>
      </c>
      <c r="Z81" s="129">
        <f>+Actuals!W203</f>
        <v>0</v>
      </c>
      <c r="AA81" s="130">
        <f>+Actuals!X203</f>
        <v>0</v>
      </c>
      <c r="AB81" s="129">
        <f>+Actuals!Y163</f>
        <v>0</v>
      </c>
      <c r="AC81" s="130">
        <f>+Actuals!Z163</f>
        <v>0</v>
      </c>
      <c r="AD81" s="129">
        <f>+Actuals!AA163</f>
        <v>0</v>
      </c>
      <c r="AE81" s="130">
        <f>+Actuals!AB163</f>
        <v>0</v>
      </c>
    </row>
    <row r="82" spans="1:3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1382239.0119999452</v>
      </c>
      <c r="F82" s="92">
        <f>F16+F24+F29+F36+F43+F45+F47+F49</f>
        <v>0</v>
      </c>
      <c r="G82" s="93">
        <f>SUM(G72:G81)+G16+G24+G29+G36+G43+G45+G47+G49+G51+G56+G61+G66</f>
        <v>-4832688.0999999996</v>
      </c>
      <c r="H82" s="92">
        <f>H16+H24+H29+H36+H43+H45+H47+H49</f>
        <v>0</v>
      </c>
      <c r="I82" s="160">
        <f>SUM(I72:I81)+I16+I24+I29+I36+I43+I45+I47+I49+I51+I56+I61+I66</f>
        <v>4421609.683999991</v>
      </c>
      <c r="J82" s="92">
        <f>J16+J24+J29+J36+J43+J45+J47+J49</f>
        <v>0</v>
      </c>
      <c r="K82" s="160">
        <f>SUM(K72:K81)+K16+K24+K29+K36+K43+K45+K47+K49+K51+K56+K61+K66</f>
        <v>2814753.196</v>
      </c>
      <c r="L82" s="92">
        <f>L16+L24+L29+L36+L43+L45+L47+L49</f>
        <v>0</v>
      </c>
      <c r="M82" s="93">
        <f>SUM(M72:M81)+M16+M24+M29+M36+M43+M45+M47+M49+M51+M56+M61+M66</f>
        <v>1021431.6520000001</v>
      </c>
      <c r="N82" s="92">
        <f>N16+N24+N29+N36+N43+N45+N47+N49</f>
        <v>0</v>
      </c>
      <c r="O82" s="93">
        <f>SUM(O72:O81)+O16+O24+O29+O36+O43+O45+O47+O49+O51+O56+O61+O66</f>
        <v>-2227873.8800000004</v>
      </c>
      <c r="P82" s="92">
        <f>P16+P24+P29+P36+P43+P45+P47+P49</f>
        <v>0</v>
      </c>
      <c r="Q82" s="93">
        <f>SUM(Q72:Q81)+Q16+Q24+Q29+Q36+Q43+Q45+Q47+Q49+Q51+Q56+Q61+Q66</f>
        <v>26907.406000000607</v>
      </c>
      <c r="R82" s="92">
        <f>R16+R24+R29+R36+R43+R45+R47+R49</f>
        <v>0</v>
      </c>
      <c r="S82" s="93">
        <f>SUM(S72:S81)+S16+S24+S29+S36+S43+S45+S47+S49+S51+S56+S61+S66</f>
        <v>64689.061999999285</v>
      </c>
      <c r="T82" s="92">
        <f>T16+T24+T29+T36+T43+T45+T47+T49</f>
        <v>0</v>
      </c>
      <c r="U82" s="93">
        <f>SUM(U72:U81)+U16+U24+U29+U36+U43+U45+U47+U49+U51+U56+U61+U66</f>
        <v>291785.13600000012</v>
      </c>
      <c r="V82" s="92">
        <f>V16+V24+V29+V36+V43+V45+V47+V49</f>
        <v>0</v>
      </c>
      <c r="W82" s="93">
        <f>SUM(W72:W81)+W16+W24+W29+W36+W43+W45+W47+W49+W51+W56+W61+W66</f>
        <v>-7738.39</v>
      </c>
      <c r="X82" s="92">
        <f>X16+X24+X29+X36+X43+X45+X47+X49</f>
        <v>0</v>
      </c>
      <c r="Y82" s="93">
        <f>SUM(Y72:Y81)+Y16+Y24+Y29+Y36+Y43+Y45+Y47+Y49+Y51+Y56+Y61+Y66</f>
        <v>-206730.04399999979</v>
      </c>
      <c r="Z82" s="92">
        <f>Z16+Z24+Z29+Z36+Z43+Z45+Z47+Z49</f>
        <v>0</v>
      </c>
      <c r="AA82" s="93">
        <f>SUM(AA72:AA81)+AA16+AA24+AA29+AA36+AA43+AA45+AA47+AA49+AA51+AA56+AA61+AA66</f>
        <v>16093.29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5"/>
  <sheetViews>
    <sheetView tabSelected="1" topLeftCell="A19" zoomScale="75" workbookViewId="0">
      <selection activeCell="C33" sqref="C33"/>
    </sheetView>
  </sheetViews>
  <sheetFormatPr defaultRowHeight="13.2" x14ac:dyDescent="0.25"/>
  <cols>
    <col min="1" max="1" width="21.6640625" customWidth="1"/>
    <col min="2" max="2" width="21.33203125" customWidth="1"/>
    <col min="3" max="3" width="17" customWidth="1"/>
    <col min="4" max="4" width="25.6640625" customWidth="1"/>
    <col min="6" max="6" width="15.5546875" customWidth="1"/>
    <col min="7" max="8" width="10.5546875" bestFit="1" customWidth="1"/>
  </cols>
  <sheetData>
    <row r="1" spans="1:8" s="33" customFormat="1" x14ac:dyDescent="0.25">
      <c r="A1" s="1" t="s">
        <v>5</v>
      </c>
      <c r="B1" s="50"/>
      <c r="C1" s="50"/>
      <c r="D1" s="50"/>
      <c r="F1" s="50"/>
    </row>
    <row r="2" spans="1:8" s="33" customFormat="1" x14ac:dyDescent="0.25">
      <c r="A2" s="5" t="s">
        <v>11</v>
      </c>
      <c r="B2" s="50"/>
      <c r="C2" s="50"/>
      <c r="D2" s="50"/>
      <c r="F2" s="50"/>
    </row>
    <row r="3" spans="1:8" s="33" customFormat="1" x14ac:dyDescent="0.25">
      <c r="A3" s="1" t="s">
        <v>6</v>
      </c>
      <c r="B3" s="50"/>
      <c r="C3" s="50"/>
      <c r="D3" s="50"/>
      <c r="F3" s="50"/>
    </row>
    <row r="4" spans="1:8" s="33" customFormat="1" x14ac:dyDescent="0.25">
      <c r="A4" s="51" t="s">
        <v>7</v>
      </c>
      <c r="B4" s="50"/>
      <c r="C4" s="50"/>
      <c r="D4" s="50"/>
      <c r="F4" s="50"/>
    </row>
    <row r="5" spans="1:8" s="33" customFormat="1" x14ac:dyDescent="0.25">
      <c r="A5" s="5" t="s">
        <v>191</v>
      </c>
      <c r="B5" s="50"/>
      <c r="C5" s="50"/>
      <c r="D5" s="50"/>
      <c r="F5" s="50"/>
    </row>
    <row r="9" spans="1:8" ht="13.8" thickBot="1" x14ac:dyDescent="0.3"/>
    <row r="10" spans="1:8" s="87" customFormat="1" ht="18.600000000000001" thickBot="1" x14ac:dyDescent="0.4">
      <c r="A10" s="105" t="s">
        <v>12</v>
      </c>
      <c r="B10" s="106" t="s">
        <v>88</v>
      </c>
      <c r="C10" s="107" t="s">
        <v>8</v>
      </c>
      <c r="D10" s="107" t="s">
        <v>9</v>
      </c>
      <c r="F10" s="88" t="s">
        <v>13</v>
      </c>
    </row>
    <row r="11" spans="1:8" x14ac:dyDescent="0.25">
      <c r="A11" s="102" t="s">
        <v>14</v>
      </c>
      <c r="B11" s="142">
        <f>'CE-FLSH'!$M$82</f>
        <v>2666266.2896123463</v>
      </c>
      <c r="C11" s="203">
        <f>CE_GL!$E$82</f>
        <v>1382239.0119999452</v>
      </c>
      <c r="D11" s="108">
        <f t="shared" ref="D11:D20" si="0">C11-B11</f>
        <v>-1284027.2776124012</v>
      </c>
      <c r="E11" s="31"/>
      <c r="F11" s="31">
        <f>CE_GL!G82</f>
        <v>-4832688.0999999996</v>
      </c>
      <c r="G11" s="31">
        <v>689301</v>
      </c>
      <c r="H11" s="31">
        <f>+C11-G11</f>
        <v>692938.01199994516</v>
      </c>
    </row>
    <row r="12" spans="1:8" x14ac:dyDescent="0.25">
      <c r="A12" s="102" t="s">
        <v>15</v>
      </c>
      <c r="B12" s="142">
        <v>0</v>
      </c>
      <c r="C12" s="60">
        <v>0</v>
      </c>
      <c r="D12" s="108">
        <f>C12-B12</f>
        <v>0</v>
      </c>
      <c r="E12" s="31"/>
      <c r="F12" s="31">
        <f>'EAST-EGM-GL'!G82</f>
        <v>605947.07999999984</v>
      </c>
      <c r="G12" s="31">
        <v>0</v>
      </c>
      <c r="H12" s="31">
        <f t="shared" ref="H12:H24" si="1">+C12-G12</f>
        <v>0</v>
      </c>
    </row>
    <row r="13" spans="1:8" x14ac:dyDescent="0.25">
      <c r="A13" s="102" t="s">
        <v>161</v>
      </c>
      <c r="B13" s="141">
        <f>'BGC-EGM-FLSH'!$M$82+'EAST-EGM-FLSH'!M82</f>
        <v>2130439.7498708172</v>
      </c>
      <c r="C13" s="203">
        <f>'BGC-EGM-GL'!$E$82+'EAST-EGM-GL'!E82</f>
        <v>-1434885.8710000527</v>
      </c>
      <c r="D13" s="108">
        <f t="shared" si="0"/>
        <v>-3565325.6208708696</v>
      </c>
      <c r="E13" s="31"/>
      <c r="F13" s="31">
        <f>'BGC-EGM-GL'!G82</f>
        <v>0</v>
      </c>
      <c r="G13" s="31">
        <v>130412</v>
      </c>
      <c r="H13" s="31">
        <f t="shared" si="1"/>
        <v>-1565297.8710000527</v>
      </c>
    </row>
    <row r="14" spans="1:8" x14ac:dyDescent="0.25">
      <c r="A14" s="102" t="s">
        <v>162</v>
      </c>
      <c r="B14" s="141">
        <f>'EAST-LRC-FLSH'!$M$82</f>
        <v>-3735312.3941708151</v>
      </c>
      <c r="C14" s="203">
        <f>'EAST-LRC-GL'!$E$82</f>
        <v>410901.32000000018</v>
      </c>
      <c r="D14" s="108">
        <f t="shared" si="0"/>
        <v>4146213.7141708154</v>
      </c>
      <c r="E14" s="31"/>
      <c r="F14" s="31">
        <f>'EAST-LRC-GL'!G82</f>
        <v>-28437.459999999963</v>
      </c>
      <c r="G14" s="31">
        <v>389392</v>
      </c>
      <c r="H14" s="31">
        <f t="shared" si="1"/>
        <v>21509.320000000182</v>
      </c>
    </row>
    <row r="15" spans="1:8" x14ac:dyDescent="0.25">
      <c r="A15" s="102" t="s">
        <v>171</v>
      </c>
      <c r="B15" s="141">
        <f>+'EAST-EGM-FLSH'!M89</f>
        <v>-614051</v>
      </c>
      <c r="C15" s="203">
        <f>+'EAST-EGM-GL'!E89</f>
        <v>-614051</v>
      </c>
      <c r="D15" s="108">
        <f>C15-B15</f>
        <v>0</v>
      </c>
      <c r="E15" s="31"/>
      <c r="F15" s="31">
        <f>'EAST-LRC-GL'!G83</f>
        <v>0</v>
      </c>
      <c r="G15" s="31">
        <v>-614051</v>
      </c>
      <c r="H15" s="31">
        <f t="shared" si="1"/>
        <v>0</v>
      </c>
    </row>
    <row r="16" spans="1:8" x14ac:dyDescent="0.25">
      <c r="A16" s="102" t="s">
        <v>17</v>
      </c>
      <c r="B16" s="141">
        <f>'TX-EGM-FLSH'!$M$82</f>
        <v>1550584.4051359042</v>
      </c>
      <c r="C16" s="60">
        <f>'TX-EGM-GL'!$E$82</f>
        <v>576731.32399999886</v>
      </c>
      <c r="D16" s="108">
        <f t="shared" si="0"/>
        <v>-973853.08113590535</v>
      </c>
      <c r="E16" s="31"/>
      <c r="F16" s="31">
        <f>'TX-EGM-GL'!G82</f>
        <v>-1702272.57</v>
      </c>
      <c r="G16" s="31">
        <v>-1138506</v>
      </c>
      <c r="H16" s="31">
        <f t="shared" si="1"/>
        <v>1715237.3239999989</v>
      </c>
    </row>
    <row r="17" spans="1:8" x14ac:dyDescent="0.25">
      <c r="A17" s="102" t="s">
        <v>194</v>
      </c>
      <c r="B17" s="141">
        <f>'TX-HPLR-FLSH'!$M$82</f>
        <v>-578354.12292658724</v>
      </c>
      <c r="C17" s="60">
        <f>'TX-HPLR-GL '!$E$82</f>
        <v>149157.6725000001</v>
      </c>
      <c r="D17" s="108">
        <f t="shared" si="0"/>
        <v>727511.79542658734</v>
      </c>
      <c r="E17" s="31"/>
      <c r="F17" s="31">
        <f>'TX-HPLR-GL '!G82</f>
        <v>55813.74</v>
      </c>
      <c r="G17" s="31">
        <v>149313</v>
      </c>
      <c r="H17" s="31">
        <f t="shared" si="1"/>
        <v>-155.32749999989755</v>
      </c>
    </row>
    <row r="18" spans="1:8" x14ac:dyDescent="0.25">
      <c r="A18" s="102" t="s">
        <v>195</v>
      </c>
      <c r="B18" s="141">
        <f>'TX-HPLC-FLSH'!$M$82</f>
        <v>189942.75926761492</v>
      </c>
      <c r="C18" s="60">
        <f>'TX-HPLC-GL'!$E$82</f>
        <v>620983.1099999994</v>
      </c>
      <c r="D18" s="108">
        <f>C18-B18</f>
        <v>431040.35073238448</v>
      </c>
      <c r="E18" s="31"/>
      <c r="F18" s="31">
        <f>'TX-HPLR-GL '!G83</f>
        <v>0</v>
      </c>
      <c r="G18" s="31">
        <v>333550</v>
      </c>
      <c r="H18" s="31">
        <f t="shared" si="1"/>
        <v>287433.1099999994</v>
      </c>
    </row>
    <row r="19" spans="1:8" x14ac:dyDescent="0.25">
      <c r="A19" s="102" t="s">
        <v>183</v>
      </c>
      <c r="B19" s="141">
        <f>'TX-EGM-FLSH'!$M$89</f>
        <v>-92073</v>
      </c>
      <c r="C19" s="60">
        <f>+'TX-EGM-GL'!E89</f>
        <v>54148</v>
      </c>
      <c r="D19" s="108">
        <f>C19-B19</f>
        <v>146221</v>
      </c>
      <c r="E19" s="31"/>
      <c r="F19" s="31">
        <f>'WE-GL '!G81</f>
        <v>0</v>
      </c>
      <c r="G19" s="31">
        <v>54148</v>
      </c>
      <c r="H19" s="31">
        <f t="shared" si="1"/>
        <v>0</v>
      </c>
    </row>
    <row r="20" spans="1:8" x14ac:dyDescent="0.25">
      <c r="A20" s="102" t="s">
        <v>18</v>
      </c>
      <c r="B20" s="141">
        <f>'WE-FLSH'!$M$82</f>
        <v>1207313.228680613</v>
      </c>
      <c r="C20" s="203">
        <f>'WE-GL '!$E$82</f>
        <v>147741.17299999204</v>
      </c>
      <c r="D20" s="108">
        <f t="shared" si="0"/>
        <v>-1059572.0556806209</v>
      </c>
      <c r="E20" s="31"/>
      <c r="F20" s="31">
        <f>'WE-GL '!G82</f>
        <v>2358130.4899999993</v>
      </c>
      <c r="G20" s="31">
        <v>1263424</v>
      </c>
      <c r="H20" s="31">
        <f t="shared" si="1"/>
        <v>-1115682.827000008</v>
      </c>
    </row>
    <row r="21" spans="1:8" x14ac:dyDescent="0.25">
      <c r="A21" s="102" t="s">
        <v>19</v>
      </c>
      <c r="B21" s="141">
        <f>STG_FLSH!$M$82</f>
        <v>1292000</v>
      </c>
      <c r="C21" s="203">
        <f>STG_GL!$E$82</f>
        <v>3878355.24</v>
      </c>
      <c r="D21" s="108">
        <f>C21-B21</f>
        <v>2586355.2400000002</v>
      </c>
      <c r="E21" s="31"/>
      <c r="F21" s="31">
        <f>STG_GL!G82</f>
        <v>5196666</v>
      </c>
      <c r="G21" s="31">
        <v>4299181</v>
      </c>
      <c r="H21" s="211">
        <f t="shared" si="1"/>
        <v>-420825.75999999978</v>
      </c>
    </row>
    <row r="22" spans="1:8" x14ac:dyDescent="0.25">
      <c r="A22" s="102" t="s">
        <v>165</v>
      </c>
      <c r="B22" s="141">
        <f>ONT_FLSH!$M$82</f>
        <v>444250.53521231562</v>
      </c>
      <c r="C22" s="203">
        <f>'ONT_GL '!$E$82</f>
        <v>964066.1400000006</v>
      </c>
      <c r="D22" s="108">
        <f>C22-B22</f>
        <v>519815.60478768498</v>
      </c>
      <c r="E22" s="31"/>
      <c r="F22" s="31">
        <f>'ONT_GL '!G82</f>
        <v>-32292.079999999958</v>
      </c>
      <c r="G22" s="31">
        <v>1659389</v>
      </c>
      <c r="H22" s="31">
        <f t="shared" si="1"/>
        <v>-695322.8599999994</v>
      </c>
    </row>
    <row r="23" spans="1:8" x14ac:dyDescent="0.25">
      <c r="A23" s="102" t="s">
        <v>170</v>
      </c>
      <c r="B23" s="141">
        <f>ONT_FLSH!$M$89</f>
        <v>109108</v>
      </c>
      <c r="C23" s="203">
        <f>+'ONT_GL '!E89</f>
        <v>109108.24</v>
      </c>
      <c r="D23" s="108">
        <f>C23-B23</f>
        <v>0.24000000000523869</v>
      </c>
      <c r="E23" s="31"/>
      <c r="F23" s="31">
        <f>'ONT_GL '!G83</f>
        <v>0</v>
      </c>
      <c r="G23" s="31">
        <v>109108</v>
      </c>
      <c r="H23" s="31">
        <f t="shared" si="1"/>
        <v>0.24000000000523869</v>
      </c>
    </row>
    <row r="24" spans="1:8" x14ac:dyDescent="0.25">
      <c r="A24" s="161" t="s">
        <v>115</v>
      </c>
      <c r="B24" s="141">
        <f>+BUG_FLSH!M82</f>
        <v>1461447.8974007959</v>
      </c>
      <c r="C24" s="203">
        <f>+BUG_GL!E82</f>
        <v>2057103.8150000013</v>
      </c>
      <c r="D24" s="108">
        <f>C24-B24</f>
        <v>595655.91759920539</v>
      </c>
      <c r="E24" s="31"/>
      <c r="F24" s="31">
        <f>+BUG_GL!G82</f>
        <v>-1839405.1100000003</v>
      </c>
      <c r="G24" s="31">
        <v>3560447</v>
      </c>
      <c r="H24" s="211">
        <f t="shared" si="1"/>
        <v>-1503343.1849999987</v>
      </c>
    </row>
    <row r="25" spans="1:8" ht="21.75" customHeight="1" thickBot="1" x14ac:dyDescent="0.3">
      <c r="A25" s="102" t="s">
        <v>10</v>
      </c>
      <c r="B25" s="61">
        <f>SUM(B11:B24)</f>
        <v>6031562.3480830044</v>
      </c>
      <c r="C25" s="61">
        <f>SUM(C11:C24)</f>
        <v>8301598.1754998853</v>
      </c>
      <c r="D25" s="109">
        <f>SUM(D11:D24)</f>
        <v>2270035.827416881</v>
      </c>
      <c r="E25" s="31"/>
      <c r="F25" s="61">
        <f>SUM(F11:F24)</f>
        <v>-218538.01000000071</v>
      </c>
      <c r="G25" s="31"/>
      <c r="H25" s="31">
        <f>SUM(H11:H24)</f>
        <v>-2583509.8245001147</v>
      </c>
    </row>
    <row r="26" spans="1:8" ht="21" customHeight="1" thickBot="1" x14ac:dyDescent="0.3">
      <c r="A26" s="103" t="s">
        <v>20</v>
      </c>
      <c r="B26" s="104">
        <f>TOTAL!$E$91</f>
        <v>6031562.3480830938</v>
      </c>
      <c r="C26" s="104">
        <f>TOTAL!$G$91</f>
        <v>8301598.1755001079</v>
      </c>
      <c r="D26" s="110">
        <f>TOTAL!$I$91</f>
        <v>2270035.8274168354</v>
      </c>
      <c r="E26" s="31"/>
      <c r="F26" s="31">
        <f>'TIE-OUT'!E82+RECLASS!E82</f>
        <v>-4486248.9000000032</v>
      </c>
      <c r="G26" s="31"/>
      <c r="H26" s="31"/>
    </row>
    <row r="27" spans="1:8" x14ac:dyDescent="0.25">
      <c r="B27" s="45"/>
      <c r="C27" s="45"/>
      <c r="D27" s="45"/>
      <c r="E27" s="45"/>
      <c r="F27" s="45"/>
      <c r="G27" s="45"/>
      <c r="H27" s="45"/>
    </row>
    <row r="28" spans="1:8" x14ac:dyDescent="0.25">
      <c r="B28" s="45">
        <f>+B25-B26</f>
        <v>-8.9406967163085938E-8</v>
      </c>
      <c r="C28" s="45">
        <f>+C25-C26</f>
        <v>-2.2258609533309937E-7</v>
      </c>
      <c r="D28" s="45"/>
      <c r="E28" s="45"/>
      <c r="F28" s="45">
        <f>+F25-F26</f>
        <v>4267710.8900000025</v>
      </c>
      <c r="G28" s="45"/>
      <c r="H28" s="45"/>
    </row>
    <row r="29" spans="1:8" ht="13.8" thickBot="1" x14ac:dyDescent="0.3"/>
    <row r="30" spans="1:8" ht="18.600000000000001" thickBot="1" x14ac:dyDescent="0.4">
      <c r="A30" s="105" t="s">
        <v>12</v>
      </c>
      <c r="B30" s="106" t="s">
        <v>157</v>
      </c>
      <c r="C30" s="107" t="s">
        <v>8</v>
      </c>
      <c r="D30" s="107" t="s">
        <v>9</v>
      </c>
    </row>
    <row r="31" spans="1:8" x14ac:dyDescent="0.25">
      <c r="A31" s="102" t="s">
        <v>14</v>
      </c>
      <c r="B31" s="142">
        <f>+'[2]ST Warroom 99'!$B$45</f>
        <v>1672876</v>
      </c>
      <c r="C31" s="163">
        <f>C11</f>
        <v>1382239.0119999452</v>
      </c>
      <c r="D31" s="108">
        <f t="shared" ref="D31:D38" si="2">C31-B31</f>
        <v>-290636.98800005484</v>
      </c>
    </row>
    <row r="32" spans="1:8" x14ac:dyDescent="0.25">
      <c r="A32" s="102" t="s">
        <v>15</v>
      </c>
      <c r="B32" s="142">
        <v>0</v>
      </c>
      <c r="C32" s="60">
        <f>C12</f>
        <v>0</v>
      </c>
      <c r="D32" s="108">
        <f t="shared" si="2"/>
        <v>0</v>
      </c>
    </row>
    <row r="33" spans="1:4" x14ac:dyDescent="0.25">
      <c r="A33" s="102" t="s">
        <v>163</v>
      </c>
      <c r="B33" s="141">
        <f>+'[2]ST Warroom 99'!$C$45+'[2]ST Warroom 99'!$D$45+'[2]ST Warroom 99'!$E$45+'[2]ST Warroom 99'!$F$45</f>
        <v>-1215091</v>
      </c>
      <c r="C33" s="163">
        <f>C13+C14+C15</f>
        <v>-1638035.5510000526</v>
      </c>
      <c r="D33" s="108">
        <f t="shared" si="2"/>
        <v>-422944.5510000526</v>
      </c>
    </row>
    <row r="34" spans="1:4" x14ac:dyDescent="0.25">
      <c r="A34" s="102" t="s">
        <v>158</v>
      </c>
      <c r="B34" s="141">
        <f>+'[2]ST Warroom 99'!$H$45+'[2]ST Warroom 99'!$I$45+'[2]ST Warroom 99'!$J$45+'[2]ST Warroom 99'!$K$45</f>
        <v>1342363</v>
      </c>
      <c r="C34" s="60">
        <f>C16+C17+C19+C18</f>
        <v>1401020.1064999984</v>
      </c>
      <c r="D34" s="108">
        <f t="shared" si="2"/>
        <v>58657.106499998365</v>
      </c>
    </row>
    <row r="35" spans="1:4" x14ac:dyDescent="0.25">
      <c r="A35" s="102" t="s">
        <v>18</v>
      </c>
      <c r="B35" s="141">
        <f>+'[2]ST Warroom 99'!$L$45</f>
        <v>505169</v>
      </c>
      <c r="C35" s="163">
        <f>C20</f>
        <v>147741.17299999204</v>
      </c>
      <c r="D35" s="108">
        <f t="shared" si="2"/>
        <v>-357427.82700000796</v>
      </c>
    </row>
    <row r="36" spans="1:4" x14ac:dyDescent="0.25">
      <c r="A36" s="102" t="s">
        <v>19</v>
      </c>
      <c r="B36" s="141">
        <f>+'[2]ST Warroom 99'!$M$45</f>
        <v>3878355</v>
      </c>
      <c r="C36" s="60">
        <f>C21</f>
        <v>3878355.24</v>
      </c>
      <c r="D36" s="108">
        <f t="shared" si="2"/>
        <v>0.24000000022351742</v>
      </c>
    </row>
    <row r="37" spans="1:4" x14ac:dyDescent="0.25">
      <c r="A37" s="102" t="s">
        <v>165</v>
      </c>
      <c r="B37" s="141">
        <f>+'[2]ST Warroom 99'!$O$45</f>
        <v>1310074</v>
      </c>
      <c r="C37" s="163">
        <f>+C22+C23</f>
        <v>1073174.3800000006</v>
      </c>
      <c r="D37" s="108">
        <f t="shared" si="2"/>
        <v>-236899.61999999941</v>
      </c>
    </row>
    <row r="38" spans="1:4" x14ac:dyDescent="0.25">
      <c r="A38" s="161" t="s">
        <v>115</v>
      </c>
      <c r="B38" s="141">
        <f>+'[2]ST Warroom 99'!$G$45</f>
        <v>1824342</v>
      </c>
      <c r="C38" s="163">
        <f>C24</f>
        <v>2057103.8150000013</v>
      </c>
      <c r="D38" s="108">
        <f t="shared" si="2"/>
        <v>232761.81500000134</v>
      </c>
    </row>
    <row r="39" spans="1:4" ht="13.8" thickBot="1" x14ac:dyDescent="0.3">
      <c r="A39" s="102" t="s">
        <v>10</v>
      </c>
      <c r="B39" s="61">
        <f>SUM(B31:B38)</f>
        <v>9318088</v>
      </c>
      <c r="C39" s="61">
        <f>SUM(C31:C38)</f>
        <v>8301598.1754998853</v>
      </c>
      <c r="D39" s="109">
        <f>SUM(D31:D38)</f>
        <v>-1016489.8245001149</v>
      </c>
    </row>
    <row r="40" spans="1:4" ht="13.8" thickBot="1" x14ac:dyDescent="0.3">
      <c r="A40" s="103" t="s">
        <v>159</v>
      </c>
      <c r="B40" s="104">
        <f>+B39</f>
        <v>9318088</v>
      </c>
      <c r="C40" s="104">
        <f>TOTAL!$G$91</f>
        <v>8301598.1755001079</v>
      </c>
      <c r="D40" s="110">
        <f>C40-B40</f>
        <v>-1016489.8244998921</v>
      </c>
    </row>
    <row r="42" spans="1:4" x14ac:dyDescent="0.25">
      <c r="B42" s="45"/>
      <c r="C42" s="45">
        <f>C40-[1]OAvsACT!$C$49</f>
        <v>-18.424499893561006</v>
      </c>
      <c r="D42" s="157">
        <f>-D40+[1]OAvsACT!$G$49</f>
        <v>18.424499893561006</v>
      </c>
    </row>
    <row r="43" spans="1:4" x14ac:dyDescent="0.25">
      <c r="C43" s="45">
        <v>0</v>
      </c>
      <c r="D43" s="158"/>
    </row>
    <row r="44" spans="1:4" x14ac:dyDescent="0.25">
      <c r="C44" s="45"/>
    </row>
    <row r="45" spans="1:4" hidden="1" x14ac:dyDescent="0.25"/>
    <row r="46" spans="1:4" hidden="1" x14ac:dyDescent="0.25"/>
    <row r="47" spans="1:4" hidden="1" x14ac:dyDescent="0.25"/>
    <row r="48" spans="1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spans="3:3" hidden="1" x14ac:dyDescent="0.25"/>
    <row r="66" spans="3:3" hidden="1" x14ac:dyDescent="0.25"/>
    <row r="67" spans="3:3" hidden="1" x14ac:dyDescent="0.25"/>
    <row r="68" spans="3:3" hidden="1" x14ac:dyDescent="0.25"/>
    <row r="69" spans="3:3" hidden="1" x14ac:dyDescent="0.25"/>
    <row r="70" spans="3:3" hidden="1" x14ac:dyDescent="0.25"/>
    <row r="71" spans="3:3" hidden="1" x14ac:dyDescent="0.25"/>
    <row r="72" spans="3:3" hidden="1" x14ac:dyDescent="0.25">
      <c r="C72" s="2"/>
    </row>
    <row r="73" spans="3:3" hidden="1" x14ac:dyDescent="0.25"/>
    <row r="74" spans="3:3" hidden="1" x14ac:dyDescent="0.25"/>
    <row r="75" spans="3:3" hidden="1" x14ac:dyDescent="0.25"/>
    <row r="76" spans="3:3" hidden="1" x14ac:dyDescent="0.25"/>
    <row r="77" spans="3:3" hidden="1" x14ac:dyDescent="0.25"/>
    <row r="78" spans="3:3" hidden="1" x14ac:dyDescent="0.25"/>
    <row r="79" spans="3:3" hidden="1" x14ac:dyDescent="0.25"/>
    <row r="80" spans="3:3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S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5" customWidth="1"/>
    <col min="12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86007417</v>
      </c>
      <c r="E11" s="38">
        <f>SUM(G11,I11,K11,M11,O11,Q11,S11,U11,W11,Y11,AA11,AC11,AE11)</f>
        <v>195557628.21999997</v>
      </c>
      <c r="F11" s="60">
        <f>'TIE-OUT'!H11+RECLASS!H11</f>
        <v>0</v>
      </c>
      <c r="G11" s="38">
        <f>'TIE-OUT'!I11+RECLASS!I11</f>
        <v>-414985</v>
      </c>
      <c r="H11" s="129">
        <f>+Actuals!E164</f>
        <v>85094315</v>
      </c>
      <c r="I11" s="130">
        <f>+Actuals!F164</f>
        <v>194018927.97999999</v>
      </c>
      <c r="J11" s="129">
        <f>+Actuals!G164</f>
        <v>-174103</v>
      </c>
      <c r="K11" s="149">
        <f>+Actuals!H164</f>
        <v>-19277658.540000003</v>
      </c>
      <c r="L11" s="129">
        <f>+Actuals!I164</f>
        <v>1236268</v>
      </c>
      <c r="M11" s="130">
        <f>+Actuals!J164</f>
        <v>21381226.259999998</v>
      </c>
      <c r="N11" s="129">
        <f>+Actuals!K164</f>
        <v>-320838</v>
      </c>
      <c r="O11" s="130">
        <f>+Actuals!L164</f>
        <v>-102999.37</v>
      </c>
      <c r="P11" s="129">
        <f>+Actuals!M164</f>
        <v>2925</v>
      </c>
      <c r="Q11" s="130">
        <f>+Actuals!N164</f>
        <v>1444.94</v>
      </c>
      <c r="R11" s="129">
        <f>+Actuals!O164</f>
        <v>237600</v>
      </c>
      <c r="S11" s="130">
        <f>+Actuals!P164</f>
        <v>-169996.4</v>
      </c>
      <c r="T11" s="129">
        <f>+Actuals!Q244</f>
        <v>-231233</v>
      </c>
      <c r="U11" s="130">
        <f>+Actuals!R244</f>
        <v>175899.4</v>
      </c>
      <c r="V11" s="129">
        <f>+Actuals!S244</f>
        <v>161262</v>
      </c>
      <c r="W11" s="130">
        <f>+Actuals!T244</f>
        <v>-67069.94</v>
      </c>
      <c r="X11" s="129">
        <f>+Actuals!U244</f>
        <v>1221</v>
      </c>
      <c r="Y11" s="130">
        <f>+Actuals!V244</f>
        <v>12846.97</v>
      </c>
      <c r="Z11" s="129">
        <f>+Actuals!W244</f>
        <v>0</v>
      </c>
      <c r="AA11" s="130">
        <f>+Actuals!X244</f>
        <v>-8.08</v>
      </c>
      <c r="AB11" s="129">
        <f>+Actuals!Y164</f>
        <v>0</v>
      </c>
      <c r="AC11" s="130">
        <f>+Actuals!Z164</f>
        <v>0</v>
      </c>
      <c r="AD11" s="129">
        <f>+Actuals!AA164</f>
        <v>0</v>
      </c>
      <c r="AE11" s="130">
        <f>+Actuals!AB164</f>
        <v>0</v>
      </c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2294439.27</v>
      </c>
      <c r="F12" s="60">
        <f>'TIE-OUT'!H12+RECLASS!H12</f>
        <v>0</v>
      </c>
      <c r="G12" s="38">
        <f>'TIE-OUT'!I12+RECLASS!I12</f>
        <v>2201439.27</v>
      </c>
      <c r="H12" s="129">
        <f>+Actuals!E165</f>
        <v>0</v>
      </c>
      <c r="I12" s="130">
        <f>+Actuals!F165</f>
        <v>0</v>
      </c>
      <c r="J12" s="129">
        <f>+Actuals!G165</f>
        <v>0</v>
      </c>
      <c r="K12" s="162">
        <f>+Actuals!H165</f>
        <v>0</v>
      </c>
      <c r="L12" s="129">
        <f>+Actuals!I165</f>
        <v>0</v>
      </c>
      <c r="M12" s="208">
        <v>93000</v>
      </c>
      <c r="N12" s="129">
        <f>+Actuals!K165</f>
        <v>0</v>
      </c>
      <c r="O12" s="130">
        <f>+Actuals!L165</f>
        <v>0</v>
      </c>
      <c r="P12" s="129">
        <f>+Actuals!M165</f>
        <v>0</v>
      </c>
      <c r="Q12" s="130">
        <f>+Actuals!N165</f>
        <v>0</v>
      </c>
      <c r="R12" s="129">
        <f>+Actuals!O165</f>
        <v>0</v>
      </c>
      <c r="S12" s="130">
        <f>+Actuals!P165</f>
        <v>0</v>
      </c>
      <c r="T12" s="129">
        <f>+Actuals!Q245</f>
        <v>0</v>
      </c>
      <c r="U12" s="130">
        <f>+Actuals!R245</f>
        <v>0</v>
      </c>
      <c r="V12" s="129">
        <f>+Actuals!S245</f>
        <v>0</v>
      </c>
      <c r="W12" s="130">
        <f>+Actuals!T245</f>
        <v>0</v>
      </c>
      <c r="X12" s="129">
        <f>+Actuals!U245</f>
        <v>0</v>
      </c>
      <c r="Y12" s="130">
        <f>+Actuals!V245</f>
        <v>0</v>
      </c>
      <c r="Z12" s="129">
        <f>+Actuals!W245</f>
        <v>0</v>
      </c>
      <c r="AA12" s="130">
        <f>+Actuals!X245</f>
        <v>0</v>
      </c>
      <c r="AB12" s="129">
        <f>+Actuals!Y165</f>
        <v>0</v>
      </c>
      <c r="AC12" s="130">
        <f>+Actuals!Z165</f>
        <v>0</v>
      </c>
      <c r="AD12" s="129">
        <f>+Actuals!AA165</f>
        <v>0</v>
      </c>
      <c r="AE12" s="130">
        <f>+Actuals!AB165</f>
        <v>0</v>
      </c>
    </row>
    <row r="13" spans="1:31" x14ac:dyDescent="0.25">
      <c r="A13" s="9">
        <v>3</v>
      </c>
      <c r="B13" s="7"/>
      <c r="C13" s="18" t="s">
        <v>28</v>
      </c>
      <c r="D13" s="60">
        <f t="shared" si="0"/>
        <v>41862372</v>
      </c>
      <c r="E13" s="38">
        <f t="shared" si="0"/>
        <v>97424953</v>
      </c>
      <c r="F13" s="60">
        <f>'TIE-OUT'!H13+RECLASS!H13</f>
        <v>0</v>
      </c>
      <c r="G13" s="38">
        <f>'TIE-OUT'!I13+RECLASS!I13</f>
        <v>0</v>
      </c>
      <c r="H13" s="129">
        <f>+Actuals!E166</f>
        <v>41862372</v>
      </c>
      <c r="I13" s="130">
        <f>+Actuals!F166</f>
        <v>97424953</v>
      </c>
      <c r="J13" s="129">
        <f>+Actuals!G166</f>
        <v>-86107</v>
      </c>
      <c r="K13" s="149">
        <f>+Actuals!H166</f>
        <v>-189994</v>
      </c>
      <c r="L13" s="129">
        <f>+Actuals!I166</f>
        <v>0</v>
      </c>
      <c r="M13" s="130">
        <f>+Actuals!J166</f>
        <v>0</v>
      </c>
      <c r="N13" s="129">
        <f>+Actuals!K166</f>
        <v>7315478</v>
      </c>
      <c r="O13" s="130">
        <f>+Actuals!L166</f>
        <v>16779752</v>
      </c>
      <c r="P13" s="129">
        <f>+Actuals!M166</f>
        <v>7315478</v>
      </c>
      <c r="Q13" s="130">
        <f>+Actuals!N166</f>
        <v>16779752</v>
      </c>
      <c r="R13" s="129">
        <f>+Actuals!O166</f>
        <v>-14544849</v>
      </c>
      <c r="S13" s="130">
        <f>+Actuals!P166</f>
        <v>-33369510</v>
      </c>
      <c r="T13" s="129">
        <f>+Actuals!Q246</f>
        <v>14544849</v>
      </c>
      <c r="U13" s="130">
        <f>+Actuals!R246</f>
        <v>33369510</v>
      </c>
      <c r="V13" s="129">
        <f>+Actuals!S246</f>
        <v>0</v>
      </c>
      <c r="W13" s="130">
        <f>+Actuals!T246</f>
        <v>0</v>
      </c>
      <c r="X13" s="129">
        <f>+Actuals!U246</f>
        <v>-14544849</v>
      </c>
      <c r="Y13" s="130">
        <f>+Actuals!V246</f>
        <v>-33369510</v>
      </c>
      <c r="Z13" s="129">
        <f>+Actuals!W246</f>
        <v>0</v>
      </c>
      <c r="AA13" s="130">
        <f>+Actuals!X246</f>
        <v>0</v>
      </c>
      <c r="AB13" s="129">
        <f>+Actuals!Y166</f>
        <v>0</v>
      </c>
      <c r="AC13" s="130">
        <f>+Actuals!Z166</f>
        <v>0</v>
      </c>
      <c r="AD13" s="129">
        <f>+Actuals!AA166</f>
        <v>0</v>
      </c>
      <c r="AE13" s="130">
        <f>+Actuals!AB166</f>
        <v>0</v>
      </c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9">
        <f>+Actuals!E167</f>
        <v>0</v>
      </c>
      <c r="I14" s="130">
        <f>+Actuals!F167</f>
        <v>0</v>
      </c>
      <c r="J14" s="129">
        <f>+Actuals!G167</f>
        <v>0</v>
      </c>
      <c r="K14" s="149">
        <f>+Actuals!H167</f>
        <v>0</v>
      </c>
      <c r="L14" s="129">
        <f>+Actuals!I167</f>
        <v>0</v>
      </c>
      <c r="M14" s="130">
        <f>+Actuals!J167</f>
        <v>0</v>
      </c>
      <c r="N14" s="129">
        <f>+Actuals!K167</f>
        <v>0</v>
      </c>
      <c r="O14" s="130">
        <f>+Actuals!L167</f>
        <v>0</v>
      </c>
      <c r="P14" s="129">
        <f>+Actuals!M167</f>
        <v>0</v>
      </c>
      <c r="Q14" s="130">
        <f>+Actuals!N167</f>
        <v>0</v>
      </c>
      <c r="R14" s="129">
        <f>+Actuals!O167</f>
        <v>0</v>
      </c>
      <c r="S14" s="130">
        <f>+Actuals!P167</f>
        <v>0</v>
      </c>
      <c r="T14" s="129">
        <f>+Actuals!Q247</f>
        <v>0</v>
      </c>
      <c r="U14" s="130">
        <f>+Actuals!R247</f>
        <v>0</v>
      </c>
      <c r="V14" s="129">
        <f>+Actuals!S247</f>
        <v>0</v>
      </c>
      <c r="W14" s="130">
        <f>+Actuals!T247</f>
        <v>0</v>
      </c>
      <c r="X14" s="129">
        <f>+Actuals!U247</f>
        <v>0</v>
      </c>
      <c r="Y14" s="130">
        <f>+Actuals!V247</f>
        <v>0</v>
      </c>
      <c r="Z14" s="129">
        <f>+Actuals!W247</f>
        <v>0</v>
      </c>
      <c r="AA14" s="130">
        <f>+Actuals!X247</f>
        <v>0</v>
      </c>
      <c r="AB14" s="129">
        <f>+Actuals!Y167</f>
        <v>0</v>
      </c>
      <c r="AC14" s="130">
        <f>+Actuals!Z167</f>
        <v>0</v>
      </c>
      <c r="AD14" s="129">
        <f>+Actuals!AA167</f>
        <v>0</v>
      </c>
      <c r="AE14" s="130">
        <f>+Actuals!AB167</f>
        <v>0</v>
      </c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765306.58</v>
      </c>
      <c r="F15" s="81">
        <f>'TIE-OUT'!H15+RECLASS!H15</f>
        <v>0</v>
      </c>
      <c r="G15" s="82">
        <f>'TIE-OUT'!I15+RECLASS!I15</f>
        <v>137884</v>
      </c>
      <c r="H15" s="129">
        <f>+Actuals!E168</f>
        <v>0</v>
      </c>
      <c r="I15" s="130">
        <f>+Actuals!F168</f>
        <v>0</v>
      </c>
      <c r="J15" s="129">
        <f>+Actuals!G168</f>
        <v>0</v>
      </c>
      <c r="K15" s="149">
        <f>+Actuals!H168</f>
        <v>0</v>
      </c>
      <c r="L15" s="129">
        <f>+Actuals!I168</f>
        <v>0</v>
      </c>
      <c r="M15" s="130">
        <f>+Actuals!J168</f>
        <v>0</v>
      </c>
      <c r="N15" s="129">
        <f>+Actuals!K168</f>
        <v>0</v>
      </c>
      <c r="O15" s="130">
        <f>+Actuals!L168</f>
        <v>621405</v>
      </c>
      <c r="P15" s="129">
        <f>+Actuals!M168</f>
        <v>0</v>
      </c>
      <c r="Q15" s="130">
        <f>+Actuals!N168</f>
        <v>0</v>
      </c>
      <c r="R15" s="129">
        <f>+Actuals!O168</f>
        <v>0</v>
      </c>
      <c r="S15" s="130">
        <f>+Actuals!P168</f>
        <v>0</v>
      </c>
      <c r="T15" s="129">
        <f>+Actuals!Q248</f>
        <v>0</v>
      </c>
      <c r="U15" s="130">
        <f>+Actuals!R248</f>
        <v>5289</v>
      </c>
      <c r="V15" s="129">
        <f>+Actuals!S248</f>
        <v>0</v>
      </c>
      <c r="W15" s="130">
        <f>+Actuals!T248</f>
        <v>-47.85</v>
      </c>
      <c r="X15" s="129">
        <f>+Actuals!U248</f>
        <v>0</v>
      </c>
      <c r="Y15" s="130">
        <f>+Actuals!V248</f>
        <v>1875.46</v>
      </c>
      <c r="Z15" s="129">
        <f>+Actuals!W248</f>
        <v>0</v>
      </c>
      <c r="AA15" s="130">
        <f>+Actuals!X248</f>
        <v>-1099.03</v>
      </c>
      <c r="AB15" s="129">
        <f>+Actuals!Y168</f>
        <v>0</v>
      </c>
      <c r="AC15" s="130">
        <f>+Actuals!Z168</f>
        <v>0</v>
      </c>
      <c r="AD15" s="129">
        <f>+Actuals!AA168</f>
        <v>0</v>
      </c>
      <c r="AE15" s="130">
        <f>+Actuals!AB168</f>
        <v>0</v>
      </c>
    </row>
    <row r="16" spans="1:31" x14ac:dyDescent="0.25">
      <c r="A16" s="9"/>
      <c r="B16" s="7" t="s">
        <v>31</v>
      </c>
      <c r="C16" s="6"/>
      <c r="D16" s="61">
        <f t="shared" ref="D16:AE16" si="1">SUM(D11:D15)</f>
        <v>127869789</v>
      </c>
      <c r="E16" s="39">
        <f t="shared" si="1"/>
        <v>296042327.06999999</v>
      </c>
      <c r="F16" s="61">
        <f t="shared" si="1"/>
        <v>0</v>
      </c>
      <c r="G16" s="39">
        <f t="shared" si="1"/>
        <v>1924338.27</v>
      </c>
      <c r="H16" s="61">
        <f t="shared" si="1"/>
        <v>126956687</v>
      </c>
      <c r="I16" s="39">
        <f t="shared" si="1"/>
        <v>291443880.98000002</v>
      </c>
      <c r="J16" s="61">
        <f t="shared" si="1"/>
        <v>-260210</v>
      </c>
      <c r="K16" s="150">
        <f t="shared" si="1"/>
        <v>-19467652.540000003</v>
      </c>
      <c r="L16" s="61">
        <f t="shared" si="1"/>
        <v>1236268</v>
      </c>
      <c r="M16" s="39">
        <f t="shared" si="1"/>
        <v>21474226.259999998</v>
      </c>
      <c r="N16" s="61">
        <f t="shared" si="1"/>
        <v>6994640</v>
      </c>
      <c r="O16" s="39">
        <f t="shared" si="1"/>
        <v>17298157.630000003</v>
      </c>
      <c r="P16" s="61">
        <f t="shared" si="1"/>
        <v>7318403</v>
      </c>
      <c r="Q16" s="39">
        <f t="shared" si="1"/>
        <v>16781196.940000001</v>
      </c>
      <c r="R16" s="61">
        <f t="shared" si="1"/>
        <v>-14307249</v>
      </c>
      <c r="S16" s="39">
        <f t="shared" si="1"/>
        <v>-33539506.399999999</v>
      </c>
      <c r="T16" s="61">
        <f t="shared" si="1"/>
        <v>14313616</v>
      </c>
      <c r="U16" s="39">
        <f t="shared" si="1"/>
        <v>33550698.399999999</v>
      </c>
      <c r="V16" s="61">
        <f t="shared" ref="V16:AA16" si="2">SUM(V11:V15)</f>
        <v>161262</v>
      </c>
      <c r="W16" s="39">
        <f t="shared" si="2"/>
        <v>-67117.790000000008</v>
      </c>
      <c r="X16" s="61">
        <f t="shared" si="2"/>
        <v>-14543628</v>
      </c>
      <c r="Y16" s="39">
        <f t="shared" si="2"/>
        <v>-33354787.57</v>
      </c>
      <c r="Z16" s="61">
        <f t="shared" si="2"/>
        <v>0</v>
      </c>
      <c r="AA16" s="39">
        <f t="shared" si="2"/>
        <v>-1107.1099999999999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-97326451</v>
      </c>
      <c r="E19" s="38">
        <f t="shared" si="3"/>
        <v>-220921363.13000003</v>
      </c>
      <c r="F19" s="64">
        <f>'TIE-OUT'!H19+RECLASS!H19</f>
        <v>0</v>
      </c>
      <c r="G19" s="68">
        <f>'TIE-OUT'!I19+RECLASS!I19</f>
        <v>198229</v>
      </c>
      <c r="H19" s="129">
        <f>+Actuals!E169</f>
        <v>-94864127</v>
      </c>
      <c r="I19" s="130">
        <f>+Actuals!F169</f>
        <v>-216085832</v>
      </c>
      <c r="J19" s="129">
        <f>+Actuals!G169</f>
        <v>-2048882</v>
      </c>
      <c r="K19" s="149">
        <f>+Actuals!H169</f>
        <v>-4914236.1100000003</v>
      </c>
      <c r="L19" s="129">
        <f>+Actuals!I169</f>
        <v>118678</v>
      </c>
      <c r="M19" s="130">
        <f>+Actuals!J169</f>
        <v>261495.97</v>
      </c>
      <c r="N19" s="129">
        <f>+Actuals!K169</f>
        <v>-318807</v>
      </c>
      <c r="O19" s="130">
        <f>+Actuals!L169</f>
        <v>-720210.19</v>
      </c>
      <c r="P19" s="129">
        <f>+Actuals!M169</f>
        <v>-14998</v>
      </c>
      <c r="Q19" s="130">
        <f>+Actuals!N169</f>
        <v>-33643.24</v>
      </c>
      <c r="R19" s="129">
        <f>+Actuals!O169</f>
        <v>12695</v>
      </c>
      <c r="S19" s="130">
        <f>+Actuals!P169</f>
        <v>34245.4</v>
      </c>
      <c r="T19" s="129">
        <f>+Actuals!Q249</f>
        <v>-21472</v>
      </c>
      <c r="U19" s="130">
        <f>+Actuals!R249</f>
        <v>-46077.63</v>
      </c>
      <c r="V19" s="129">
        <f>+Actuals!S249</f>
        <v>-189086</v>
      </c>
      <c r="W19" s="130">
        <f>+Actuals!T249</f>
        <v>-423392.34</v>
      </c>
      <c r="X19" s="129">
        <f>+Actuals!U249</f>
        <v>4489</v>
      </c>
      <c r="Y19" s="130">
        <f>+Actuals!V249</f>
        <v>818433.42</v>
      </c>
      <c r="Z19" s="129">
        <f>+Actuals!W249</f>
        <v>-4941</v>
      </c>
      <c r="AA19" s="130">
        <f>+Actuals!X249</f>
        <v>-10375.41</v>
      </c>
      <c r="AB19" s="129">
        <f>+Actuals!Y169</f>
        <v>0</v>
      </c>
      <c r="AC19" s="130">
        <f>+Actuals!Z169</f>
        <v>0</v>
      </c>
      <c r="AD19" s="129">
        <f>+Actuals!AA169</f>
        <v>0</v>
      </c>
      <c r="AE19" s="130">
        <f>+Actuals!AB169</f>
        <v>0</v>
      </c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-374522.49</v>
      </c>
      <c r="F20" s="60">
        <f>'TIE-OUT'!H20+RECLASS!H20</f>
        <v>0</v>
      </c>
      <c r="G20" s="38">
        <f>'TIE-OUT'!I20+RECLASS!I20</f>
        <v>-374522.49</v>
      </c>
      <c r="H20" s="129">
        <f>+Actuals!E170</f>
        <v>0</v>
      </c>
      <c r="I20" s="130">
        <f>+Actuals!F170</f>
        <v>0</v>
      </c>
      <c r="J20" s="129">
        <f>+Actuals!G170</f>
        <v>0</v>
      </c>
      <c r="K20" s="149">
        <f>+Actuals!H170</f>
        <v>0</v>
      </c>
      <c r="L20" s="129">
        <f>+Actuals!I170</f>
        <v>0</v>
      </c>
      <c r="M20" s="130">
        <f>+Actuals!J170</f>
        <v>0</v>
      </c>
      <c r="N20" s="129">
        <f>+Actuals!K170</f>
        <v>0</v>
      </c>
      <c r="O20" s="130">
        <f>+Actuals!L170</f>
        <v>0</v>
      </c>
      <c r="P20" s="129">
        <f>+Actuals!M170</f>
        <v>0</v>
      </c>
      <c r="Q20" s="130">
        <f>+Actuals!N170</f>
        <v>0</v>
      </c>
      <c r="R20" s="129">
        <f>+Actuals!O170</f>
        <v>0</v>
      </c>
      <c r="S20" s="130">
        <f>+Actuals!P170</f>
        <v>0</v>
      </c>
      <c r="T20" s="129">
        <f>+Actuals!Q250</f>
        <v>0</v>
      </c>
      <c r="U20" s="130">
        <f>+Actuals!R250</f>
        <v>0</v>
      </c>
      <c r="V20" s="129">
        <f>+Actuals!S250</f>
        <v>0</v>
      </c>
      <c r="W20" s="130">
        <f>+Actuals!T250</f>
        <v>0</v>
      </c>
      <c r="X20" s="129">
        <f>+Actuals!U250</f>
        <v>0</v>
      </c>
      <c r="Y20" s="130">
        <f>+Actuals!V250</f>
        <v>0</v>
      </c>
      <c r="Z20" s="129">
        <f>+Actuals!W250</f>
        <v>0</v>
      </c>
      <c r="AA20" s="130">
        <f>+Actuals!X250</f>
        <v>0</v>
      </c>
      <c r="AB20" s="129">
        <f>+Actuals!Y170</f>
        <v>0</v>
      </c>
      <c r="AC20" s="130">
        <f>+Actuals!Z170</f>
        <v>0</v>
      </c>
      <c r="AD20" s="129">
        <f>+Actuals!AA170</f>
        <v>0</v>
      </c>
      <c r="AE20" s="130">
        <f>+Actuals!AB170</f>
        <v>0</v>
      </c>
    </row>
    <row r="21" spans="1:31" x14ac:dyDescent="0.25">
      <c r="A21" s="9">
        <v>8</v>
      </c>
      <c r="B21" s="7"/>
      <c r="C21" s="18" t="s">
        <v>28</v>
      </c>
      <c r="D21" s="60">
        <f t="shared" si="3"/>
        <v>-37849780</v>
      </c>
      <c r="E21" s="38">
        <f t="shared" si="3"/>
        <v>-88445966</v>
      </c>
      <c r="F21" s="60">
        <f>'TIE-OUT'!H21+RECLASS!H21</f>
        <v>0</v>
      </c>
      <c r="G21" s="38">
        <f>'TIE-OUT'!I21+RECLASS!I21</f>
        <v>0</v>
      </c>
      <c r="H21" s="129">
        <f>+Actuals!E171</f>
        <v>-37849780</v>
      </c>
      <c r="I21" s="130">
        <f>+Actuals!F171</f>
        <v>-88445966</v>
      </c>
      <c r="J21" s="129">
        <f>+Actuals!G171</f>
        <v>70012</v>
      </c>
      <c r="K21" s="149">
        <f>+Actuals!H171</f>
        <v>157768</v>
      </c>
      <c r="L21" s="129">
        <f>+Actuals!I171</f>
        <v>0</v>
      </c>
      <c r="M21" s="130">
        <f>+Actuals!J171</f>
        <v>0</v>
      </c>
      <c r="N21" s="129">
        <f>+Actuals!K171</f>
        <v>-7315478</v>
      </c>
      <c r="O21" s="130">
        <f>+Actuals!L171</f>
        <v>-16779752</v>
      </c>
      <c r="P21" s="129">
        <f>+Actuals!M171</f>
        <v>-7315478</v>
      </c>
      <c r="Q21" s="130">
        <f>+Actuals!N171</f>
        <v>-16779752</v>
      </c>
      <c r="R21" s="129">
        <f>+Actuals!O171</f>
        <v>14560944</v>
      </c>
      <c r="S21" s="130">
        <f>+Actuals!P171</f>
        <v>33401736</v>
      </c>
      <c r="T21" s="129">
        <f>+Actuals!Q251</f>
        <v>-14560944</v>
      </c>
      <c r="U21" s="130">
        <f>+Actuals!R251</f>
        <v>-33401736</v>
      </c>
      <c r="V21" s="129">
        <f>+Actuals!S251</f>
        <v>0</v>
      </c>
      <c r="W21" s="130">
        <f>+Actuals!T251</f>
        <v>0</v>
      </c>
      <c r="X21" s="129">
        <f>+Actuals!U251</f>
        <v>14560944</v>
      </c>
      <c r="Y21" s="130">
        <f>+Actuals!V251</f>
        <v>33401736</v>
      </c>
      <c r="Z21" s="129">
        <f>+Actuals!W251</f>
        <v>0</v>
      </c>
      <c r="AA21" s="130">
        <f>+Actuals!X251</f>
        <v>0</v>
      </c>
      <c r="AB21" s="129">
        <f>+Actuals!Y171</f>
        <v>0</v>
      </c>
      <c r="AC21" s="130">
        <f>+Actuals!Z171</f>
        <v>0</v>
      </c>
      <c r="AD21" s="129">
        <f>+Actuals!AA171</f>
        <v>0</v>
      </c>
      <c r="AE21" s="130">
        <f>+Actuals!AB171</f>
        <v>0</v>
      </c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9">
        <f>+Actuals!E172</f>
        <v>0</v>
      </c>
      <c r="I22" s="130">
        <f>+Actuals!F172</f>
        <v>0</v>
      </c>
      <c r="J22" s="129">
        <f>+Actuals!G172</f>
        <v>0</v>
      </c>
      <c r="K22" s="149">
        <f>+Actuals!H172</f>
        <v>0</v>
      </c>
      <c r="L22" s="129">
        <f>+Actuals!I172</f>
        <v>0</v>
      </c>
      <c r="M22" s="130">
        <f>+Actuals!J172</f>
        <v>0</v>
      </c>
      <c r="N22" s="129">
        <f>+Actuals!K172</f>
        <v>0</v>
      </c>
      <c r="O22" s="130">
        <f>+Actuals!L172</f>
        <v>0</v>
      </c>
      <c r="P22" s="129">
        <f>+Actuals!M172</f>
        <v>0</v>
      </c>
      <c r="Q22" s="130">
        <f>+Actuals!N172</f>
        <v>0</v>
      </c>
      <c r="R22" s="129">
        <f>+Actuals!O172</f>
        <v>0</v>
      </c>
      <c r="S22" s="130">
        <f>+Actuals!P172</f>
        <v>0</v>
      </c>
      <c r="T22" s="129">
        <f>+Actuals!Q252</f>
        <v>0</v>
      </c>
      <c r="U22" s="130">
        <f>+Actuals!R252</f>
        <v>0</v>
      </c>
      <c r="V22" s="129">
        <f>+Actuals!S252</f>
        <v>0</v>
      </c>
      <c r="W22" s="130">
        <f>+Actuals!T252</f>
        <v>0</v>
      </c>
      <c r="X22" s="129">
        <f>+Actuals!U252</f>
        <v>0</v>
      </c>
      <c r="Y22" s="130">
        <f>+Actuals!V252</f>
        <v>0</v>
      </c>
      <c r="Z22" s="129">
        <f>+Actuals!W252</f>
        <v>0</v>
      </c>
      <c r="AA22" s="130">
        <f>+Actuals!X252</f>
        <v>0</v>
      </c>
      <c r="AB22" s="129">
        <f>+Actuals!Y172</f>
        <v>0</v>
      </c>
      <c r="AC22" s="130">
        <f>+Actuals!Z172</f>
        <v>0</v>
      </c>
      <c r="AD22" s="129">
        <f>+Actuals!AA172</f>
        <v>0</v>
      </c>
      <c r="AE22" s="130">
        <f>+Actuals!AB172</f>
        <v>0</v>
      </c>
    </row>
    <row r="23" spans="1:31" x14ac:dyDescent="0.25">
      <c r="A23" s="9">
        <v>10</v>
      </c>
      <c r="B23" s="7"/>
      <c r="C23" s="18" t="s">
        <v>33</v>
      </c>
      <c r="D23" s="60">
        <f t="shared" si="3"/>
        <v>181704</v>
      </c>
      <c r="E23" s="38">
        <f t="shared" si="3"/>
        <v>1392798.33</v>
      </c>
      <c r="F23" s="81">
        <f>'TIE-OUT'!H23+RECLASS!H23</f>
        <v>0</v>
      </c>
      <c r="G23" s="82">
        <f>'TIE-OUT'!I23+RECLASS!I23</f>
        <v>0</v>
      </c>
      <c r="H23" s="129">
        <f>+Actuals!E173</f>
        <v>0</v>
      </c>
      <c r="I23" s="130">
        <f>+Actuals!F173</f>
        <v>0</v>
      </c>
      <c r="J23" s="129">
        <f>+Actuals!G173</f>
        <v>530088</v>
      </c>
      <c r="K23" s="149">
        <f>+Actuals!H173</f>
        <v>1200649.32</v>
      </c>
      <c r="L23" s="129">
        <f>+Actuals!I173</f>
        <v>81500</v>
      </c>
      <c r="M23" s="130">
        <f>+Actuals!J173</f>
        <v>184597.5</v>
      </c>
      <c r="N23" s="129">
        <f>+Actuals!K173</f>
        <v>260</v>
      </c>
      <c r="O23" s="130">
        <f>+Actuals!L173</f>
        <v>588.9</v>
      </c>
      <c r="P23" s="129">
        <f>+Actuals!M173</f>
        <v>0</v>
      </c>
      <c r="Q23" s="130">
        <f>+Actuals!N173</f>
        <v>0</v>
      </c>
      <c r="R23" s="129">
        <f>+Actuals!O173</f>
        <v>452</v>
      </c>
      <c r="S23" s="130">
        <f>+Actuals!P173</f>
        <v>1023.78</v>
      </c>
      <c r="T23" s="129">
        <f>+Actuals!Q253</f>
        <v>-137</v>
      </c>
      <c r="U23" s="130">
        <f>+Actuals!R253</f>
        <v>-310.30500000000001</v>
      </c>
      <c r="V23" s="129">
        <f>+Actuals!S253</f>
        <v>-433011</v>
      </c>
      <c r="W23" s="130">
        <f>+Actuals!T253</f>
        <v>468.85500000000002</v>
      </c>
      <c r="X23" s="129">
        <f>+Actuals!U253</f>
        <v>2552</v>
      </c>
      <c r="Y23" s="130">
        <f>+Actuals!V253</f>
        <v>5780.28</v>
      </c>
      <c r="Z23" s="129">
        <f>+Actuals!W253</f>
        <v>0</v>
      </c>
      <c r="AA23" s="130">
        <f>+Actuals!X253</f>
        <v>0</v>
      </c>
      <c r="AB23" s="129">
        <f>+Actuals!Y173</f>
        <v>0</v>
      </c>
      <c r="AC23" s="130">
        <f>+Actuals!Z173</f>
        <v>0</v>
      </c>
      <c r="AD23" s="129">
        <f>+Actuals!AA173</f>
        <v>0</v>
      </c>
      <c r="AE23" s="130">
        <f>+Actuals!AB173</f>
        <v>0</v>
      </c>
    </row>
    <row r="24" spans="1:31" x14ac:dyDescent="0.25">
      <c r="A24" s="9"/>
      <c r="B24" s="7" t="s">
        <v>34</v>
      </c>
      <c r="C24" s="6"/>
      <c r="D24" s="61">
        <f t="shared" ref="D24:AE24" si="4">SUM(D19:D23)</f>
        <v>-134994527</v>
      </c>
      <c r="E24" s="39">
        <f t="shared" si="4"/>
        <v>-308349053.29000002</v>
      </c>
      <c r="F24" s="61">
        <f t="shared" si="4"/>
        <v>0</v>
      </c>
      <c r="G24" s="39">
        <f t="shared" si="4"/>
        <v>-176293.49</v>
      </c>
      <c r="H24" s="61">
        <f t="shared" si="4"/>
        <v>-132713907</v>
      </c>
      <c r="I24" s="39">
        <f t="shared" si="4"/>
        <v>-304531798</v>
      </c>
      <c r="J24" s="61">
        <f t="shared" si="4"/>
        <v>-1448782</v>
      </c>
      <c r="K24" s="150">
        <f t="shared" si="4"/>
        <v>-3555818.79</v>
      </c>
      <c r="L24" s="61">
        <f t="shared" si="4"/>
        <v>200178</v>
      </c>
      <c r="M24" s="39">
        <f t="shared" si="4"/>
        <v>446093.47</v>
      </c>
      <c r="N24" s="61">
        <f t="shared" si="4"/>
        <v>-7634025</v>
      </c>
      <c r="O24" s="39">
        <f t="shared" si="4"/>
        <v>-17499373.290000003</v>
      </c>
      <c r="P24" s="61">
        <f t="shared" si="4"/>
        <v>-7330476</v>
      </c>
      <c r="Q24" s="39">
        <f t="shared" si="4"/>
        <v>-16813395.239999998</v>
      </c>
      <c r="R24" s="61">
        <f t="shared" si="4"/>
        <v>14574091</v>
      </c>
      <c r="S24" s="39">
        <f t="shared" si="4"/>
        <v>33437005.18</v>
      </c>
      <c r="T24" s="61">
        <f t="shared" si="4"/>
        <v>-14582553</v>
      </c>
      <c r="U24" s="39">
        <f t="shared" si="4"/>
        <v>-33448123.934999999</v>
      </c>
      <c r="V24" s="61">
        <f t="shared" ref="V24:AA24" si="5">SUM(V19:V23)</f>
        <v>-622097</v>
      </c>
      <c r="W24" s="39">
        <f t="shared" si="5"/>
        <v>-422923.48500000004</v>
      </c>
      <c r="X24" s="61">
        <f t="shared" si="5"/>
        <v>14567985</v>
      </c>
      <c r="Y24" s="39">
        <f t="shared" si="5"/>
        <v>34225949.700000003</v>
      </c>
      <c r="Z24" s="61">
        <f t="shared" si="5"/>
        <v>-4941</v>
      </c>
      <c r="AA24" s="39">
        <f t="shared" si="5"/>
        <v>-10375.41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8846070</v>
      </c>
      <c r="E27" s="38">
        <f>SUM(G27,I27,K27,M27,O27,Q27,S27,U27,W27,Y27,AA27,AC27,AE27)</f>
        <v>20168968.940000001</v>
      </c>
      <c r="F27" s="64">
        <f>'TIE-OUT'!H27+RECLASS!H27</f>
        <v>0</v>
      </c>
      <c r="G27" s="68">
        <f>'TIE-OUT'!I27+RECLASS!I27</f>
        <v>0</v>
      </c>
      <c r="H27" s="129">
        <f>+Actuals!E174</f>
        <v>8865535</v>
      </c>
      <c r="I27" s="130">
        <f>+Actuals!F174</f>
        <v>20247970</v>
      </c>
      <c r="J27" s="129">
        <f>+Actuals!G174</f>
        <v>-19465</v>
      </c>
      <c r="K27" s="149">
        <f>+Actuals!H174</f>
        <v>-318242</v>
      </c>
      <c r="L27" s="129">
        <f>+Actuals!I174</f>
        <v>0</v>
      </c>
      <c r="M27" s="130">
        <f>+Actuals!J174</f>
        <v>239240.94</v>
      </c>
      <c r="N27" s="129">
        <f>+Actuals!K174</f>
        <v>10000</v>
      </c>
      <c r="O27" s="130">
        <f>+Actuals!L174</f>
        <v>25300</v>
      </c>
      <c r="P27" s="129">
        <f>+Actuals!M174</f>
        <v>-10000</v>
      </c>
      <c r="Q27" s="130">
        <f>+Actuals!N174</f>
        <v>-25300</v>
      </c>
      <c r="R27" s="129">
        <f>+Actuals!O174</f>
        <v>0</v>
      </c>
      <c r="S27" s="130">
        <f>+Actuals!P174</f>
        <v>0</v>
      </c>
      <c r="T27" s="129">
        <f>+Actuals!Q254</f>
        <v>0</v>
      </c>
      <c r="U27" s="130">
        <f>+Actuals!R254</f>
        <v>0</v>
      </c>
      <c r="V27" s="129">
        <f>+Actuals!S254</f>
        <v>0</v>
      </c>
      <c r="W27" s="130">
        <f>+Actuals!T254</f>
        <v>0</v>
      </c>
      <c r="X27" s="129">
        <f>+Actuals!U254</f>
        <v>0</v>
      </c>
      <c r="Y27" s="130">
        <f>+Actuals!V254</f>
        <v>0</v>
      </c>
      <c r="Z27" s="129">
        <f>+Actuals!W254</f>
        <v>0</v>
      </c>
      <c r="AA27" s="130">
        <f>+Actuals!X254</f>
        <v>0</v>
      </c>
      <c r="AB27" s="129">
        <f>+Actuals!Y174</f>
        <v>0</v>
      </c>
      <c r="AC27" s="130">
        <f>+Actuals!Z174</f>
        <v>0</v>
      </c>
      <c r="AD27" s="129">
        <f>+Actuals!AA174</f>
        <v>0</v>
      </c>
      <c r="AE27" s="130">
        <f>+Actuals!AB174</f>
        <v>0</v>
      </c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-2053438</v>
      </c>
      <c r="E28" s="38">
        <f>SUM(G28,I28,K28,M28,O28,Q28,S28,U28,W28,Y28,AA28,AC28,AE28)</f>
        <v>-4717078.1400000006</v>
      </c>
      <c r="F28" s="81">
        <f>'TIE-OUT'!H28+RECLASS!H28</f>
        <v>0</v>
      </c>
      <c r="G28" s="82">
        <f>'TIE-OUT'!I28+RECLASS!I28</f>
        <v>0</v>
      </c>
      <c r="H28" s="129">
        <f>+Actuals!E175</f>
        <v>-2174739</v>
      </c>
      <c r="I28" s="130">
        <f>+Actuals!F175</f>
        <v>-5004327</v>
      </c>
      <c r="J28" s="129">
        <f>+Actuals!G175</f>
        <v>222208</v>
      </c>
      <c r="K28" s="149">
        <f>+Actuals!H175</f>
        <v>513398</v>
      </c>
      <c r="L28" s="129">
        <f>+Actuals!I175</f>
        <v>-47639</v>
      </c>
      <c r="M28" s="130">
        <f>+Actuals!J175</f>
        <v>-106262.58</v>
      </c>
      <c r="N28" s="129">
        <f>+Actuals!K175</f>
        <v>-585</v>
      </c>
      <c r="O28" s="130">
        <f>+Actuals!L175</f>
        <v>-1492.66</v>
      </c>
      <c r="P28" s="129">
        <f>+Actuals!M175</f>
        <v>-1690</v>
      </c>
      <c r="Q28" s="130">
        <f>+Actuals!N175</f>
        <v>-4390.1099999999997</v>
      </c>
      <c r="R28" s="129">
        <f>+Actuals!O175</f>
        <v>-9350</v>
      </c>
      <c r="S28" s="130">
        <f>+Actuals!P175</f>
        <v>-19474.11</v>
      </c>
      <c r="T28" s="129">
        <f>+Actuals!Q255</f>
        <v>1102</v>
      </c>
      <c r="U28" s="130">
        <f>+Actuals!R255</f>
        <v>2890.65</v>
      </c>
      <c r="V28" s="129">
        <f>+Actuals!S255</f>
        <v>-3</v>
      </c>
      <c r="W28" s="130">
        <f>+Actuals!T255</f>
        <v>-6.68</v>
      </c>
      <c r="X28" s="129">
        <f>+Actuals!U255</f>
        <v>-42742</v>
      </c>
      <c r="Y28" s="130">
        <f>+Actuals!V255</f>
        <v>-97413.65</v>
      </c>
      <c r="Z28" s="129">
        <f>+Actuals!W255</f>
        <v>0</v>
      </c>
      <c r="AA28" s="130">
        <f>+Actuals!X255</f>
        <v>0</v>
      </c>
      <c r="AB28" s="129">
        <f>+Actuals!Y175</f>
        <v>0</v>
      </c>
      <c r="AC28" s="130">
        <f>+Actuals!Z175</f>
        <v>0</v>
      </c>
      <c r="AD28" s="129">
        <f>+Actuals!AA175</f>
        <v>0</v>
      </c>
      <c r="AE28" s="130">
        <f>+Actuals!AB175</f>
        <v>0</v>
      </c>
    </row>
    <row r="29" spans="1:31" x14ac:dyDescent="0.25">
      <c r="A29" s="9"/>
      <c r="B29" s="7" t="s">
        <v>38</v>
      </c>
      <c r="C29" s="18"/>
      <c r="D29" s="61">
        <f t="shared" ref="D29:AE29" si="6">SUM(D27:D28)</f>
        <v>6792632</v>
      </c>
      <c r="E29" s="39">
        <f t="shared" si="6"/>
        <v>15451890.800000001</v>
      </c>
      <c r="F29" s="61">
        <f t="shared" si="6"/>
        <v>0</v>
      </c>
      <c r="G29" s="39">
        <f t="shared" si="6"/>
        <v>0</v>
      </c>
      <c r="H29" s="61">
        <f t="shared" si="6"/>
        <v>6690796</v>
      </c>
      <c r="I29" s="39">
        <f t="shared" si="6"/>
        <v>15243643</v>
      </c>
      <c r="J29" s="61">
        <f t="shared" si="6"/>
        <v>202743</v>
      </c>
      <c r="K29" s="150">
        <f t="shared" si="6"/>
        <v>195156</v>
      </c>
      <c r="L29" s="61">
        <f t="shared" si="6"/>
        <v>-47639</v>
      </c>
      <c r="M29" s="39">
        <f t="shared" si="6"/>
        <v>132978.35999999999</v>
      </c>
      <c r="N29" s="61">
        <f t="shared" si="6"/>
        <v>9415</v>
      </c>
      <c r="O29" s="39">
        <f t="shared" si="6"/>
        <v>23807.34</v>
      </c>
      <c r="P29" s="61">
        <f t="shared" si="6"/>
        <v>-11690</v>
      </c>
      <c r="Q29" s="39">
        <f t="shared" si="6"/>
        <v>-29690.11</v>
      </c>
      <c r="R29" s="61">
        <f t="shared" si="6"/>
        <v>-9350</v>
      </c>
      <c r="S29" s="39">
        <f t="shared" si="6"/>
        <v>-19474.11</v>
      </c>
      <c r="T29" s="61">
        <f t="shared" si="6"/>
        <v>1102</v>
      </c>
      <c r="U29" s="39">
        <f t="shared" si="6"/>
        <v>2890.65</v>
      </c>
      <c r="V29" s="61">
        <f t="shared" ref="V29:AA29" si="7">SUM(V27:V28)</f>
        <v>-3</v>
      </c>
      <c r="W29" s="39">
        <f t="shared" si="7"/>
        <v>-6.68</v>
      </c>
      <c r="X29" s="61">
        <f t="shared" si="7"/>
        <v>-42742</v>
      </c>
      <c r="Y29" s="39">
        <f t="shared" si="7"/>
        <v>-97413.65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1384059</v>
      </c>
      <c r="E32" s="38">
        <f t="shared" si="8"/>
        <v>3134893.3339999998</v>
      </c>
      <c r="F32" s="64">
        <f>'TIE-OUT'!H32+RECLASS!H32</f>
        <v>0</v>
      </c>
      <c r="G32" s="68">
        <f>'TIE-OUT'!I32+RECLASS!I32</f>
        <v>0</v>
      </c>
      <c r="H32" s="129">
        <f>+Actuals!E176</f>
        <v>0</v>
      </c>
      <c r="I32" s="130">
        <f>+Actuals!F176</f>
        <v>-315789.27</v>
      </c>
      <c r="J32" s="129">
        <f>+Actuals!G176</f>
        <v>-1742987</v>
      </c>
      <c r="K32" s="149">
        <f>+Actuals!H176</f>
        <v>-4456046.773</v>
      </c>
      <c r="L32" s="129">
        <f>+Actuals!I176</f>
        <v>1257772</v>
      </c>
      <c r="M32" s="130">
        <f>+Actuals!J176</f>
        <v>3365682.98</v>
      </c>
      <c r="N32" s="129">
        <f>+Actuals!K176</f>
        <v>996982</v>
      </c>
      <c r="O32" s="130">
        <f>+Actuals!L176</f>
        <v>2565305.02</v>
      </c>
      <c r="P32" s="129">
        <f>+Actuals!M176</f>
        <v>371416</v>
      </c>
      <c r="Q32" s="130">
        <f>+Actuals!N176</f>
        <v>841257.23699999996</v>
      </c>
      <c r="R32" s="129">
        <f>+Actuals!O176</f>
        <v>30594</v>
      </c>
      <c r="S32" s="130">
        <f>+Actuals!P176</f>
        <v>69295.41</v>
      </c>
      <c r="T32" s="129">
        <f>+Actuals!Q256</f>
        <v>32485</v>
      </c>
      <c r="U32" s="130">
        <f>+Actuals!R256</f>
        <v>73578.524999999994</v>
      </c>
      <c r="V32" s="129">
        <f>+Actuals!S256</f>
        <v>359800</v>
      </c>
      <c r="W32" s="130">
        <f>+Actuals!T256</f>
        <v>814947</v>
      </c>
      <c r="X32" s="129">
        <f>+Actuals!U256</f>
        <v>78170</v>
      </c>
      <c r="Y32" s="130">
        <f>+Actuals!V256</f>
        <v>177055.05</v>
      </c>
      <c r="Z32" s="129">
        <f>+Actuals!W256</f>
        <v>-173</v>
      </c>
      <c r="AA32" s="130">
        <f>+Actuals!X256</f>
        <v>-391.84500000000003</v>
      </c>
      <c r="AB32" s="129">
        <f>+Actuals!Y176</f>
        <v>0</v>
      </c>
      <c r="AC32" s="130">
        <f>+Actuals!Z176</f>
        <v>0</v>
      </c>
      <c r="AD32" s="129">
        <f>+Actuals!AA176</f>
        <v>0</v>
      </c>
      <c r="AE32" s="130">
        <f>+Actuals!AB176</f>
        <v>0</v>
      </c>
    </row>
    <row r="33" spans="1:31" x14ac:dyDescent="0.25">
      <c r="A33" s="9">
        <v>14</v>
      </c>
      <c r="B33" s="7"/>
      <c r="C33" s="18" t="s">
        <v>41</v>
      </c>
      <c r="D33" s="60">
        <f t="shared" si="8"/>
        <v>-101172</v>
      </c>
      <c r="E33" s="38">
        <f t="shared" si="8"/>
        <v>-273788.09999999998</v>
      </c>
      <c r="F33" s="60">
        <f>'TIE-OUT'!H33+RECLASS!H33</f>
        <v>0</v>
      </c>
      <c r="G33" s="38">
        <f>'TIE-OUT'!I33+RECLASS!I33</f>
        <v>0</v>
      </c>
      <c r="H33" s="129">
        <f>+Actuals!E177</f>
        <v>0</v>
      </c>
      <c r="I33" s="130">
        <f>+Actuals!F177</f>
        <v>0</v>
      </c>
      <c r="J33" s="129">
        <f>+Actuals!G177</f>
        <v>0</v>
      </c>
      <c r="K33" s="149">
        <f>+Actuals!H177</f>
        <v>0</v>
      </c>
      <c r="L33" s="129">
        <f>+Actuals!I177</f>
        <v>0</v>
      </c>
      <c r="M33" s="130">
        <f>+Actuals!J177</f>
        <v>0</v>
      </c>
      <c r="N33" s="129">
        <f>+Actuals!K177</f>
        <v>-27965</v>
      </c>
      <c r="O33" s="130">
        <f>+Actuals!L177</f>
        <v>-63219.92</v>
      </c>
      <c r="P33" s="129">
        <f>+Actuals!M177</f>
        <v>-2868</v>
      </c>
      <c r="Q33" s="130">
        <f>+Actuals!N177</f>
        <v>0</v>
      </c>
      <c r="R33" s="129">
        <f>+Actuals!O177</f>
        <v>-24588</v>
      </c>
      <c r="S33" s="130">
        <f>+Actuals!P177</f>
        <v>-104807.14</v>
      </c>
      <c r="T33" s="129">
        <f>+Actuals!Q257</f>
        <v>0</v>
      </c>
      <c r="U33" s="130">
        <f>+Actuals!R257</f>
        <v>0</v>
      </c>
      <c r="V33" s="129">
        <f>+Actuals!S257</f>
        <v>-5210</v>
      </c>
      <c r="W33" s="130">
        <f>+Actuals!T257</f>
        <v>-13485.46</v>
      </c>
      <c r="X33" s="129">
        <f>+Actuals!U257</f>
        <v>-40541</v>
      </c>
      <c r="Y33" s="130">
        <f>+Actuals!V257</f>
        <v>-92275.58</v>
      </c>
      <c r="Z33" s="129">
        <f>+Actuals!W257</f>
        <v>0</v>
      </c>
      <c r="AA33" s="130">
        <f>+Actuals!X257</f>
        <v>0</v>
      </c>
      <c r="AB33" s="129">
        <f>+Actuals!Y177</f>
        <v>0</v>
      </c>
      <c r="AC33" s="130">
        <f>+Actuals!Z177</f>
        <v>0</v>
      </c>
      <c r="AD33" s="129">
        <f>+Actuals!AA177</f>
        <v>0</v>
      </c>
      <c r="AE33" s="130">
        <f>+Actuals!AB177</f>
        <v>0</v>
      </c>
    </row>
    <row r="34" spans="1:31" x14ac:dyDescent="0.25">
      <c r="A34" s="9">
        <v>15</v>
      </c>
      <c r="B34" s="7"/>
      <c r="C34" s="18" t="s">
        <v>42</v>
      </c>
      <c r="D34" s="60">
        <f t="shared" si="8"/>
        <v>26982</v>
      </c>
      <c r="E34" s="38">
        <f t="shared" si="8"/>
        <v>42378.900000000591</v>
      </c>
      <c r="F34" s="60">
        <f>'TIE-OUT'!H34+RECLASS!H34</f>
        <v>0</v>
      </c>
      <c r="G34" s="38">
        <f>'TIE-OUT'!I34+RECLASS!I34</f>
        <v>0</v>
      </c>
      <c r="H34" s="129">
        <f>+Actuals!E178</f>
        <v>0</v>
      </c>
      <c r="I34" s="130">
        <f>+Actuals!F178</f>
        <v>0</v>
      </c>
      <c r="J34" s="129">
        <f>+Actuals!G178</f>
        <v>0</v>
      </c>
      <c r="K34" s="149">
        <f>+Actuals!H178</f>
        <v>0</v>
      </c>
      <c r="L34" s="129">
        <f>+Actuals!I178</f>
        <v>0</v>
      </c>
      <c r="M34" s="130">
        <f>+Actuals!J178</f>
        <v>0</v>
      </c>
      <c r="N34" s="129">
        <f>+Actuals!K178</f>
        <v>9430</v>
      </c>
      <c r="O34" s="130">
        <f>+Actuals!L178</f>
        <v>4560155.99</v>
      </c>
      <c r="P34" s="129">
        <f>+Actuals!M178</f>
        <v>0</v>
      </c>
      <c r="Q34" s="130">
        <f>+Actuals!N178</f>
        <v>-4545663.8499999996</v>
      </c>
      <c r="R34" s="129">
        <f>+Actuals!O178</f>
        <v>5099</v>
      </c>
      <c r="S34" s="130">
        <f>+Actuals!P178</f>
        <v>11413.24</v>
      </c>
      <c r="T34" s="129">
        <f>+Actuals!Q258</f>
        <v>5150</v>
      </c>
      <c r="U34" s="130">
        <f>+Actuals!R258</f>
        <v>0</v>
      </c>
      <c r="V34" s="129">
        <f>+Actuals!S258</f>
        <v>5054</v>
      </c>
      <c r="W34" s="130">
        <f>+Actuals!T258</f>
        <v>11400.41</v>
      </c>
      <c r="X34" s="129">
        <f>+Actuals!U258</f>
        <v>2249</v>
      </c>
      <c r="Y34" s="130">
        <f>+Actuals!V258</f>
        <v>5073.1099999999997</v>
      </c>
      <c r="Z34" s="129">
        <f>+Actuals!W258</f>
        <v>0</v>
      </c>
      <c r="AA34" s="130">
        <f>+Actuals!X258</f>
        <v>0</v>
      </c>
      <c r="AB34" s="129">
        <f>+Actuals!Y178</f>
        <v>0</v>
      </c>
      <c r="AC34" s="130">
        <f>+Actuals!Z178</f>
        <v>0</v>
      </c>
      <c r="AD34" s="129">
        <f>+Actuals!AA178</f>
        <v>0</v>
      </c>
      <c r="AE34" s="130">
        <f>+Actuals!AB178</f>
        <v>0</v>
      </c>
    </row>
    <row r="35" spans="1:31" x14ac:dyDescent="0.25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67859.990000000005</v>
      </c>
      <c r="F35" s="81">
        <f>'TIE-OUT'!H35+RECLASS!H35</f>
        <v>0</v>
      </c>
      <c r="G35" s="82">
        <f>'TIE-OUT'!I35+RECLASS!I35</f>
        <v>67860</v>
      </c>
      <c r="H35" s="129">
        <f>+Actuals!E179</f>
        <v>0</v>
      </c>
      <c r="I35" s="130">
        <f>+Actuals!F179</f>
        <v>-0.01</v>
      </c>
      <c r="J35" s="129">
        <f>+Actuals!G179</f>
        <v>0</v>
      </c>
      <c r="K35" s="149">
        <f>+Actuals!H179</f>
        <v>0</v>
      </c>
      <c r="L35" s="129">
        <f>+Actuals!I179</f>
        <v>0</v>
      </c>
      <c r="M35" s="130">
        <f>+Actuals!J179</f>
        <v>0</v>
      </c>
      <c r="N35" s="129">
        <f>+Actuals!K179</f>
        <v>0</v>
      </c>
      <c r="O35" s="130">
        <f>+Actuals!L179</f>
        <v>0</v>
      </c>
      <c r="P35" s="129">
        <f>+Actuals!M179</f>
        <v>0</v>
      </c>
      <c r="Q35" s="130">
        <f>+Actuals!N179</f>
        <v>0</v>
      </c>
      <c r="R35" s="129">
        <f>+Actuals!O179</f>
        <v>0</v>
      </c>
      <c r="S35" s="130">
        <f>+Actuals!P179</f>
        <v>0</v>
      </c>
      <c r="T35" s="129">
        <f>+Actuals!Q259</f>
        <v>0</v>
      </c>
      <c r="U35" s="130">
        <f>+Actuals!R259</f>
        <v>0</v>
      </c>
      <c r="V35" s="129">
        <f>+Actuals!S259</f>
        <v>0</v>
      </c>
      <c r="W35" s="130">
        <f>+Actuals!T259</f>
        <v>0</v>
      </c>
      <c r="X35" s="129">
        <f>+Actuals!U259</f>
        <v>0</v>
      </c>
      <c r="Y35" s="130">
        <f>+Actuals!V259</f>
        <v>0</v>
      </c>
      <c r="Z35" s="129">
        <f>+Actuals!W259</f>
        <v>0</v>
      </c>
      <c r="AA35" s="130">
        <f>+Actuals!X259</f>
        <v>0</v>
      </c>
      <c r="AB35" s="129">
        <f>+Actuals!Y179</f>
        <v>0</v>
      </c>
      <c r="AC35" s="130">
        <f>+Actuals!Z179</f>
        <v>0</v>
      </c>
      <c r="AD35" s="129">
        <f>+Actuals!AA179</f>
        <v>0</v>
      </c>
      <c r="AE35" s="130">
        <f>+Actuals!AB179</f>
        <v>0</v>
      </c>
    </row>
    <row r="36" spans="1:31" x14ac:dyDescent="0.25">
      <c r="A36" s="9"/>
      <c r="B36" s="7" t="s">
        <v>44</v>
      </c>
      <c r="C36" s="6"/>
      <c r="D36" s="61">
        <f t="shared" ref="D36:AE36" si="9">SUM(D32:D35)</f>
        <v>1309869</v>
      </c>
      <c r="E36" s="39">
        <f t="shared" si="9"/>
        <v>2971344.1240000003</v>
      </c>
      <c r="F36" s="61">
        <f t="shared" si="9"/>
        <v>0</v>
      </c>
      <c r="G36" s="39">
        <f t="shared" si="9"/>
        <v>67860</v>
      </c>
      <c r="H36" s="61">
        <f t="shared" si="9"/>
        <v>0</v>
      </c>
      <c r="I36" s="39">
        <f t="shared" si="9"/>
        <v>-315789.28000000003</v>
      </c>
      <c r="J36" s="61">
        <f t="shared" si="9"/>
        <v>-1742987</v>
      </c>
      <c r="K36" s="150">
        <f t="shared" si="9"/>
        <v>-4456046.773</v>
      </c>
      <c r="L36" s="61">
        <f t="shared" si="9"/>
        <v>1257772</v>
      </c>
      <c r="M36" s="39">
        <f t="shared" si="9"/>
        <v>3365682.98</v>
      </c>
      <c r="N36" s="61">
        <f t="shared" si="9"/>
        <v>978447</v>
      </c>
      <c r="O36" s="39">
        <f t="shared" si="9"/>
        <v>7062241.0899999999</v>
      </c>
      <c r="P36" s="61">
        <f t="shared" si="9"/>
        <v>368548</v>
      </c>
      <c r="Q36" s="39">
        <f t="shared" si="9"/>
        <v>-3704406.6129999999</v>
      </c>
      <c r="R36" s="61">
        <f t="shared" si="9"/>
        <v>11105</v>
      </c>
      <c r="S36" s="39">
        <f t="shared" si="9"/>
        <v>-24098.489999999998</v>
      </c>
      <c r="T36" s="61">
        <f t="shared" si="9"/>
        <v>37635</v>
      </c>
      <c r="U36" s="39">
        <f t="shared" si="9"/>
        <v>73578.524999999994</v>
      </c>
      <c r="V36" s="61">
        <f t="shared" ref="V36:AA36" si="10">SUM(V32:V35)</f>
        <v>359644</v>
      </c>
      <c r="W36" s="39">
        <f t="shared" si="10"/>
        <v>812861.95000000007</v>
      </c>
      <c r="X36" s="61">
        <f t="shared" si="10"/>
        <v>39878</v>
      </c>
      <c r="Y36" s="39">
        <f t="shared" si="10"/>
        <v>89852.579999999987</v>
      </c>
      <c r="Z36" s="61">
        <f t="shared" si="10"/>
        <v>-173</v>
      </c>
      <c r="AA36" s="39">
        <f t="shared" si="10"/>
        <v>-391.84500000000003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179030</v>
      </c>
      <c r="E39" s="38">
        <f t="shared" si="11"/>
        <v>405502.96</v>
      </c>
      <c r="F39" s="64">
        <f>'TIE-OUT'!H39+RECLASS!H39</f>
        <v>0</v>
      </c>
      <c r="G39" s="68">
        <f>'TIE-OUT'!I39+RECLASS!I39</f>
        <v>0</v>
      </c>
      <c r="H39" s="129">
        <f>+Actuals!E180</f>
        <v>176933</v>
      </c>
      <c r="I39" s="130">
        <f>+Actuals!F180</f>
        <v>400753.25</v>
      </c>
      <c r="J39" s="129">
        <f>+Actuals!G180</f>
        <v>2097</v>
      </c>
      <c r="K39" s="149">
        <f>+Actuals!H180</f>
        <v>4749.71</v>
      </c>
      <c r="L39" s="129">
        <f>+Actuals!I180</f>
        <v>0</v>
      </c>
      <c r="M39" s="130">
        <f>+Actuals!J180</f>
        <v>0</v>
      </c>
      <c r="N39" s="129">
        <f>+Actuals!K180</f>
        <v>0</v>
      </c>
      <c r="O39" s="130">
        <f>+Actuals!L180</f>
        <v>0</v>
      </c>
      <c r="P39" s="129">
        <f>+Actuals!M180</f>
        <v>0</v>
      </c>
      <c r="Q39" s="130">
        <f>+Actuals!N180</f>
        <v>0</v>
      </c>
      <c r="R39" s="129">
        <f>+Actuals!O180</f>
        <v>0</v>
      </c>
      <c r="S39" s="130">
        <f>+Actuals!P180</f>
        <v>0</v>
      </c>
      <c r="T39" s="129">
        <f>+Actuals!Q260</f>
        <v>0</v>
      </c>
      <c r="U39" s="130">
        <f>+Actuals!R260</f>
        <v>0</v>
      </c>
      <c r="V39" s="129">
        <f>+Actuals!S260</f>
        <v>0</v>
      </c>
      <c r="W39" s="130">
        <f>+Actuals!T260</f>
        <v>0</v>
      </c>
      <c r="X39" s="129">
        <f>+Actuals!U260</f>
        <v>0</v>
      </c>
      <c r="Y39" s="130">
        <f>+Actuals!V260</f>
        <v>0</v>
      </c>
      <c r="Z39" s="129">
        <f>+Actuals!W260</f>
        <v>0</v>
      </c>
      <c r="AA39" s="130">
        <f>+Actuals!X260</f>
        <v>0</v>
      </c>
      <c r="AB39" s="129">
        <f>+Actuals!Y180</f>
        <v>0</v>
      </c>
      <c r="AC39" s="130">
        <f>+Actuals!Z180</f>
        <v>0</v>
      </c>
      <c r="AD39" s="129">
        <f>+Actuals!AA180</f>
        <v>0</v>
      </c>
      <c r="AE39" s="130">
        <f>+Actuals!AB180</f>
        <v>0</v>
      </c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-90000</v>
      </c>
      <c r="E40" s="38">
        <f t="shared" si="11"/>
        <v>-203850</v>
      </c>
      <c r="F40" s="60">
        <f>'TIE-OUT'!H40+RECLASS!H40</f>
        <v>0</v>
      </c>
      <c r="G40" s="38">
        <f>'TIE-OUT'!I40+RECLASS!I40</f>
        <v>0</v>
      </c>
      <c r="H40" s="129">
        <f>+Actuals!E181</f>
        <v>0</v>
      </c>
      <c r="I40" s="130">
        <f>+Actuals!F181</f>
        <v>0</v>
      </c>
      <c r="J40" s="129">
        <f>+Actuals!G181</f>
        <v>0</v>
      </c>
      <c r="K40" s="149">
        <f>+Actuals!H181</f>
        <v>0</v>
      </c>
      <c r="L40" s="129">
        <f>+Actuals!I181</f>
        <v>0</v>
      </c>
      <c r="M40" s="130">
        <f>+Actuals!J181</f>
        <v>0</v>
      </c>
      <c r="N40" s="129">
        <f>+Actuals!K181</f>
        <v>-90000</v>
      </c>
      <c r="O40" s="130">
        <f>+Actuals!L181</f>
        <v>-203850</v>
      </c>
      <c r="P40" s="129">
        <f>+Actuals!M181</f>
        <v>0</v>
      </c>
      <c r="Q40" s="130">
        <f>+Actuals!N181</f>
        <v>0</v>
      </c>
      <c r="R40" s="129">
        <f>+Actuals!O181</f>
        <v>0</v>
      </c>
      <c r="S40" s="130">
        <f>+Actuals!P181</f>
        <v>0</v>
      </c>
      <c r="T40" s="129">
        <f>+Actuals!Q261</f>
        <v>0</v>
      </c>
      <c r="U40" s="130">
        <f>+Actuals!R261</f>
        <v>0</v>
      </c>
      <c r="V40" s="129">
        <f>+Actuals!S261</f>
        <v>0</v>
      </c>
      <c r="W40" s="130">
        <f>+Actuals!T261</f>
        <v>0</v>
      </c>
      <c r="X40" s="129">
        <f>+Actuals!U261</f>
        <v>0</v>
      </c>
      <c r="Y40" s="130">
        <f>+Actuals!V261</f>
        <v>0</v>
      </c>
      <c r="Z40" s="129">
        <f>+Actuals!W261</f>
        <v>0</v>
      </c>
      <c r="AA40" s="130">
        <f>+Actuals!X261</f>
        <v>0</v>
      </c>
      <c r="AB40" s="129">
        <f>+Actuals!Y181</f>
        <v>0</v>
      </c>
      <c r="AC40" s="130">
        <f>+Actuals!Z181</f>
        <v>0</v>
      </c>
      <c r="AD40" s="129">
        <f>+Actuals!AA181</f>
        <v>0</v>
      </c>
      <c r="AE40" s="130">
        <f>+Actuals!AB181</f>
        <v>0</v>
      </c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9">
        <f>+Actuals!E182</f>
        <v>0</v>
      </c>
      <c r="I41" s="130">
        <f>+Actuals!F182</f>
        <v>0</v>
      </c>
      <c r="J41" s="129">
        <f>+Actuals!G182</f>
        <v>0</v>
      </c>
      <c r="K41" s="149">
        <f>+Actuals!H182</f>
        <v>0</v>
      </c>
      <c r="L41" s="129">
        <f>+Actuals!I182</f>
        <v>0</v>
      </c>
      <c r="M41" s="130">
        <f>+Actuals!J182</f>
        <v>0</v>
      </c>
      <c r="N41" s="129">
        <f>+Actuals!K182</f>
        <v>0</v>
      </c>
      <c r="O41" s="130">
        <f>+Actuals!L182</f>
        <v>0</v>
      </c>
      <c r="P41" s="129">
        <f>+Actuals!M182</f>
        <v>0</v>
      </c>
      <c r="Q41" s="130">
        <f>+Actuals!N182</f>
        <v>0</v>
      </c>
      <c r="R41" s="129">
        <f>+Actuals!O182</f>
        <v>0</v>
      </c>
      <c r="S41" s="130">
        <f>+Actuals!P182</f>
        <v>0</v>
      </c>
      <c r="T41" s="129">
        <f>+Actuals!Q262</f>
        <v>0</v>
      </c>
      <c r="U41" s="130">
        <f>+Actuals!R262</f>
        <v>0</v>
      </c>
      <c r="V41" s="129">
        <f>+Actuals!S262</f>
        <v>0</v>
      </c>
      <c r="W41" s="130">
        <f>+Actuals!T262</f>
        <v>0</v>
      </c>
      <c r="X41" s="129">
        <f>+Actuals!U262</f>
        <v>0</v>
      </c>
      <c r="Y41" s="130">
        <f>+Actuals!V262</f>
        <v>0</v>
      </c>
      <c r="Z41" s="129">
        <f>+Actuals!W262</f>
        <v>0</v>
      </c>
      <c r="AA41" s="130">
        <f>+Actuals!X262</f>
        <v>0</v>
      </c>
      <c r="AB41" s="129">
        <f>+Actuals!Y182</f>
        <v>0</v>
      </c>
      <c r="AC41" s="130">
        <f>+Actuals!Z182</f>
        <v>0</v>
      </c>
      <c r="AD41" s="129">
        <f>+Actuals!AA182</f>
        <v>0</v>
      </c>
      <c r="AE41" s="130">
        <f>+Actuals!AB182</f>
        <v>0</v>
      </c>
    </row>
    <row r="42" spans="1:31" x14ac:dyDescent="0.25">
      <c r="A42" s="9"/>
      <c r="B42" s="7"/>
      <c r="C42" s="53" t="s">
        <v>49</v>
      </c>
      <c r="D42" s="61">
        <f t="shared" ref="D42:AE42" si="12">SUM(D40:D41)</f>
        <v>-90000</v>
      </c>
      <c r="E42" s="39">
        <f t="shared" si="12"/>
        <v>-203850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-90000</v>
      </c>
      <c r="O42" s="39">
        <f t="shared" si="12"/>
        <v>-203850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50</v>
      </c>
      <c r="C43" s="6"/>
      <c r="D43" s="61">
        <f t="shared" ref="D43:AE43" si="14">D42+D39</f>
        <v>89030</v>
      </c>
      <c r="E43" s="39">
        <f t="shared" si="14"/>
        <v>201652.96000000002</v>
      </c>
      <c r="F43" s="61">
        <f t="shared" si="14"/>
        <v>0</v>
      </c>
      <c r="G43" s="39">
        <f t="shared" si="14"/>
        <v>0</v>
      </c>
      <c r="H43" s="61">
        <f t="shared" si="14"/>
        <v>176933</v>
      </c>
      <c r="I43" s="39">
        <f t="shared" si="14"/>
        <v>400753.25</v>
      </c>
      <c r="J43" s="61">
        <f t="shared" si="14"/>
        <v>2097</v>
      </c>
      <c r="K43" s="150">
        <f t="shared" si="14"/>
        <v>4749.71</v>
      </c>
      <c r="L43" s="61">
        <f t="shared" si="14"/>
        <v>0</v>
      </c>
      <c r="M43" s="39">
        <f t="shared" si="14"/>
        <v>0</v>
      </c>
      <c r="N43" s="61">
        <f t="shared" si="14"/>
        <v>-90000</v>
      </c>
      <c r="O43" s="39">
        <f t="shared" si="14"/>
        <v>-203850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29">
        <f>+Actuals!E183</f>
        <v>0</v>
      </c>
      <c r="I45" s="130">
        <f>+Actuals!F183</f>
        <v>0</v>
      </c>
      <c r="J45" s="129">
        <f>+Actuals!G183</f>
        <v>0</v>
      </c>
      <c r="K45" s="149">
        <f>+Actuals!H183</f>
        <v>0</v>
      </c>
      <c r="L45" s="129">
        <f>+Actuals!I183</f>
        <v>0</v>
      </c>
      <c r="M45" s="130">
        <f>+Actuals!J183</f>
        <v>0</v>
      </c>
      <c r="N45" s="129">
        <f>+Actuals!K183</f>
        <v>0</v>
      </c>
      <c r="O45" s="130">
        <f>+Actuals!L183</f>
        <v>0</v>
      </c>
      <c r="P45" s="129">
        <f>+Actuals!M183</f>
        <v>0</v>
      </c>
      <c r="Q45" s="130">
        <f>+Actuals!N183</f>
        <v>0</v>
      </c>
      <c r="R45" s="129">
        <f>+Actuals!O183</f>
        <v>0</v>
      </c>
      <c r="S45" s="130">
        <f>+Actuals!P183</f>
        <v>0</v>
      </c>
      <c r="T45" s="129">
        <f>+Actuals!Q263</f>
        <v>0</v>
      </c>
      <c r="U45" s="130">
        <f>+Actuals!R263</f>
        <v>0</v>
      </c>
      <c r="V45" s="129">
        <f>+Actuals!S263</f>
        <v>0</v>
      </c>
      <c r="W45" s="130">
        <f>+Actuals!T263</f>
        <v>0</v>
      </c>
      <c r="X45" s="129">
        <f>+Actuals!U263</f>
        <v>0</v>
      </c>
      <c r="Y45" s="130">
        <f>+Actuals!V263</f>
        <v>0</v>
      </c>
      <c r="Z45" s="129">
        <f>+Actuals!W263</f>
        <v>0</v>
      </c>
      <c r="AA45" s="130">
        <f>+Actuals!X263</f>
        <v>0</v>
      </c>
      <c r="AB45" s="129">
        <f>+Actuals!Y183</f>
        <v>0</v>
      </c>
      <c r="AC45" s="130">
        <f>+Actuals!Z183</f>
        <v>0</v>
      </c>
      <c r="AD45" s="129">
        <f>+Actuals!AA183</f>
        <v>0</v>
      </c>
      <c r="AE45" s="130">
        <f>+Actuals!AB183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29">
        <f>+Actuals!E184</f>
        <v>0</v>
      </c>
      <c r="I47" s="130">
        <f>+Actuals!F184</f>
        <v>0</v>
      </c>
      <c r="J47" s="129">
        <f>+Actuals!G184</f>
        <v>0</v>
      </c>
      <c r="K47" s="149">
        <f>+Actuals!H184</f>
        <v>0</v>
      </c>
      <c r="L47" s="129">
        <f>+Actuals!I184</f>
        <v>0</v>
      </c>
      <c r="M47" s="130">
        <f>+Actuals!J184</f>
        <v>0</v>
      </c>
      <c r="N47" s="129">
        <f>+Actuals!K184</f>
        <v>0</v>
      </c>
      <c r="O47" s="130">
        <f>+Actuals!L184</f>
        <v>0</v>
      </c>
      <c r="P47" s="129">
        <f>+Actuals!M184</f>
        <v>0</v>
      </c>
      <c r="Q47" s="130">
        <f>+Actuals!N184</f>
        <v>0</v>
      </c>
      <c r="R47" s="129">
        <f>+Actuals!O184</f>
        <v>0</v>
      </c>
      <c r="S47" s="130">
        <f>+Actuals!P184</f>
        <v>0</v>
      </c>
      <c r="T47" s="129">
        <f>+Actuals!Q264</f>
        <v>0</v>
      </c>
      <c r="U47" s="130">
        <f>+Actuals!R264</f>
        <v>0</v>
      </c>
      <c r="V47" s="129">
        <f>+Actuals!S264</f>
        <v>0</v>
      </c>
      <c r="W47" s="130">
        <f>+Actuals!T264</f>
        <v>0</v>
      </c>
      <c r="X47" s="129">
        <f>+Actuals!U264</f>
        <v>0</v>
      </c>
      <c r="Y47" s="130">
        <f>+Actuals!V264</f>
        <v>0</v>
      </c>
      <c r="Z47" s="129">
        <f>+Actuals!W264</f>
        <v>0</v>
      </c>
      <c r="AA47" s="130">
        <f>+Actuals!X264</f>
        <v>0</v>
      </c>
      <c r="AB47" s="129">
        <f>+Actuals!Y184</f>
        <v>0</v>
      </c>
      <c r="AC47" s="130">
        <f>+Actuals!Z184</f>
        <v>0</v>
      </c>
      <c r="AD47" s="129">
        <f>+Actuals!AA184</f>
        <v>0</v>
      </c>
      <c r="AE47" s="130">
        <f>+Actuals!AB184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-1066793</v>
      </c>
      <c r="E49" s="38">
        <f>SUM(G49,I49,K49,M49,O49,Q49,S49,U49,W49,Y49,AA49,AC49,AE49)</f>
        <v>-2416286.1449999996</v>
      </c>
      <c r="F49" s="60">
        <f>'TIE-OUT'!H49+RECLASS!H49</f>
        <v>0</v>
      </c>
      <c r="G49" s="38">
        <f>'TIE-OUT'!I49+RECLASS!I49</f>
        <v>0</v>
      </c>
      <c r="H49" s="129">
        <f>+Actuals!E185</f>
        <v>-1110509</v>
      </c>
      <c r="I49" s="130">
        <f>+Actuals!F185</f>
        <v>-2515302.8849999998</v>
      </c>
      <c r="J49" s="129">
        <f>+Actuals!G185</f>
        <v>3247139</v>
      </c>
      <c r="K49" s="149">
        <f>+Actuals!H185</f>
        <v>7354769.835</v>
      </c>
      <c r="L49" s="129">
        <f>+Actuals!I185</f>
        <v>-2646579</v>
      </c>
      <c r="M49" s="130">
        <f>+Actuals!J185</f>
        <v>-5994501.4349999996</v>
      </c>
      <c r="N49" s="129">
        <f>+Actuals!K185</f>
        <v>-258477</v>
      </c>
      <c r="O49" s="130">
        <f>+Actuals!L185</f>
        <v>-585450.40500000003</v>
      </c>
      <c r="P49" s="129">
        <f>+Actuals!M185</f>
        <v>-344785</v>
      </c>
      <c r="Q49" s="130">
        <f>+Actuals!N185</f>
        <v>-780938.02500000002</v>
      </c>
      <c r="R49" s="129">
        <f>+Actuals!O185</f>
        <v>-268597</v>
      </c>
      <c r="S49" s="130">
        <f>+Actuals!P185</f>
        <v>-608372.20499999996</v>
      </c>
      <c r="T49" s="129">
        <f>+Actuals!Q265</f>
        <v>230200</v>
      </c>
      <c r="U49" s="130">
        <f>+Actuals!R265</f>
        <v>521403</v>
      </c>
      <c r="V49" s="129">
        <f>+Actuals!S265</f>
        <v>101194</v>
      </c>
      <c r="W49" s="130">
        <f>+Actuals!T265</f>
        <v>229204.41</v>
      </c>
      <c r="X49" s="129">
        <f>+Actuals!U265</f>
        <v>-21493</v>
      </c>
      <c r="Y49" s="130">
        <f>+Actuals!V265</f>
        <v>-48681.644999999997</v>
      </c>
      <c r="Z49" s="129">
        <f>+Actuals!W265</f>
        <v>5114</v>
      </c>
      <c r="AA49" s="130">
        <f>+Actuals!X265</f>
        <v>11583.21</v>
      </c>
      <c r="AB49" s="129">
        <f>+Actuals!Y185</f>
        <v>0</v>
      </c>
      <c r="AC49" s="130">
        <f>+Actuals!Z185</f>
        <v>0</v>
      </c>
      <c r="AD49" s="129">
        <f>+Actuals!AA185</f>
        <v>0</v>
      </c>
      <c r="AE49" s="130">
        <f>+Actuals!AB185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-614922</v>
      </c>
      <c r="E51" s="38">
        <f>SUM(G51,I51,K51,M51,O51,Q51,S51,U51,W51,Y51,AA51,AC51,AE51)</f>
        <v>-1392798.33</v>
      </c>
      <c r="F51" s="60">
        <f>'TIE-OUT'!H51+RECLASS!H51</f>
        <v>0</v>
      </c>
      <c r="G51" s="38">
        <f>'TIE-OUT'!I51+RECLASS!I51</f>
        <v>0</v>
      </c>
      <c r="H51" s="129">
        <f>+Actuals!E186</f>
        <v>0</v>
      </c>
      <c r="I51" s="130">
        <f>+Actuals!F186</f>
        <v>0</v>
      </c>
      <c r="J51" s="129">
        <f>+Actuals!G186</f>
        <v>-530088</v>
      </c>
      <c r="K51" s="149">
        <f>+Actuals!H186</f>
        <v>-1200649.32</v>
      </c>
      <c r="L51" s="129">
        <f>+Actuals!I186</f>
        <v>-81500</v>
      </c>
      <c r="M51" s="130">
        <f>+Actuals!J186</f>
        <v>-184597.5</v>
      </c>
      <c r="N51" s="129">
        <f>+Actuals!K186</f>
        <v>-260</v>
      </c>
      <c r="O51" s="130">
        <f>+Actuals!L186</f>
        <v>-588.9</v>
      </c>
      <c r="P51" s="129">
        <f>+Actuals!M186</f>
        <v>0</v>
      </c>
      <c r="Q51" s="130">
        <f>+Actuals!N186</f>
        <v>0</v>
      </c>
      <c r="R51" s="129">
        <f>+Actuals!O186</f>
        <v>-452</v>
      </c>
      <c r="S51" s="130">
        <f>+Actuals!P186</f>
        <v>-1023.78</v>
      </c>
      <c r="T51" s="129">
        <f>+Actuals!Q266</f>
        <v>137</v>
      </c>
      <c r="U51" s="130">
        <f>+Actuals!R266</f>
        <v>310.30500000000001</v>
      </c>
      <c r="V51" s="129">
        <f>+Actuals!S266</f>
        <v>-207</v>
      </c>
      <c r="W51" s="130">
        <f>+Actuals!T266</f>
        <v>-468.85500000000002</v>
      </c>
      <c r="X51" s="129">
        <f>+Actuals!U266</f>
        <v>-2552</v>
      </c>
      <c r="Y51" s="130">
        <f>+Actuals!V266</f>
        <v>-5780.28</v>
      </c>
      <c r="Z51" s="129">
        <f>+Actuals!W266</f>
        <v>0</v>
      </c>
      <c r="AA51" s="130">
        <f>+Actuals!X266</f>
        <v>0</v>
      </c>
      <c r="AB51" s="129">
        <f>+Actuals!Y186</f>
        <v>0</v>
      </c>
      <c r="AC51" s="130">
        <f>+Actuals!Z186</f>
        <v>0</v>
      </c>
      <c r="AD51" s="129">
        <f>+Actuals!AA186</f>
        <v>0</v>
      </c>
      <c r="AE51" s="130">
        <f>+Actuals!AB186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-66119760</v>
      </c>
      <c r="E54" s="38">
        <f>SUM(G54,I54,K54,M54,O54,Q54,S54,U54,W54,Y54,AA54,AC54,AE54)</f>
        <v>-670777.56000000134</v>
      </c>
      <c r="F54" s="64">
        <f>'TIE-OUT'!H54+RECLASS!H54</f>
        <v>0</v>
      </c>
      <c r="G54" s="68">
        <f>'TIE-OUT'!I54+RECLASS!I54</f>
        <v>2499025</v>
      </c>
      <c r="H54" s="129">
        <f>+Actuals!E187</f>
        <v>-47475581</v>
      </c>
      <c r="I54" s="130">
        <f>+Actuals!F187</f>
        <v>-13687415.460000001</v>
      </c>
      <c r="J54" s="129">
        <f>+Actuals!G187</f>
        <v>-18269340</v>
      </c>
      <c r="K54" s="149">
        <f>+Actuals!H187</f>
        <v>6888473.3999999994</v>
      </c>
      <c r="L54" s="129">
        <f>+Actuals!I187</f>
        <v>-3961686</v>
      </c>
      <c r="M54" s="130">
        <f>+Actuals!J187</f>
        <v>101819.84</v>
      </c>
      <c r="N54" s="129">
        <f>+Actuals!K187</f>
        <v>-1229128</v>
      </c>
      <c r="O54" s="130">
        <f>+Actuals!L187</f>
        <v>2535800.41</v>
      </c>
      <c r="P54" s="129">
        <f>+Actuals!M187</f>
        <v>5277477</v>
      </c>
      <c r="Q54" s="130">
        <f>+Actuals!N187</f>
        <v>784244.05</v>
      </c>
      <c r="R54" s="129">
        <f>+Actuals!O187</f>
        <v>-961910</v>
      </c>
      <c r="S54" s="130">
        <f>+Actuals!P187</f>
        <v>-55548.73</v>
      </c>
      <c r="T54" s="129">
        <f>+Actuals!Q267</f>
        <v>407864</v>
      </c>
      <c r="U54" s="130">
        <f>+Actuals!R267</f>
        <v>-9759.8799999999992</v>
      </c>
      <c r="V54" s="129">
        <f>+Actuals!S267</f>
        <v>97719</v>
      </c>
      <c r="W54" s="130">
        <f>+Actuals!T267</f>
        <v>154007.26999999999</v>
      </c>
      <c r="X54" s="129">
        <f>+Actuals!U267</f>
        <v>-5271</v>
      </c>
      <c r="Y54" s="130">
        <f>+Actuals!V267</f>
        <v>118576.54</v>
      </c>
      <c r="Z54" s="129">
        <f>+Actuals!W267</f>
        <v>96</v>
      </c>
      <c r="AA54" s="130">
        <f>+Actuals!X267</f>
        <v>0</v>
      </c>
      <c r="AB54" s="129">
        <f>+Actuals!Y187</f>
        <v>0</v>
      </c>
      <c r="AC54" s="130">
        <f>+Actuals!Z187</f>
        <v>0</v>
      </c>
      <c r="AD54" s="129">
        <f>+Actuals!AA187</f>
        <v>0</v>
      </c>
      <c r="AE54" s="130">
        <f>+Actuals!AB187</f>
        <v>0</v>
      </c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-1078391.8500000001</v>
      </c>
      <c r="F55" s="81">
        <f>'TIE-OUT'!H55+RECLASS!H55</f>
        <v>0</v>
      </c>
      <c r="G55" s="82">
        <f>'TIE-OUT'!I55+RECLASS!I55</f>
        <v>-641864</v>
      </c>
      <c r="H55" s="129">
        <f>+Actuals!E188</f>
        <v>0</v>
      </c>
      <c r="I55" s="130">
        <f>+Actuals!F188</f>
        <v>-30448.63</v>
      </c>
      <c r="J55" s="129">
        <f>+Actuals!G188</f>
        <v>0</v>
      </c>
      <c r="K55" s="149">
        <f>+Actuals!H188</f>
        <v>5801.36</v>
      </c>
      <c r="L55" s="129">
        <f>+Actuals!I188</f>
        <v>0</v>
      </c>
      <c r="M55" s="130">
        <f>+Actuals!J188</f>
        <v>192294.06</v>
      </c>
      <c r="N55" s="129">
        <f>+Actuals!K188</f>
        <v>0</v>
      </c>
      <c r="O55" s="130">
        <f>+Actuals!L188</f>
        <v>-1214945.1100000001</v>
      </c>
      <c r="P55" s="129">
        <f>+Actuals!M188</f>
        <v>0</v>
      </c>
      <c r="Q55" s="130">
        <f>+Actuals!N188</f>
        <v>616077.02</v>
      </c>
      <c r="R55" s="129">
        <f>+Actuals!O188</f>
        <v>0</v>
      </c>
      <c r="S55" s="130">
        <f>+Actuals!P188</f>
        <v>358663.01</v>
      </c>
      <c r="T55" s="129">
        <f>+Actuals!Q268</f>
        <v>0</v>
      </c>
      <c r="U55" s="130">
        <f>+Actuals!R268</f>
        <v>-288289.55</v>
      </c>
      <c r="V55" s="129">
        <f>+Actuals!S268</f>
        <v>0</v>
      </c>
      <c r="W55" s="130">
        <f>+Actuals!T268</f>
        <v>23.1</v>
      </c>
      <c r="X55" s="129">
        <f>+Actuals!U268</f>
        <v>0</v>
      </c>
      <c r="Y55" s="130">
        <f>+Actuals!V268</f>
        <v>-75628.11</v>
      </c>
      <c r="Z55" s="129">
        <f>+Actuals!W268</f>
        <v>0</v>
      </c>
      <c r="AA55" s="130">
        <f>+Actuals!X268</f>
        <v>-75</v>
      </c>
      <c r="AB55" s="129">
        <f>+Actuals!Y188</f>
        <v>0</v>
      </c>
      <c r="AC55" s="130">
        <f>+Actuals!Z188</f>
        <v>0</v>
      </c>
      <c r="AD55" s="129">
        <f>+Actuals!AA188</f>
        <v>0</v>
      </c>
      <c r="AE55" s="130">
        <f>+Actuals!AB188</f>
        <v>0</v>
      </c>
    </row>
    <row r="56" spans="1:31" x14ac:dyDescent="0.25">
      <c r="A56" s="9"/>
      <c r="B56" s="7" t="s">
        <v>58</v>
      </c>
      <c r="C56" s="6"/>
      <c r="D56" s="61">
        <f t="shared" ref="D56:AE56" si="16">SUM(D54:D55)</f>
        <v>-66119760</v>
      </c>
      <c r="E56" s="39">
        <f t="shared" si="16"/>
        <v>-1749169.4100000015</v>
      </c>
      <c r="F56" s="61">
        <f t="shared" si="16"/>
        <v>0</v>
      </c>
      <c r="G56" s="39">
        <f t="shared" si="16"/>
        <v>1857161</v>
      </c>
      <c r="H56" s="61">
        <f t="shared" si="16"/>
        <v>-47475581</v>
      </c>
      <c r="I56" s="39">
        <f t="shared" si="16"/>
        <v>-13717864.090000002</v>
      </c>
      <c r="J56" s="61">
        <f t="shared" si="16"/>
        <v>-18269340</v>
      </c>
      <c r="K56" s="150">
        <f t="shared" si="16"/>
        <v>6894274.7599999998</v>
      </c>
      <c r="L56" s="61">
        <f t="shared" si="16"/>
        <v>-3961686</v>
      </c>
      <c r="M56" s="39">
        <f t="shared" si="16"/>
        <v>294113.90000000002</v>
      </c>
      <c r="N56" s="61">
        <f t="shared" si="16"/>
        <v>-1229128</v>
      </c>
      <c r="O56" s="39">
        <f t="shared" si="16"/>
        <v>1320855.3</v>
      </c>
      <c r="P56" s="61">
        <f t="shared" si="16"/>
        <v>5277477</v>
      </c>
      <c r="Q56" s="39">
        <f t="shared" si="16"/>
        <v>1400321.07</v>
      </c>
      <c r="R56" s="61">
        <f t="shared" si="16"/>
        <v>-961910</v>
      </c>
      <c r="S56" s="39">
        <f t="shared" si="16"/>
        <v>303114.28000000003</v>
      </c>
      <c r="T56" s="61">
        <f t="shared" si="16"/>
        <v>407864</v>
      </c>
      <c r="U56" s="39">
        <f t="shared" si="16"/>
        <v>-298049.43</v>
      </c>
      <c r="V56" s="61">
        <f t="shared" ref="V56:AA56" si="17">SUM(V54:V55)</f>
        <v>97719</v>
      </c>
      <c r="W56" s="39">
        <f t="shared" si="17"/>
        <v>154030.37</v>
      </c>
      <c r="X56" s="61">
        <f t="shared" si="17"/>
        <v>-5271</v>
      </c>
      <c r="Y56" s="39">
        <f t="shared" si="17"/>
        <v>42948.429999999993</v>
      </c>
      <c r="Z56" s="61">
        <f t="shared" si="17"/>
        <v>96</v>
      </c>
      <c r="AA56" s="39">
        <f t="shared" si="17"/>
        <v>-75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7"/>
      <c r="G58" s="6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73908.95</v>
      </c>
      <c r="F59" s="64">
        <f>'TIE-OUT'!H59+RECLASS!H59</f>
        <v>0</v>
      </c>
      <c r="G59" s="68">
        <f>'TIE-OUT'!I59+RECLASS!I59</f>
        <v>0</v>
      </c>
      <c r="H59" s="129">
        <f>+Actuals!E189</f>
        <v>0</v>
      </c>
      <c r="I59" s="130">
        <f>+Actuals!F189</f>
        <v>96065</v>
      </c>
      <c r="J59" s="129">
        <f>+Actuals!G189</f>
        <v>0</v>
      </c>
      <c r="K59" s="149">
        <f>+Actuals!H189</f>
        <v>-87920</v>
      </c>
      <c r="L59" s="129">
        <f>+Actuals!I189</f>
        <v>0</v>
      </c>
      <c r="M59" s="130">
        <f>+Actuals!J189</f>
        <v>62980.9</v>
      </c>
      <c r="N59" s="129">
        <f>+Actuals!K189</f>
        <v>0</v>
      </c>
      <c r="O59" s="130">
        <f>+Actuals!L189</f>
        <v>0</v>
      </c>
      <c r="P59" s="129">
        <f>+Actuals!M189</f>
        <v>0</v>
      </c>
      <c r="Q59" s="130">
        <f>+Actuals!N189</f>
        <v>-0.05</v>
      </c>
      <c r="R59" s="129">
        <f>+Actuals!O189</f>
        <v>0</v>
      </c>
      <c r="S59" s="130">
        <f>+Actuals!P189</f>
        <v>0</v>
      </c>
      <c r="T59" s="129">
        <f>+Actuals!Q269</f>
        <v>0</v>
      </c>
      <c r="U59" s="130">
        <f>+Actuals!R269</f>
        <v>2783.1</v>
      </c>
      <c r="V59" s="129">
        <f>+Actuals!S269</f>
        <v>0</v>
      </c>
      <c r="W59" s="130">
        <f>+Actuals!T269</f>
        <v>0</v>
      </c>
      <c r="X59" s="129">
        <f>+Actuals!U269</f>
        <v>0</v>
      </c>
      <c r="Y59" s="130">
        <f>+Actuals!V269</f>
        <v>0</v>
      </c>
      <c r="Z59" s="129">
        <f>+Actuals!W269</f>
        <v>0</v>
      </c>
      <c r="AA59" s="130">
        <f>+Actuals!X269</f>
        <v>0</v>
      </c>
      <c r="AB59" s="129">
        <f>+Actuals!Y189</f>
        <v>0</v>
      </c>
      <c r="AC59" s="130">
        <f>+Actuals!Z189</f>
        <v>0</v>
      </c>
      <c r="AD59" s="129">
        <f>+Actuals!AA189</f>
        <v>0</v>
      </c>
      <c r="AE59" s="130">
        <f>+Actuals!AB189</f>
        <v>0</v>
      </c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29">
        <f>+Actuals!E190</f>
        <v>0</v>
      </c>
      <c r="I60" s="130">
        <f>+Actuals!F190</f>
        <v>0</v>
      </c>
      <c r="J60" s="129">
        <f>+Actuals!G190</f>
        <v>0</v>
      </c>
      <c r="K60" s="149">
        <f>+Actuals!H190</f>
        <v>0</v>
      </c>
      <c r="L60" s="129">
        <f>+Actuals!I190</f>
        <v>0</v>
      </c>
      <c r="M60" s="130">
        <f>+Actuals!J190</f>
        <v>0</v>
      </c>
      <c r="N60" s="129">
        <f>+Actuals!K190</f>
        <v>0</v>
      </c>
      <c r="O60" s="130">
        <f>+Actuals!L190</f>
        <v>0</v>
      </c>
      <c r="P60" s="129">
        <f>+Actuals!M190</f>
        <v>0</v>
      </c>
      <c r="Q60" s="130">
        <f>+Actuals!N190</f>
        <v>0</v>
      </c>
      <c r="R60" s="129">
        <f>+Actuals!O190</f>
        <v>0</v>
      </c>
      <c r="S60" s="130">
        <f>+Actuals!P190</f>
        <v>0</v>
      </c>
      <c r="T60" s="129">
        <f>+Actuals!Q270</f>
        <v>0</v>
      </c>
      <c r="U60" s="130">
        <f>+Actuals!R270</f>
        <v>0</v>
      </c>
      <c r="V60" s="129">
        <f>+Actuals!S270</f>
        <v>0</v>
      </c>
      <c r="W60" s="130">
        <f>+Actuals!T270</f>
        <v>0</v>
      </c>
      <c r="X60" s="129">
        <f>+Actuals!U270</f>
        <v>0</v>
      </c>
      <c r="Y60" s="130">
        <f>+Actuals!V270</f>
        <v>0</v>
      </c>
      <c r="Z60" s="129">
        <f>+Actuals!W270</f>
        <v>0</v>
      </c>
      <c r="AA60" s="130">
        <f>+Actuals!X270</f>
        <v>0</v>
      </c>
      <c r="AB60" s="129">
        <f>+Actuals!Y190</f>
        <v>0</v>
      </c>
      <c r="AC60" s="130">
        <f>+Actuals!Z190</f>
        <v>0</v>
      </c>
      <c r="AD60" s="129">
        <f>+Actuals!AA190</f>
        <v>0</v>
      </c>
      <c r="AE60" s="130">
        <f>+Actuals!AB190</f>
        <v>0</v>
      </c>
    </row>
    <row r="61" spans="1:31" x14ac:dyDescent="0.25">
      <c r="A61" s="9"/>
      <c r="B61" s="62" t="s">
        <v>62</v>
      </c>
      <c r="C61" s="6"/>
      <c r="D61" s="61">
        <f t="shared" ref="D61:AE61" si="18">SUM(D59:D60)</f>
        <v>0</v>
      </c>
      <c r="E61" s="39">
        <f t="shared" si="18"/>
        <v>73908.95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96065</v>
      </c>
      <c r="J61" s="61">
        <f t="shared" si="18"/>
        <v>0</v>
      </c>
      <c r="K61" s="150">
        <f t="shared" si="18"/>
        <v>-87920</v>
      </c>
      <c r="L61" s="61">
        <f t="shared" si="18"/>
        <v>0</v>
      </c>
      <c r="M61" s="39">
        <f t="shared" si="18"/>
        <v>62980.9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-0.05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2783.1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29">
        <f>+Actuals!E191</f>
        <v>0</v>
      </c>
      <c r="I64" s="130">
        <f>+Actuals!F191</f>
        <v>0</v>
      </c>
      <c r="J64" s="129">
        <f>+Actuals!G191</f>
        <v>0</v>
      </c>
      <c r="K64" s="149">
        <f>+Actuals!H191</f>
        <v>0</v>
      </c>
      <c r="L64" s="129">
        <f>+Actuals!I191</f>
        <v>0</v>
      </c>
      <c r="M64" s="130">
        <f>+Actuals!J191</f>
        <v>0</v>
      </c>
      <c r="N64" s="129">
        <f>+Actuals!K191</f>
        <v>0</v>
      </c>
      <c r="O64" s="130">
        <f>+Actuals!L191</f>
        <v>0</v>
      </c>
      <c r="P64" s="129">
        <f>+Actuals!M191</f>
        <v>0</v>
      </c>
      <c r="Q64" s="130">
        <f>+Actuals!N191</f>
        <v>0</v>
      </c>
      <c r="R64" s="129">
        <f>+Actuals!O191</f>
        <v>0</v>
      </c>
      <c r="S64" s="130">
        <f>+Actuals!P191</f>
        <v>0</v>
      </c>
      <c r="T64" s="129">
        <f>+Actuals!Q271</f>
        <v>0</v>
      </c>
      <c r="U64" s="130">
        <f>+Actuals!R271</f>
        <v>0</v>
      </c>
      <c r="V64" s="129">
        <f>+Actuals!S271</f>
        <v>0</v>
      </c>
      <c r="W64" s="130">
        <f>+Actuals!T271</f>
        <v>0</v>
      </c>
      <c r="X64" s="129">
        <f>+Actuals!U271</f>
        <v>0</v>
      </c>
      <c r="Y64" s="130">
        <f>+Actuals!V271</f>
        <v>0</v>
      </c>
      <c r="Z64" s="129">
        <f>+Actuals!W271</f>
        <v>0</v>
      </c>
      <c r="AA64" s="130">
        <f>+Actuals!X271</f>
        <v>0</v>
      </c>
      <c r="AB64" s="129">
        <f>+Actuals!Y191</f>
        <v>0</v>
      </c>
      <c r="AC64" s="130">
        <f>+Actuals!Z191</f>
        <v>0</v>
      </c>
      <c r="AD64" s="129">
        <f>+Actuals!AA191</f>
        <v>0</v>
      </c>
      <c r="AE64" s="130">
        <f>+Actuals!AB191</f>
        <v>0</v>
      </c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29">
        <f>+Actuals!E192</f>
        <v>0</v>
      </c>
      <c r="I65" s="130">
        <f>+Actuals!F192</f>
        <v>0</v>
      </c>
      <c r="J65" s="129">
        <f>+Actuals!G192</f>
        <v>0</v>
      </c>
      <c r="K65" s="149">
        <f>+Actuals!H192</f>
        <v>0</v>
      </c>
      <c r="L65" s="129">
        <f>+Actuals!I192</f>
        <v>0</v>
      </c>
      <c r="M65" s="130">
        <f>+Actuals!J192</f>
        <v>0</v>
      </c>
      <c r="N65" s="129">
        <f>+Actuals!K192</f>
        <v>0</v>
      </c>
      <c r="O65" s="130">
        <f>+Actuals!L192</f>
        <v>0</v>
      </c>
      <c r="P65" s="129">
        <f>+Actuals!M192</f>
        <v>0</v>
      </c>
      <c r="Q65" s="130">
        <f>+Actuals!N192</f>
        <v>0</v>
      </c>
      <c r="R65" s="129">
        <f>+Actuals!O192</f>
        <v>0</v>
      </c>
      <c r="S65" s="130">
        <f>+Actuals!P192</f>
        <v>0</v>
      </c>
      <c r="T65" s="129">
        <f>+Actuals!Q272</f>
        <v>0</v>
      </c>
      <c r="U65" s="130">
        <f>+Actuals!R272</f>
        <v>0</v>
      </c>
      <c r="V65" s="129">
        <f>+Actuals!S272</f>
        <v>0</v>
      </c>
      <c r="W65" s="130">
        <f>+Actuals!T272</f>
        <v>0</v>
      </c>
      <c r="X65" s="129">
        <f>+Actuals!U272</f>
        <v>0</v>
      </c>
      <c r="Y65" s="130">
        <f>+Actuals!V272</f>
        <v>0</v>
      </c>
      <c r="Z65" s="129">
        <f>+Actuals!W272</f>
        <v>0</v>
      </c>
      <c r="AA65" s="130">
        <f>+Actuals!X272</f>
        <v>0</v>
      </c>
      <c r="AB65" s="129">
        <f>+Actuals!Y192</f>
        <v>0</v>
      </c>
      <c r="AC65" s="130">
        <f>+Actuals!Z192</f>
        <v>0</v>
      </c>
      <c r="AD65" s="129">
        <f>+Actuals!AA192</f>
        <v>0</v>
      </c>
      <c r="AE65" s="130">
        <f>+Actuals!AB192</f>
        <v>0</v>
      </c>
    </row>
    <row r="66" spans="1:31" x14ac:dyDescent="0.25">
      <c r="A66" s="9"/>
      <c r="B66" s="7" t="s">
        <v>65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3210854.25</v>
      </c>
      <c r="F70" s="64">
        <f>'TIE-OUT'!H70+RECLASS!H70</f>
        <v>0</v>
      </c>
      <c r="G70" s="68">
        <f>'TIE-OUT'!I70+RECLASS!I70</f>
        <v>3210854.25</v>
      </c>
      <c r="H70" s="129">
        <f>+Actuals!E193</f>
        <v>0</v>
      </c>
      <c r="I70" s="130">
        <f>+Actuals!F193</f>
        <v>0</v>
      </c>
      <c r="J70" s="129">
        <f>+Actuals!G193</f>
        <v>0</v>
      </c>
      <c r="K70" s="159">
        <v>0</v>
      </c>
      <c r="L70" s="129">
        <f>+Actuals!I193</f>
        <v>0</v>
      </c>
      <c r="M70" s="130">
        <f>+Actuals!J193</f>
        <v>0</v>
      </c>
      <c r="N70" s="129">
        <f>+Actuals!K193</f>
        <v>0</v>
      </c>
      <c r="O70" s="130">
        <f>+Actuals!L193</f>
        <v>0</v>
      </c>
      <c r="P70" s="129">
        <f>+Actuals!M193</f>
        <v>0</v>
      </c>
      <c r="Q70" s="130">
        <f>+Actuals!N193</f>
        <v>0</v>
      </c>
      <c r="R70" s="129">
        <f>+Actuals!O193</f>
        <v>0</v>
      </c>
      <c r="S70" s="130">
        <f>+Actuals!P193</f>
        <v>0</v>
      </c>
      <c r="T70" s="129">
        <f>+Actuals!Q273</f>
        <v>0</v>
      </c>
      <c r="U70" s="130">
        <f>+Actuals!R273</f>
        <v>0</v>
      </c>
      <c r="V70" s="129">
        <f>+Actuals!S273</f>
        <v>0</v>
      </c>
      <c r="W70" s="130">
        <f>+Actuals!T273</f>
        <v>0</v>
      </c>
      <c r="X70" s="129">
        <f>+Actuals!U273</f>
        <v>0</v>
      </c>
      <c r="Y70" s="130">
        <f>+Actuals!V273</f>
        <v>0</v>
      </c>
      <c r="Z70" s="129">
        <f>+Actuals!W273</f>
        <v>0</v>
      </c>
      <c r="AA70" s="130">
        <f>+Actuals!X273</f>
        <v>0</v>
      </c>
      <c r="AB70" s="129">
        <f>+Actuals!Y193</f>
        <v>0</v>
      </c>
      <c r="AC70" s="130">
        <f>+Actuals!Z193</f>
        <v>0</v>
      </c>
      <c r="AD70" s="129">
        <f>+Actuals!AA193</f>
        <v>0</v>
      </c>
      <c r="AE70" s="130">
        <f>+Actuals!AB193</f>
        <v>0</v>
      </c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-5679557.9500000002</v>
      </c>
      <c r="F71" s="81">
        <f>'TIE-OUT'!H71+RECLASS!H71</f>
        <v>0</v>
      </c>
      <c r="G71" s="82">
        <f>'TIE-OUT'!I71+RECLASS!I71</f>
        <v>-5679557.9500000002</v>
      </c>
      <c r="H71" s="129">
        <f>+Actuals!E194</f>
        <v>0</v>
      </c>
      <c r="I71" s="130">
        <f>+Actuals!F194</f>
        <v>0</v>
      </c>
      <c r="J71" s="129">
        <f>+Actuals!G194</f>
        <v>0</v>
      </c>
      <c r="K71" s="149">
        <f>+Actuals!H194</f>
        <v>0</v>
      </c>
      <c r="L71" s="129">
        <f>+Actuals!I194</f>
        <v>0</v>
      </c>
      <c r="M71" s="130">
        <f>+Actuals!J194</f>
        <v>0</v>
      </c>
      <c r="N71" s="129">
        <f>+Actuals!K194</f>
        <v>0</v>
      </c>
      <c r="O71" s="130">
        <f>+Actuals!L194</f>
        <v>0</v>
      </c>
      <c r="P71" s="129">
        <f>+Actuals!M194</f>
        <v>0</v>
      </c>
      <c r="Q71" s="130">
        <f>+Actuals!N194</f>
        <v>0</v>
      </c>
      <c r="R71" s="129">
        <f>+Actuals!O194</f>
        <v>0</v>
      </c>
      <c r="S71" s="130">
        <f>+Actuals!P194</f>
        <v>0</v>
      </c>
      <c r="T71" s="129">
        <f>+Actuals!Q274</f>
        <v>0</v>
      </c>
      <c r="U71" s="130">
        <f>+Actuals!R274</f>
        <v>0</v>
      </c>
      <c r="V71" s="129">
        <f>+Actuals!S274</f>
        <v>0</v>
      </c>
      <c r="W71" s="130">
        <f>+Actuals!T274</f>
        <v>0</v>
      </c>
      <c r="X71" s="129">
        <f>+Actuals!U274</f>
        <v>0</v>
      </c>
      <c r="Y71" s="130">
        <f>+Actuals!V274</f>
        <v>0</v>
      </c>
      <c r="Z71" s="129">
        <f>+Actuals!W274</f>
        <v>0</v>
      </c>
      <c r="AA71" s="130">
        <f>+Actuals!X274</f>
        <v>0</v>
      </c>
      <c r="AB71" s="129">
        <f>+Actuals!Y194</f>
        <v>0</v>
      </c>
      <c r="AC71" s="130">
        <f>+Actuals!Z194</f>
        <v>0</v>
      </c>
      <c r="AD71" s="129">
        <f>+Actuals!AA194</f>
        <v>0</v>
      </c>
      <c r="AE71" s="130">
        <f>+Actuals!AB194</f>
        <v>0</v>
      </c>
    </row>
    <row r="72" spans="1:31" x14ac:dyDescent="0.25">
      <c r="A72" s="9"/>
      <c r="B72" s="3"/>
      <c r="C72" s="55" t="s">
        <v>70</v>
      </c>
      <c r="D72" s="61">
        <f t="shared" ref="D72:AE72" si="22">SUM(D70:D71)</f>
        <v>0</v>
      </c>
      <c r="E72" s="39">
        <f t="shared" si="22"/>
        <v>-2468703.7000000002</v>
      </c>
      <c r="F72" s="61">
        <f t="shared" si="22"/>
        <v>0</v>
      </c>
      <c r="G72" s="39">
        <f t="shared" si="22"/>
        <v>-2468703.7000000002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29">
        <f>+Actuals!E195</f>
        <v>0</v>
      </c>
      <c r="I73" s="130">
        <f>+Actuals!F195</f>
        <v>0</v>
      </c>
      <c r="J73" s="129">
        <f>+Actuals!G195</f>
        <v>0</v>
      </c>
      <c r="K73" s="149">
        <f>+Actuals!H195</f>
        <v>0</v>
      </c>
      <c r="L73" s="129">
        <f>+Actuals!I195</f>
        <v>0</v>
      </c>
      <c r="M73" s="130">
        <f>+Actuals!J195</f>
        <v>0</v>
      </c>
      <c r="N73" s="129">
        <f>+Actuals!K195</f>
        <v>0</v>
      </c>
      <c r="O73" s="130">
        <f>+Actuals!L195</f>
        <v>0</v>
      </c>
      <c r="P73" s="129">
        <f>+Actuals!M195</f>
        <v>0</v>
      </c>
      <c r="Q73" s="130">
        <f>+Actuals!N195</f>
        <v>0</v>
      </c>
      <c r="R73" s="129">
        <f>+Actuals!O195</f>
        <v>0</v>
      </c>
      <c r="S73" s="130">
        <f>+Actuals!P195</f>
        <v>0</v>
      </c>
      <c r="T73" s="129">
        <f>+Actuals!Q275</f>
        <v>0</v>
      </c>
      <c r="U73" s="130">
        <f>+Actuals!R275</f>
        <v>0</v>
      </c>
      <c r="V73" s="129">
        <f>+Actuals!S275</f>
        <v>0</v>
      </c>
      <c r="W73" s="130">
        <f>+Actuals!T275</f>
        <v>0</v>
      </c>
      <c r="X73" s="129">
        <f>+Actuals!U275</f>
        <v>0</v>
      </c>
      <c r="Y73" s="130">
        <f>+Actuals!V275</f>
        <v>0</v>
      </c>
      <c r="Z73" s="129">
        <f>+Actuals!W275</f>
        <v>0</v>
      </c>
      <c r="AA73" s="130">
        <f>+Actuals!X275</f>
        <v>0</v>
      </c>
      <c r="AB73" s="129">
        <f>+Actuals!Y195</f>
        <v>0</v>
      </c>
      <c r="AC73" s="130">
        <f>+Actuals!Z195</f>
        <v>0</v>
      </c>
      <c r="AD73" s="129">
        <f>+Actuals!AA195</f>
        <v>0</v>
      </c>
      <c r="AE73" s="130">
        <f>+Actuals!AB195</f>
        <v>0</v>
      </c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3307294</v>
      </c>
      <c r="F74" s="60">
        <f>'TIE-OUT'!H74+RECLASS!H74</f>
        <v>0</v>
      </c>
      <c r="G74" s="60">
        <f>'TIE-OUT'!I74+RECLASS!I74</f>
        <v>3046194</v>
      </c>
      <c r="H74" s="129">
        <f>+Actuals!E196</f>
        <v>0</v>
      </c>
      <c r="I74" s="130">
        <f>+Actuals!F196</f>
        <v>0</v>
      </c>
      <c r="J74" s="129">
        <f>+Actuals!G196</f>
        <v>0</v>
      </c>
      <c r="K74" s="159">
        <v>213900</v>
      </c>
      <c r="L74" s="129">
        <f>+Actuals!I196</f>
        <v>0</v>
      </c>
      <c r="M74" s="130">
        <f>+Actuals!J196</f>
        <v>0</v>
      </c>
      <c r="N74" s="129">
        <f>+Actuals!K196</f>
        <v>0</v>
      </c>
      <c r="O74" s="159">
        <v>47200</v>
      </c>
      <c r="P74" s="129">
        <f>+Actuals!M196</f>
        <v>0</v>
      </c>
      <c r="Q74" s="130">
        <f>+Actuals!N196</f>
        <v>0</v>
      </c>
      <c r="R74" s="129">
        <f>+Actuals!O196</f>
        <v>0</v>
      </c>
      <c r="S74" s="130">
        <f>+Actuals!P196</f>
        <v>0</v>
      </c>
      <c r="T74" s="129">
        <f>+Actuals!Q276</f>
        <v>0</v>
      </c>
      <c r="U74" s="130">
        <f>+Actuals!R276</f>
        <v>0</v>
      </c>
      <c r="V74" s="129">
        <f>+Actuals!S276</f>
        <v>0</v>
      </c>
      <c r="W74" s="130">
        <f>+Actuals!T276</f>
        <v>0</v>
      </c>
      <c r="X74" s="129">
        <f>+Actuals!U276</f>
        <v>0</v>
      </c>
      <c r="Y74" s="130">
        <f>+Actuals!V276</f>
        <v>0</v>
      </c>
      <c r="Z74" s="129">
        <f>+Actuals!W276</f>
        <v>0</v>
      </c>
      <c r="AA74" s="130">
        <f>+Actuals!X276</f>
        <v>0</v>
      </c>
      <c r="AB74" s="129">
        <f>+Actuals!Y196</f>
        <v>0</v>
      </c>
      <c r="AC74" s="130">
        <f>+Actuals!Z196</f>
        <v>0</v>
      </c>
      <c r="AD74" s="129">
        <f>+Actuals!AA196</f>
        <v>0</v>
      </c>
      <c r="AE74" s="130">
        <f>+Actuals!AB196</f>
        <v>0</v>
      </c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274200</v>
      </c>
      <c r="F75" s="60">
        <f>'TIE-OUT'!H75+RECLASS!H75</f>
        <v>0</v>
      </c>
      <c r="G75" s="60">
        <f>'TIE-OUT'!I75+RECLASS!I75</f>
        <v>274200</v>
      </c>
      <c r="H75" s="129">
        <f>+Actuals!E197</f>
        <v>0</v>
      </c>
      <c r="I75" s="130">
        <f>+Actuals!F197</f>
        <v>0</v>
      </c>
      <c r="J75" s="129">
        <f>+Actuals!G197</f>
        <v>0</v>
      </c>
      <c r="K75" s="149">
        <f>+Actuals!H197</f>
        <v>0</v>
      </c>
      <c r="L75" s="129">
        <f>+Actuals!I197</f>
        <v>0</v>
      </c>
      <c r="M75" s="130">
        <f>+Actuals!J197</f>
        <v>0</v>
      </c>
      <c r="N75" s="129">
        <f>+Actuals!K197</f>
        <v>0</v>
      </c>
      <c r="O75" s="130">
        <f>+Actuals!L197</f>
        <v>0</v>
      </c>
      <c r="P75" s="129">
        <f>+Actuals!M197</f>
        <v>0</v>
      </c>
      <c r="Q75" s="130">
        <f>+Actuals!N197</f>
        <v>0</v>
      </c>
      <c r="R75" s="129">
        <f>+Actuals!O197</f>
        <v>0</v>
      </c>
      <c r="S75" s="130">
        <f>+Actuals!P197</f>
        <v>0</v>
      </c>
      <c r="T75" s="129">
        <f>+Actuals!Q277</f>
        <v>0</v>
      </c>
      <c r="U75" s="130">
        <f>+Actuals!R277</f>
        <v>0</v>
      </c>
      <c r="V75" s="129">
        <f>+Actuals!S277</f>
        <v>0</v>
      </c>
      <c r="W75" s="130">
        <f>+Actuals!T277</f>
        <v>0</v>
      </c>
      <c r="X75" s="129">
        <f>+Actuals!U277</f>
        <v>0</v>
      </c>
      <c r="Y75" s="130">
        <f>+Actuals!V277</f>
        <v>0</v>
      </c>
      <c r="Z75" s="129">
        <f>+Actuals!W277</f>
        <v>0</v>
      </c>
      <c r="AA75" s="130">
        <f>+Actuals!X277</f>
        <v>0</v>
      </c>
      <c r="AB75" s="129">
        <f>+Actuals!Y197</f>
        <v>0</v>
      </c>
      <c r="AC75" s="130">
        <f>+Actuals!Z197</f>
        <v>0</v>
      </c>
      <c r="AD75" s="129">
        <f>+Actuals!AA197</f>
        <v>0</v>
      </c>
      <c r="AE75" s="130">
        <f>+Actuals!AB197</f>
        <v>0</v>
      </c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-10196.349999999999</v>
      </c>
      <c r="F76" s="60">
        <f>'TIE-OUT'!H76+RECLASS!H76</f>
        <v>0</v>
      </c>
      <c r="G76" s="60">
        <f>'TIE-OUT'!I76+RECLASS!I76</f>
        <v>0</v>
      </c>
      <c r="H76" s="129">
        <f>+Actuals!E198</f>
        <v>0</v>
      </c>
      <c r="I76" s="130">
        <f>+Actuals!F198</f>
        <v>0</v>
      </c>
      <c r="J76" s="129">
        <f>+Actuals!G198</f>
        <v>0</v>
      </c>
      <c r="K76" s="149">
        <f>+Actuals!H198</f>
        <v>-30076.959999999999</v>
      </c>
      <c r="L76" s="129">
        <f>+Actuals!I198</f>
        <v>0</v>
      </c>
      <c r="M76" s="130">
        <f>+Actuals!J198</f>
        <v>16539.88</v>
      </c>
      <c r="N76" s="129">
        <f>+Actuals!K198</f>
        <v>0</v>
      </c>
      <c r="O76" s="130">
        <f>+Actuals!L198</f>
        <v>0</v>
      </c>
      <c r="P76" s="129">
        <f>+Actuals!M198</f>
        <v>0</v>
      </c>
      <c r="Q76" s="130">
        <f>+Actuals!N198</f>
        <v>0</v>
      </c>
      <c r="R76" s="129">
        <f>+Actuals!O198</f>
        <v>0</v>
      </c>
      <c r="S76" s="130">
        <f>+Actuals!P198</f>
        <v>1778.14</v>
      </c>
      <c r="T76" s="129">
        <f>+Actuals!Q278</f>
        <v>0</v>
      </c>
      <c r="U76" s="130">
        <f>+Actuals!R278</f>
        <v>816.99</v>
      </c>
      <c r="V76" s="129">
        <f>+Actuals!S278</f>
        <v>0</v>
      </c>
      <c r="W76" s="130">
        <f>+Actuals!T278</f>
        <v>10.15</v>
      </c>
      <c r="X76" s="129">
        <f>+Actuals!U278</f>
        <v>0</v>
      </c>
      <c r="Y76" s="130">
        <f>+Actuals!V278</f>
        <v>735.45</v>
      </c>
      <c r="Z76" s="129">
        <f>+Actuals!W278</f>
        <v>0</v>
      </c>
      <c r="AA76" s="130">
        <f>+Actuals!X278</f>
        <v>0</v>
      </c>
      <c r="AB76" s="129">
        <f>+Actuals!Y198</f>
        <v>0</v>
      </c>
      <c r="AC76" s="130">
        <f>+Actuals!Z198</f>
        <v>0</v>
      </c>
      <c r="AD76" s="129">
        <f>+Actuals!AA198</f>
        <v>0</v>
      </c>
      <c r="AE76" s="130">
        <f>+Actuals!AB198</f>
        <v>0</v>
      </c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-3918809</v>
      </c>
      <c r="F77" s="60">
        <f>'TIE-OUT'!H77+RECLASS!H77</f>
        <v>0</v>
      </c>
      <c r="G77" s="60">
        <f>'TIE-OUT'!I77+RECLASS!I77</f>
        <v>-3918809</v>
      </c>
      <c r="H77" s="129">
        <f>+Actuals!E199</f>
        <v>0</v>
      </c>
      <c r="I77" s="130">
        <f>+Actuals!F199</f>
        <v>0</v>
      </c>
      <c r="J77" s="129">
        <f>+Actuals!G199</f>
        <v>0</v>
      </c>
      <c r="K77" s="149">
        <f>+Actuals!H199</f>
        <v>0</v>
      </c>
      <c r="L77" s="129">
        <f>+Actuals!I199</f>
        <v>0</v>
      </c>
      <c r="M77" s="130">
        <f>+Actuals!J199</f>
        <v>0</v>
      </c>
      <c r="N77" s="129">
        <f>+Actuals!K199</f>
        <v>0</v>
      </c>
      <c r="O77" s="130">
        <f>+Actuals!L199</f>
        <v>0</v>
      </c>
      <c r="P77" s="129">
        <f>+Actuals!M199</f>
        <v>0</v>
      </c>
      <c r="Q77" s="130">
        <f>+Actuals!N199</f>
        <v>0</v>
      </c>
      <c r="R77" s="129">
        <f>+Actuals!O199</f>
        <v>0</v>
      </c>
      <c r="S77" s="130">
        <f>+Actuals!P199</f>
        <v>0</v>
      </c>
      <c r="T77" s="129">
        <f>+Actuals!Q279</f>
        <v>0</v>
      </c>
      <c r="U77" s="130">
        <f>+Actuals!R279</f>
        <v>0</v>
      </c>
      <c r="V77" s="129">
        <f>+Actuals!S279</f>
        <v>0</v>
      </c>
      <c r="W77" s="130">
        <f>+Actuals!T279</f>
        <v>0</v>
      </c>
      <c r="X77" s="129">
        <f>+Actuals!U279</f>
        <v>0</v>
      </c>
      <c r="Y77" s="130">
        <f>+Actuals!V279</f>
        <v>0</v>
      </c>
      <c r="Z77" s="129">
        <f>+Actuals!W279</f>
        <v>0</v>
      </c>
      <c r="AA77" s="130">
        <f>+Actuals!X279</f>
        <v>0</v>
      </c>
      <c r="AB77" s="129">
        <f>+Actuals!Y199</f>
        <v>0</v>
      </c>
      <c r="AC77" s="130">
        <f>+Actuals!Z199</f>
        <v>0</v>
      </c>
      <c r="AD77" s="129">
        <f>+Actuals!AA199</f>
        <v>0</v>
      </c>
      <c r="AE77" s="130">
        <f>+Actuals!AB199</f>
        <v>0</v>
      </c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29">
        <f>+Actuals!E200</f>
        <v>0</v>
      </c>
      <c r="I78" s="130">
        <f>+Actuals!F200</f>
        <v>0</v>
      </c>
      <c r="J78" s="129">
        <f>+Actuals!G200</f>
        <v>0</v>
      </c>
      <c r="K78" s="149">
        <f>+Actuals!H200</f>
        <v>0</v>
      </c>
      <c r="L78" s="129">
        <f>+Actuals!I200</f>
        <v>0</v>
      </c>
      <c r="M78" s="130">
        <f>+Actuals!J200</f>
        <v>0</v>
      </c>
      <c r="N78" s="129">
        <f>+Actuals!K200</f>
        <v>0</v>
      </c>
      <c r="O78" s="130">
        <f>+Actuals!L200</f>
        <v>0</v>
      </c>
      <c r="P78" s="129">
        <f>+Actuals!M200</f>
        <v>0</v>
      </c>
      <c r="Q78" s="130">
        <f>+Actuals!N200</f>
        <v>0</v>
      </c>
      <c r="R78" s="129">
        <f>+Actuals!O200</f>
        <v>0</v>
      </c>
      <c r="S78" s="130">
        <f>+Actuals!P200</f>
        <v>0</v>
      </c>
      <c r="T78" s="129">
        <f>+Actuals!Q280</f>
        <v>0</v>
      </c>
      <c r="U78" s="130">
        <f>+Actuals!R280</f>
        <v>0</v>
      </c>
      <c r="V78" s="129">
        <f>+Actuals!S280</f>
        <v>0</v>
      </c>
      <c r="W78" s="130">
        <f>+Actuals!T280</f>
        <v>0</v>
      </c>
      <c r="X78" s="129">
        <f>+Actuals!U280</f>
        <v>0</v>
      </c>
      <c r="Y78" s="130">
        <f>+Actuals!V280</f>
        <v>0</v>
      </c>
      <c r="Z78" s="129">
        <f>+Actuals!W280</f>
        <v>0</v>
      </c>
      <c r="AA78" s="130">
        <f>+Actuals!X280</f>
        <v>0</v>
      </c>
      <c r="AB78" s="129">
        <f>+Actuals!Y200</f>
        <v>0</v>
      </c>
      <c r="AC78" s="130">
        <f>+Actuals!Z200</f>
        <v>0</v>
      </c>
      <c r="AD78" s="129">
        <f>+Actuals!AA200</f>
        <v>0</v>
      </c>
      <c r="AE78" s="130">
        <f>+Actuals!AB200</f>
        <v>0</v>
      </c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'TIE-OUT'!H79+RECLASS!H79</f>
        <v>0</v>
      </c>
      <c r="G79" s="60">
        <f>'TIE-OUT'!I79+RECLASS!I79</f>
        <v>0</v>
      </c>
      <c r="H79" s="129">
        <f>+Actuals!E201</f>
        <v>0</v>
      </c>
      <c r="I79" s="130">
        <f>+Actuals!F201</f>
        <v>0</v>
      </c>
      <c r="J79" s="129">
        <f>+Actuals!G201</f>
        <v>0</v>
      </c>
      <c r="K79" s="149">
        <f>+Actuals!H201</f>
        <v>0</v>
      </c>
      <c r="L79" s="129">
        <f>+Actuals!I201</f>
        <v>0</v>
      </c>
      <c r="M79" s="130">
        <f>+Actuals!J201</f>
        <v>0</v>
      </c>
      <c r="N79" s="129">
        <f>+Actuals!K201</f>
        <v>0</v>
      </c>
      <c r="O79" s="130">
        <f>+Actuals!L201</f>
        <v>0</v>
      </c>
      <c r="P79" s="129">
        <f>+Actuals!M201</f>
        <v>0</v>
      </c>
      <c r="Q79" s="130">
        <f>+Actuals!N201</f>
        <v>0</v>
      </c>
      <c r="R79" s="129">
        <f>+Actuals!O201</f>
        <v>0</v>
      </c>
      <c r="S79" s="130">
        <f>+Actuals!P201</f>
        <v>0</v>
      </c>
      <c r="T79" s="129">
        <f>+Actuals!Q281</f>
        <v>0</v>
      </c>
      <c r="U79" s="130">
        <f>+Actuals!R281</f>
        <v>0</v>
      </c>
      <c r="V79" s="129">
        <f>+Actuals!S281</f>
        <v>0</v>
      </c>
      <c r="W79" s="130">
        <f>+Actuals!T281</f>
        <v>0</v>
      </c>
      <c r="X79" s="129">
        <f>+Actuals!U281</f>
        <v>0</v>
      </c>
      <c r="Y79" s="130">
        <f>+Actuals!V281</f>
        <v>0</v>
      </c>
      <c r="Z79" s="129">
        <f>+Actuals!W281</f>
        <v>0</v>
      </c>
      <c r="AA79" s="130">
        <f>+Actuals!X281</f>
        <v>0</v>
      </c>
      <c r="AB79" s="129">
        <f>+Actuals!Y201</f>
        <v>0</v>
      </c>
      <c r="AC79" s="130">
        <f>+Actuals!Z201</f>
        <v>0</v>
      </c>
      <c r="AD79" s="129">
        <f>+Actuals!AA201</f>
        <v>0</v>
      </c>
      <c r="AE79" s="130">
        <f>+Actuals!AB201</f>
        <v>0</v>
      </c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29">
        <f>+Actuals!E202</f>
        <v>0</v>
      </c>
      <c r="I80" s="130">
        <f>+Actuals!F202</f>
        <v>0</v>
      </c>
      <c r="J80" s="129">
        <f>+Actuals!G202</f>
        <v>0</v>
      </c>
      <c r="K80" s="149">
        <f>+Actuals!H202</f>
        <v>0</v>
      </c>
      <c r="L80" s="129">
        <f>+Actuals!I202</f>
        <v>0</v>
      </c>
      <c r="M80" s="130">
        <f>+Actuals!J202</f>
        <v>0</v>
      </c>
      <c r="N80" s="129">
        <f>+Actuals!K202</f>
        <v>0</v>
      </c>
      <c r="O80" s="130">
        <f>+Actuals!L202</f>
        <v>0</v>
      </c>
      <c r="P80" s="129">
        <f>+Actuals!M202</f>
        <v>0</v>
      </c>
      <c r="Q80" s="130">
        <f>+Actuals!N202</f>
        <v>0</v>
      </c>
      <c r="R80" s="129">
        <f>+Actuals!O202</f>
        <v>0</v>
      </c>
      <c r="S80" s="130">
        <f>+Actuals!P202</f>
        <v>0</v>
      </c>
      <c r="T80" s="129">
        <f>+Actuals!Q282</f>
        <v>0</v>
      </c>
      <c r="U80" s="130">
        <f>+Actuals!R282</f>
        <v>0</v>
      </c>
      <c r="V80" s="129">
        <f>+Actuals!S282</f>
        <v>0</v>
      </c>
      <c r="W80" s="130">
        <f>+Actuals!T282</f>
        <v>0</v>
      </c>
      <c r="X80" s="129">
        <f>+Actuals!U282</f>
        <v>0</v>
      </c>
      <c r="Y80" s="130">
        <f>+Actuals!V282</f>
        <v>0</v>
      </c>
      <c r="Z80" s="129">
        <f>+Actuals!W282</f>
        <v>0</v>
      </c>
      <c r="AA80" s="130">
        <f>+Actuals!X282</f>
        <v>0</v>
      </c>
      <c r="AB80" s="129">
        <f>+Actuals!Y202</f>
        <v>0</v>
      </c>
      <c r="AC80" s="130">
        <f>+Actuals!Z202</f>
        <v>0</v>
      </c>
      <c r="AD80" s="129">
        <f>+Actuals!AA202</f>
        <v>0</v>
      </c>
      <c r="AE80" s="130">
        <f>+Actuals!AB202</f>
        <v>0</v>
      </c>
    </row>
    <row r="81" spans="1:31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547512.44999999995</v>
      </c>
      <c r="F81" s="60">
        <f>'TIE-OUT'!H81+RECLASS!H81</f>
        <v>0</v>
      </c>
      <c r="G81" s="60">
        <f>'TIE-OUT'!I81+RECLASS!I81</f>
        <v>0</v>
      </c>
      <c r="H81" s="129">
        <f>+Actuals!E203</f>
        <v>0</v>
      </c>
      <c r="I81" s="130">
        <f>+Actuals!F203</f>
        <v>507921.76</v>
      </c>
      <c r="J81" s="129">
        <f>+Actuals!G203</f>
        <v>0</v>
      </c>
      <c r="K81" s="149">
        <f>+Actuals!H203</f>
        <v>39590.69</v>
      </c>
      <c r="L81" s="129">
        <f>+Actuals!I203</f>
        <v>0</v>
      </c>
      <c r="M81" s="130">
        <f>+Actuals!J203</f>
        <v>0</v>
      </c>
      <c r="N81" s="129">
        <f>+Actuals!K203</f>
        <v>0</v>
      </c>
      <c r="O81" s="130">
        <f>+Actuals!L203</f>
        <v>0</v>
      </c>
      <c r="P81" s="129">
        <f>+Actuals!M203</f>
        <v>0</v>
      </c>
      <c r="Q81" s="130">
        <f>+Actuals!N203</f>
        <v>0</v>
      </c>
      <c r="R81" s="129">
        <f>+Actuals!O203</f>
        <v>0</v>
      </c>
      <c r="S81" s="130">
        <f>+Actuals!P203</f>
        <v>0</v>
      </c>
      <c r="T81" s="129">
        <f>+Actuals!Q283</f>
        <v>0</v>
      </c>
      <c r="U81" s="130">
        <f>+Actuals!R283</f>
        <v>0</v>
      </c>
      <c r="V81" s="129">
        <f>+Actuals!S283</f>
        <v>0</v>
      </c>
      <c r="W81" s="130">
        <f>+Actuals!T283</f>
        <v>0</v>
      </c>
      <c r="X81" s="129">
        <f>+Actuals!U283</f>
        <v>0</v>
      </c>
      <c r="Y81" s="130">
        <f>+Actuals!V283</f>
        <v>0</v>
      </c>
      <c r="Z81" s="129">
        <f>+Actuals!W283</f>
        <v>0</v>
      </c>
      <c r="AA81" s="130">
        <f>+Actuals!X283</f>
        <v>0</v>
      </c>
      <c r="AB81" s="129">
        <f>+Actuals!Y203</f>
        <v>0</v>
      </c>
      <c r="AC81" s="130">
        <f>+Actuals!Z203</f>
        <v>0</v>
      </c>
      <c r="AD81" s="129">
        <f>+Actuals!AA203</f>
        <v>0</v>
      </c>
      <c r="AE81" s="130">
        <f>+Actuals!AB203</f>
        <v>0</v>
      </c>
    </row>
    <row r="82" spans="1:3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-1434885.8710000527</v>
      </c>
      <c r="F82" s="92">
        <f>F16+F24+F29+F36+F43+F45+F47+F49</f>
        <v>0</v>
      </c>
      <c r="G82" s="93">
        <f>SUM(G72:G81)+G16+G24+G29+G36+G43+G45+G47+G49+G51+G56+G61+G66</f>
        <v>605947.07999999984</v>
      </c>
      <c r="H82" s="92">
        <f>H16+H24+H29+H36+H43+H45+H47+H49</f>
        <v>0</v>
      </c>
      <c r="I82" s="93">
        <f>SUM(I72:I81)+I16+I24+I29+I36+I43+I45+I47+I49+I51+I56+I61+I66</f>
        <v>-13388490.264999993</v>
      </c>
      <c r="J82" s="92">
        <f>J16+J24+J29+J36+J43+J45+J47+J49</f>
        <v>0</v>
      </c>
      <c r="K82" s="160">
        <f>SUM(K72:K81)+K16+K24+K29+K36+K43+K45+K47+K49+K51+K56+K61+K66</f>
        <v>-14095723.388000002</v>
      </c>
      <c r="L82" s="92">
        <f>L16+L24+L29+L36+L43+L45+L47+L49</f>
        <v>0</v>
      </c>
      <c r="M82" s="93">
        <f>SUM(M72:M81)+M16+M24+M29+M36+M43+M45+M47+M49+M51+M56+M61+M66</f>
        <v>19613516.814999994</v>
      </c>
      <c r="N82" s="92">
        <f>N16+N24+N29+N36+N43+N45+N47+N49</f>
        <v>0</v>
      </c>
      <c r="O82" s="93">
        <f>SUM(O72:O81)+O16+O24+O29+O36+O43+O45+O47+O49+O51+O56+O61+O66</f>
        <v>7462998.7649999987</v>
      </c>
      <c r="P82" s="92">
        <f>P16+P24+P29+P36+P43+P45+P47+P49</f>
        <v>0</v>
      </c>
      <c r="Q82" s="93">
        <f>SUM(Q72:Q81)+Q16+Q24+Q29+Q36+Q43+Q45+Q47+Q49+Q51+Q56+Q61+Q66</f>
        <v>-3146912.0279999962</v>
      </c>
      <c r="R82" s="92">
        <f>R16+R24+R29+R36+R43+R45+R47+R49</f>
        <v>0</v>
      </c>
      <c r="S82" s="93">
        <f>SUM(S72:S81)+S16+S24+S29+S36+S43+S45+S47+S49+S51+S56+S61+S66</f>
        <v>-450577.38499999815</v>
      </c>
      <c r="T82" s="92">
        <f>T16+T24+T29+T36+T43+T45+T47+T49</f>
        <v>0</v>
      </c>
      <c r="U82" s="93">
        <f>SUM(U72:U81)+U16+U24+U29+U36+U43+U45+U47+U49+U51+U56+U61+U66</f>
        <v>406307.60499999829</v>
      </c>
      <c r="V82" s="92">
        <f>V16+V24+V29+V36+V43+V45+V47+V49</f>
        <v>0</v>
      </c>
      <c r="W82" s="93">
        <f>SUM(W72:W81)+W16+W24+W29+W36+W43+W45+W47+W49+W51+W56+W61+W66</f>
        <v>705590.07000000007</v>
      </c>
      <c r="X82" s="92">
        <f>X16+X24+X29+X36+X43+X45+X47+X49</f>
        <v>0</v>
      </c>
      <c r="Y82" s="93">
        <f>SUM(Y72:Y81)+Y16+Y24+Y29+Y36+Y43+Y45+Y47+Y49+Y51+Y56+Y61+Y66</f>
        <v>852823.01500000176</v>
      </c>
      <c r="Z82" s="92">
        <f>Z16+Z24+Z29+Z36+Z43+Z45+Z47+Z49</f>
        <v>0</v>
      </c>
      <c r="AA82" s="93">
        <f>SUM(AA72:AA81)+AA16+AA24+AA29+AA36+AA43+AA45+AA47+AA49+AA51+AA56+AA61+AA66</f>
        <v>-366.15500000000065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 t="s">
        <v>171</v>
      </c>
      <c r="B85" s="3"/>
      <c r="F85" s="31"/>
      <c r="G85" s="31"/>
      <c r="H85" s="31"/>
      <c r="I85" s="31"/>
      <c r="K85"/>
      <c r="L85" s="45"/>
    </row>
    <row r="86" spans="1:31" s="3" customFormat="1" x14ac:dyDescent="0.25">
      <c r="A86" s="173"/>
      <c r="C86" s="10" t="s">
        <v>173</v>
      </c>
      <c r="D86" s="174">
        <f t="shared" ref="D86:E88" si="25">SUM(F86,H86,J86,L86,N86,P86,R86,T86,V86,X86,Z86,AB86,AD86)</f>
        <v>0</v>
      </c>
      <c r="E86" s="174">
        <f t="shared" si="25"/>
        <v>-614051</v>
      </c>
      <c r="F86" s="174">
        <f>'TIE-OUT'!H86+RECLASS!H86</f>
        <v>0</v>
      </c>
      <c r="G86" s="174">
        <f>'TIE-OUT'!I86+RECLASS!I86</f>
        <v>-614051</v>
      </c>
      <c r="H86" s="174">
        <v>0</v>
      </c>
      <c r="I86" s="174">
        <v>0</v>
      </c>
      <c r="J86" s="174">
        <v>0</v>
      </c>
      <c r="K86" s="174">
        <v>0</v>
      </c>
      <c r="L86" s="174">
        <v>0</v>
      </c>
      <c r="M86" s="174">
        <v>0</v>
      </c>
      <c r="N86" s="174">
        <v>0</v>
      </c>
      <c r="O86" s="174">
        <v>0</v>
      </c>
      <c r="P86" s="174">
        <v>0</v>
      </c>
      <c r="Q86" s="174">
        <v>0</v>
      </c>
      <c r="R86" s="174">
        <v>0</v>
      </c>
      <c r="S86" s="174">
        <v>0</v>
      </c>
      <c r="T86" s="174">
        <v>0</v>
      </c>
      <c r="U86" s="174">
        <v>0</v>
      </c>
      <c r="V86" s="174">
        <v>0</v>
      </c>
      <c r="W86" s="174">
        <v>0</v>
      </c>
      <c r="X86" s="174">
        <v>0</v>
      </c>
      <c r="Y86" s="174">
        <v>0</v>
      </c>
      <c r="Z86" s="174">
        <v>0</v>
      </c>
      <c r="AA86" s="174">
        <v>0</v>
      </c>
      <c r="AB86" s="174">
        <v>0</v>
      </c>
      <c r="AC86" s="174">
        <v>0</v>
      </c>
      <c r="AD86" s="174">
        <v>0</v>
      </c>
      <c r="AE86" s="174">
        <v>0</v>
      </c>
    </row>
    <row r="87" spans="1:31" s="3" customFormat="1" x14ac:dyDescent="0.25">
      <c r="A87" s="173"/>
      <c r="C87" s="10" t="s">
        <v>72</v>
      </c>
      <c r="D87" s="175">
        <f t="shared" si="25"/>
        <v>0</v>
      </c>
      <c r="E87" s="175">
        <f t="shared" si="25"/>
        <v>0</v>
      </c>
      <c r="F87" s="175">
        <f>'TIE-OUT'!H87+RECLASS!H87</f>
        <v>0</v>
      </c>
      <c r="G87" s="175">
        <f>'TIE-OUT'!I87+RECLASS!I87</f>
        <v>0</v>
      </c>
      <c r="H87" s="175">
        <v>0</v>
      </c>
      <c r="I87" s="175">
        <v>0</v>
      </c>
      <c r="J87" s="175">
        <v>0</v>
      </c>
      <c r="K87" s="175">
        <v>0</v>
      </c>
      <c r="L87" s="175">
        <v>0</v>
      </c>
      <c r="M87" s="175">
        <v>0</v>
      </c>
      <c r="N87" s="175">
        <v>0</v>
      </c>
      <c r="O87" s="175">
        <v>0</v>
      </c>
      <c r="P87" s="175">
        <v>0</v>
      </c>
      <c r="Q87" s="175">
        <v>0</v>
      </c>
      <c r="R87" s="175">
        <v>0</v>
      </c>
      <c r="S87" s="175">
        <v>0</v>
      </c>
      <c r="T87" s="175">
        <v>0</v>
      </c>
      <c r="U87" s="175">
        <v>0</v>
      </c>
      <c r="V87" s="175">
        <v>0</v>
      </c>
      <c r="W87" s="175">
        <v>0</v>
      </c>
      <c r="X87" s="175">
        <v>0</v>
      </c>
      <c r="Y87" s="175">
        <v>0</v>
      </c>
      <c r="Z87" s="175">
        <v>0</v>
      </c>
      <c r="AA87" s="175">
        <v>0</v>
      </c>
      <c r="AB87" s="175">
        <v>0</v>
      </c>
      <c r="AC87" s="175">
        <v>0</v>
      </c>
      <c r="AD87" s="175">
        <v>0</v>
      </c>
      <c r="AE87" s="175">
        <v>0</v>
      </c>
    </row>
    <row r="88" spans="1:31" s="3" customFormat="1" x14ac:dyDescent="0.25">
      <c r="A88" s="173"/>
      <c r="C88" s="10" t="s">
        <v>73</v>
      </c>
      <c r="D88" s="176">
        <f t="shared" si="25"/>
        <v>0</v>
      </c>
      <c r="E88" s="176">
        <f t="shared" si="25"/>
        <v>0</v>
      </c>
      <c r="F88" s="176">
        <f>'TIE-OUT'!H88+RECLASS!H88</f>
        <v>0</v>
      </c>
      <c r="G88" s="176">
        <f>'TIE-OUT'!I88+RECLASS!I88</f>
        <v>0</v>
      </c>
      <c r="H88" s="176">
        <v>0</v>
      </c>
      <c r="I88" s="176">
        <v>0</v>
      </c>
      <c r="J88" s="176">
        <v>0</v>
      </c>
      <c r="K88" s="176">
        <v>0</v>
      </c>
      <c r="L88" s="176">
        <v>0</v>
      </c>
      <c r="M88" s="176">
        <v>0</v>
      </c>
      <c r="N88" s="176">
        <v>0</v>
      </c>
      <c r="O88" s="176">
        <v>0</v>
      </c>
      <c r="P88" s="176">
        <v>0</v>
      </c>
      <c r="Q88" s="176">
        <v>0</v>
      </c>
      <c r="R88" s="176">
        <v>0</v>
      </c>
      <c r="S88" s="176">
        <v>0</v>
      </c>
      <c r="T88" s="176">
        <v>0</v>
      </c>
      <c r="U88" s="176">
        <v>0</v>
      </c>
      <c r="V88" s="176">
        <v>0</v>
      </c>
      <c r="W88" s="176">
        <v>0</v>
      </c>
      <c r="X88" s="176">
        <v>0</v>
      </c>
      <c r="Y88" s="176">
        <v>0</v>
      </c>
      <c r="Z88" s="176">
        <v>0</v>
      </c>
      <c r="AA88" s="176">
        <v>0</v>
      </c>
      <c r="AB88" s="176">
        <v>0</v>
      </c>
      <c r="AC88" s="176">
        <v>0</v>
      </c>
      <c r="AD88" s="176">
        <v>0</v>
      </c>
      <c r="AE88" s="176">
        <v>0</v>
      </c>
    </row>
    <row r="89" spans="1:31" s="145" customFormat="1" ht="20.25" customHeight="1" x14ac:dyDescent="0.25">
      <c r="A89" s="187"/>
      <c r="B89" s="188"/>
      <c r="C89" s="186" t="s">
        <v>176</v>
      </c>
      <c r="D89" s="189">
        <f>SUM(D86:D88)</f>
        <v>0</v>
      </c>
      <c r="E89" s="189">
        <f t="shared" ref="E89:M89" si="26">SUM(E86:E88)</f>
        <v>-614051</v>
      </c>
      <c r="F89" s="189">
        <f t="shared" si="26"/>
        <v>0</v>
      </c>
      <c r="G89" s="189">
        <f t="shared" si="26"/>
        <v>-614051</v>
      </c>
      <c r="H89" s="189">
        <f t="shared" si="26"/>
        <v>0</v>
      </c>
      <c r="I89" s="189">
        <f t="shared" si="26"/>
        <v>0</v>
      </c>
      <c r="J89" s="189">
        <f t="shared" si="26"/>
        <v>0</v>
      </c>
      <c r="K89" s="189">
        <f t="shared" si="26"/>
        <v>0</v>
      </c>
      <c r="L89" s="189">
        <f t="shared" si="26"/>
        <v>0</v>
      </c>
      <c r="M89" s="189">
        <f t="shared" si="26"/>
        <v>0</v>
      </c>
      <c r="N89" s="189">
        <f t="shared" ref="N89:AE89" si="27">SUM(N86:N88)</f>
        <v>0</v>
      </c>
      <c r="O89" s="189">
        <f t="shared" si="27"/>
        <v>0</v>
      </c>
      <c r="P89" s="189">
        <f t="shared" si="27"/>
        <v>0</v>
      </c>
      <c r="Q89" s="189">
        <f t="shared" si="27"/>
        <v>0</v>
      </c>
      <c r="R89" s="189">
        <f t="shared" si="27"/>
        <v>0</v>
      </c>
      <c r="S89" s="189">
        <f t="shared" si="27"/>
        <v>0</v>
      </c>
      <c r="T89" s="189">
        <f t="shared" si="27"/>
        <v>0</v>
      </c>
      <c r="U89" s="189">
        <f t="shared" si="27"/>
        <v>0</v>
      </c>
      <c r="V89" s="189">
        <f t="shared" si="27"/>
        <v>0</v>
      </c>
      <c r="W89" s="189">
        <f t="shared" si="27"/>
        <v>0</v>
      </c>
      <c r="X89" s="189">
        <f t="shared" si="27"/>
        <v>0</v>
      </c>
      <c r="Y89" s="189">
        <f t="shared" si="27"/>
        <v>0</v>
      </c>
      <c r="Z89" s="189">
        <f t="shared" si="27"/>
        <v>0</v>
      </c>
      <c r="AA89" s="189">
        <f t="shared" si="27"/>
        <v>0</v>
      </c>
      <c r="AB89" s="189">
        <f t="shared" si="27"/>
        <v>0</v>
      </c>
      <c r="AC89" s="189">
        <f t="shared" si="27"/>
        <v>0</v>
      </c>
      <c r="AD89" s="189">
        <f t="shared" si="27"/>
        <v>0</v>
      </c>
      <c r="AE89" s="189">
        <f t="shared" si="27"/>
        <v>0</v>
      </c>
    </row>
    <row r="90" spans="1:31" x14ac:dyDescent="0.25">
      <c r="A90" s="4"/>
      <c r="B90" s="3"/>
      <c r="F90" s="31"/>
      <c r="G90" s="31"/>
      <c r="H90" s="31"/>
      <c r="I90" s="31"/>
      <c r="K90"/>
    </row>
    <row r="91" spans="1:31" s="145" customFormat="1" ht="20.25" customHeight="1" x14ac:dyDescent="0.25">
      <c r="A91" s="187"/>
      <c r="B91" s="188"/>
      <c r="C91" s="186" t="s">
        <v>179</v>
      </c>
      <c r="D91" s="189">
        <f>+D82+D89</f>
        <v>0</v>
      </c>
      <c r="E91" s="189">
        <f t="shared" ref="E91:M91" si="28">+E82+E89</f>
        <v>-2048936.8710000527</v>
      </c>
      <c r="F91" s="189">
        <f t="shared" si="28"/>
        <v>0</v>
      </c>
      <c r="G91" s="189">
        <f t="shared" si="28"/>
        <v>-8103.9200000001583</v>
      </c>
      <c r="H91" s="189">
        <f t="shared" si="28"/>
        <v>0</v>
      </c>
      <c r="I91" s="189">
        <f t="shared" si="28"/>
        <v>-13388490.264999993</v>
      </c>
      <c r="J91" s="189">
        <f t="shared" si="28"/>
        <v>0</v>
      </c>
      <c r="K91" s="189">
        <f t="shared" si="28"/>
        <v>-14095723.388000002</v>
      </c>
      <c r="L91" s="189">
        <f t="shared" si="28"/>
        <v>0</v>
      </c>
      <c r="M91" s="189">
        <f t="shared" si="28"/>
        <v>19613516.814999994</v>
      </c>
      <c r="N91" s="189">
        <f t="shared" ref="N91:AE91" si="29">+N82+N89</f>
        <v>0</v>
      </c>
      <c r="O91" s="189">
        <f t="shared" si="29"/>
        <v>7462998.7649999987</v>
      </c>
      <c r="P91" s="189">
        <f t="shared" si="29"/>
        <v>0</v>
      </c>
      <c r="Q91" s="189">
        <f t="shared" si="29"/>
        <v>-3146912.0279999962</v>
      </c>
      <c r="R91" s="189">
        <f t="shared" si="29"/>
        <v>0</v>
      </c>
      <c r="S91" s="189">
        <f t="shared" si="29"/>
        <v>-450577.38499999815</v>
      </c>
      <c r="T91" s="189">
        <f t="shared" si="29"/>
        <v>0</v>
      </c>
      <c r="U91" s="189">
        <f t="shared" si="29"/>
        <v>406307.60499999829</v>
      </c>
      <c r="V91" s="189">
        <f t="shared" si="29"/>
        <v>0</v>
      </c>
      <c r="W91" s="189">
        <f t="shared" si="29"/>
        <v>705590.07000000007</v>
      </c>
      <c r="X91" s="189">
        <f t="shared" si="29"/>
        <v>0</v>
      </c>
      <c r="Y91" s="189">
        <f t="shared" si="29"/>
        <v>852823.01500000176</v>
      </c>
      <c r="Z91" s="189">
        <f t="shared" si="29"/>
        <v>0</v>
      </c>
      <c r="AA91" s="189">
        <f t="shared" si="29"/>
        <v>-366.15500000000065</v>
      </c>
      <c r="AB91" s="189">
        <f t="shared" si="29"/>
        <v>0</v>
      </c>
      <c r="AC91" s="189">
        <f t="shared" si="29"/>
        <v>0</v>
      </c>
      <c r="AD91" s="189">
        <f t="shared" si="29"/>
        <v>0</v>
      </c>
      <c r="AE91" s="189">
        <f t="shared" si="29"/>
        <v>0</v>
      </c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P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5" customWidth="1"/>
    <col min="12" max="27" width="15.44140625" customWidth="1"/>
    <col min="28" max="31" width="15.44140625" hidden="1" customWidth="1"/>
    <col min="75" max="92" width="0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84"/>
      <c r="E10" s="85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8925518</v>
      </c>
      <c r="E11" s="38">
        <f>SUM(G11,I11,K11,M11,O11,Q11,S11,U11,W11,Y11,AA11,AC11,AE11)</f>
        <v>20525622.540000003</v>
      </c>
      <c r="F11" s="58">
        <f>'TIE-OUT'!J11+RECLASS!J11</f>
        <v>1453427</v>
      </c>
      <c r="G11" s="15">
        <f>'TIE-OUT'!K11+RECLASS!K11</f>
        <v>3175978</v>
      </c>
      <c r="H11" s="129">
        <f>+Actuals!E44</f>
        <v>7522160</v>
      </c>
      <c r="I11" s="130">
        <f>+Actuals!F44</f>
        <v>17688225.700000003</v>
      </c>
      <c r="J11" s="129">
        <f>+Actuals!G44</f>
        <v>-113961</v>
      </c>
      <c r="K11" s="149">
        <f>+Actuals!H44</f>
        <v>-478597.72</v>
      </c>
      <c r="L11" s="129">
        <f>+Actuals!I44</f>
        <v>63612</v>
      </c>
      <c r="M11" s="130">
        <f>+Actuals!J44</f>
        <v>145567.41</v>
      </c>
      <c r="N11" s="129">
        <f>+Actuals!K44</f>
        <v>0</v>
      </c>
      <c r="O11" s="130">
        <f>+Actuals!L44</f>
        <v>0</v>
      </c>
      <c r="P11" s="129">
        <f>+Actuals!M44</f>
        <v>0</v>
      </c>
      <c r="Q11" s="130">
        <f>+Actuals!N44</f>
        <v>0</v>
      </c>
      <c r="R11" s="129">
        <f>+Actuals!O44</f>
        <v>0</v>
      </c>
      <c r="S11" s="130">
        <f>+Actuals!P44</f>
        <v>-5714.85</v>
      </c>
      <c r="T11" s="129">
        <f>+Actuals!Q44+70</f>
        <v>70</v>
      </c>
      <c r="U11" s="130">
        <f>+Actuals!R44+164</f>
        <v>164</v>
      </c>
      <c r="V11" s="129">
        <f>+Actuals!S44+70</f>
        <v>70</v>
      </c>
      <c r="W11" s="130">
        <f>+Actuals!T44</f>
        <v>0</v>
      </c>
      <c r="X11" s="129">
        <f>+Actuals!U44+70</f>
        <v>70</v>
      </c>
      <c r="Y11" s="130">
        <f>+Actuals!V44</f>
        <v>0</v>
      </c>
      <c r="Z11" s="129">
        <f>+Actuals!W44+70</f>
        <v>70</v>
      </c>
      <c r="AA11" s="130">
        <f>+Actuals!X44</f>
        <v>0</v>
      </c>
      <c r="AB11" s="129">
        <f>+Actuals!Y44</f>
        <v>0</v>
      </c>
      <c r="AC11" s="130">
        <f>+Actuals!Z44</f>
        <v>0</v>
      </c>
      <c r="AD11" s="129">
        <f>+Actuals!AA44</f>
        <v>0</v>
      </c>
      <c r="AE11" s="130">
        <f>+Actuals!AB44</f>
        <v>0</v>
      </c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-28437.46</v>
      </c>
      <c r="F12" s="58">
        <f>'TIE-OUT'!J12+RECLASS!J12</f>
        <v>0</v>
      </c>
      <c r="G12" s="15">
        <f>'TIE-OUT'!K12+RECLASS!K12</f>
        <v>-28437.46</v>
      </c>
      <c r="H12" s="129">
        <f>+Actuals!E45</f>
        <v>0</v>
      </c>
      <c r="I12" s="130">
        <f>+Actuals!F45</f>
        <v>0</v>
      </c>
      <c r="J12" s="129">
        <f>+Actuals!G45</f>
        <v>0</v>
      </c>
      <c r="K12" s="162">
        <f>+Actuals!H45</f>
        <v>0</v>
      </c>
      <c r="L12" s="129">
        <f>+Actuals!I45</f>
        <v>0</v>
      </c>
      <c r="M12" s="130">
        <f>+Actuals!J45</f>
        <v>0</v>
      </c>
      <c r="N12" s="129">
        <f>+Actuals!K45</f>
        <v>0</v>
      </c>
      <c r="O12" s="130">
        <f>+Actuals!L45</f>
        <v>0</v>
      </c>
      <c r="P12" s="129">
        <f>+Actuals!M45</f>
        <v>0</v>
      </c>
      <c r="Q12" s="130">
        <f>+Actuals!N45</f>
        <v>0</v>
      </c>
      <c r="R12" s="129">
        <f>+Actuals!O45</f>
        <v>0</v>
      </c>
      <c r="S12" s="130">
        <f>+Actuals!P45</f>
        <v>0</v>
      </c>
      <c r="T12" s="129">
        <f>+Actuals!Q45</f>
        <v>0</v>
      </c>
      <c r="U12" s="130">
        <f>+Actuals!R45</f>
        <v>0</v>
      </c>
      <c r="V12" s="129">
        <f>+Actuals!S45</f>
        <v>0</v>
      </c>
      <c r="W12" s="130">
        <f>+Actuals!T45</f>
        <v>0</v>
      </c>
      <c r="X12" s="129">
        <f>+Actuals!U45</f>
        <v>0</v>
      </c>
      <c r="Y12" s="130">
        <f>+Actuals!V45</f>
        <v>0</v>
      </c>
      <c r="Z12" s="129">
        <f>+Actuals!W45</f>
        <v>0</v>
      </c>
      <c r="AA12" s="130">
        <f>+Actuals!X45</f>
        <v>0</v>
      </c>
      <c r="AB12" s="129">
        <f>+Actuals!Y45</f>
        <v>0</v>
      </c>
      <c r="AC12" s="130">
        <f>+Actuals!Z45</f>
        <v>0</v>
      </c>
      <c r="AD12" s="129">
        <f>+Actuals!AA45</f>
        <v>0</v>
      </c>
      <c r="AE12" s="130">
        <f>+Actuals!AB45</f>
        <v>0</v>
      </c>
    </row>
    <row r="13" spans="1:31" x14ac:dyDescent="0.25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9">
        <f>+Actuals!E46</f>
        <v>0</v>
      </c>
      <c r="I13" s="130">
        <f>+Actuals!F46</f>
        <v>0</v>
      </c>
      <c r="J13" s="129">
        <f>+Actuals!G46</f>
        <v>0</v>
      </c>
      <c r="K13" s="149">
        <f>+Actuals!H46</f>
        <v>0</v>
      </c>
      <c r="L13" s="129">
        <f>+Actuals!I46</f>
        <v>0</v>
      </c>
      <c r="M13" s="130">
        <f>+Actuals!J46</f>
        <v>0</v>
      </c>
      <c r="N13" s="129">
        <f>+Actuals!K46</f>
        <v>0</v>
      </c>
      <c r="O13" s="130">
        <f>+Actuals!L46</f>
        <v>0</v>
      </c>
      <c r="P13" s="129">
        <f>+Actuals!M46</f>
        <v>0</v>
      </c>
      <c r="Q13" s="130">
        <f>+Actuals!N46</f>
        <v>0</v>
      </c>
      <c r="R13" s="129">
        <f>+Actuals!O46</f>
        <v>0</v>
      </c>
      <c r="S13" s="130">
        <f>+Actuals!P46</f>
        <v>0</v>
      </c>
      <c r="T13" s="129">
        <f>+Actuals!Q46</f>
        <v>0</v>
      </c>
      <c r="U13" s="130">
        <f>+Actuals!R46</f>
        <v>0</v>
      </c>
      <c r="V13" s="129">
        <f>+Actuals!S46</f>
        <v>0</v>
      </c>
      <c r="W13" s="130">
        <f>+Actuals!T46</f>
        <v>0</v>
      </c>
      <c r="X13" s="129">
        <f>+Actuals!U46</f>
        <v>0</v>
      </c>
      <c r="Y13" s="130">
        <f>+Actuals!V46</f>
        <v>0</v>
      </c>
      <c r="Z13" s="129">
        <f>+Actuals!W46</f>
        <v>0</v>
      </c>
      <c r="AA13" s="130">
        <f>+Actuals!X46</f>
        <v>0</v>
      </c>
      <c r="AB13" s="129">
        <f>+Actuals!Y46</f>
        <v>0</v>
      </c>
      <c r="AC13" s="130">
        <f>+Actuals!Z46</f>
        <v>0</v>
      </c>
      <c r="AD13" s="129">
        <f>+Actuals!AA46</f>
        <v>0</v>
      </c>
      <c r="AE13" s="130">
        <f>+Actuals!AB46</f>
        <v>0</v>
      </c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9">
        <f>+Actuals!E47</f>
        <v>0</v>
      </c>
      <c r="I14" s="130">
        <f>+Actuals!F47</f>
        <v>0</v>
      </c>
      <c r="J14" s="129">
        <f>+Actuals!G47</f>
        <v>0</v>
      </c>
      <c r="K14" s="149">
        <f>+Actuals!H47</f>
        <v>0</v>
      </c>
      <c r="L14" s="129">
        <f>+Actuals!I47</f>
        <v>0</v>
      </c>
      <c r="M14" s="130">
        <f>+Actuals!J47</f>
        <v>0</v>
      </c>
      <c r="N14" s="129">
        <f>+Actuals!K47</f>
        <v>0</v>
      </c>
      <c r="O14" s="130">
        <f>+Actuals!L47</f>
        <v>0</v>
      </c>
      <c r="P14" s="129">
        <f>+Actuals!M47</f>
        <v>0</v>
      </c>
      <c r="Q14" s="130">
        <f>+Actuals!N47</f>
        <v>0</v>
      </c>
      <c r="R14" s="129">
        <f>+Actuals!O47</f>
        <v>0</v>
      </c>
      <c r="S14" s="130">
        <f>+Actuals!P47</f>
        <v>0</v>
      </c>
      <c r="T14" s="129">
        <f>+Actuals!Q47</f>
        <v>0</v>
      </c>
      <c r="U14" s="130">
        <f>+Actuals!R47</f>
        <v>0</v>
      </c>
      <c r="V14" s="129">
        <f>+Actuals!S47</f>
        <v>0</v>
      </c>
      <c r="W14" s="130">
        <f>+Actuals!T47</f>
        <v>0</v>
      </c>
      <c r="X14" s="129">
        <f>+Actuals!U47</f>
        <v>0</v>
      </c>
      <c r="Y14" s="130">
        <f>+Actuals!V47</f>
        <v>0</v>
      </c>
      <c r="Z14" s="129">
        <f>+Actuals!W47</f>
        <v>0</v>
      </c>
      <c r="AA14" s="130">
        <f>+Actuals!X47</f>
        <v>0</v>
      </c>
      <c r="AB14" s="129">
        <f>+Actuals!Y47</f>
        <v>0</v>
      </c>
      <c r="AC14" s="130">
        <f>+Actuals!Z47</f>
        <v>0</v>
      </c>
      <c r="AD14" s="129">
        <f>+Actuals!AA47</f>
        <v>0</v>
      </c>
      <c r="AE14" s="130">
        <f>+Actuals!AB47</f>
        <v>0</v>
      </c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9">
        <f>+Actuals!E48</f>
        <v>0</v>
      </c>
      <c r="I15" s="130">
        <f>+Actuals!F48</f>
        <v>0</v>
      </c>
      <c r="J15" s="129">
        <f>+Actuals!G48</f>
        <v>0</v>
      </c>
      <c r="K15" s="149">
        <f>+Actuals!H48</f>
        <v>0</v>
      </c>
      <c r="L15" s="129">
        <f>+Actuals!I48</f>
        <v>0</v>
      </c>
      <c r="M15" s="130">
        <f>+Actuals!J48</f>
        <v>0</v>
      </c>
      <c r="N15" s="129">
        <f>+Actuals!K48</f>
        <v>0</v>
      </c>
      <c r="O15" s="130">
        <f>+Actuals!L48</f>
        <v>0</v>
      </c>
      <c r="P15" s="129">
        <f>+Actuals!M48</f>
        <v>0</v>
      </c>
      <c r="Q15" s="130">
        <f>+Actuals!N48</f>
        <v>0</v>
      </c>
      <c r="R15" s="129">
        <f>+Actuals!O48</f>
        <v>0</v>
      </c>
      <c r="S15" s="130">
        <f>+Actuals!P48</f>
        <v>0</v>
      </c>
      <c r="T15" s="129">
        <f>+Actuals!Q48</f>
        <v>0</v>
      </c>
      <c r="U15" s="130">
        <f>+Actuals!R48</f>
        <v>0</v>
      </c>
      <c r="V15" s="129">
        <f>+Actuals!S48</f>
        <v>0</v>
      </c>
      <c r="W15" s="130">
        <f>+Actuals!T48</f>
        <v>0</v>
      </c>
      <c r="X15" s="129">
        <f>+Actuals!U48</f>
        <v>0</v>
      </c>
      <c r="Y15" s="130">
        <f>+Actuals!V48</f>
        <v>0</v>
      </c>
      <c r="Z15" s="129">
        <f>+Actuals!W48</f>
        <v>0</v>
      </c>
      <c r="AA15" s="130">
        <f>+Actuals!X48</f>
        <v>0</v>
      </c>
      <c r="AB15" s="129">
        <f>+Actuals!Y48</f>
        <v>0</v>
      </c>
      <c r="AC15" s="130">
        <f>+Actuals!Z48</f>
        <v>0</v>
      </c>
      <c r="AD15" s="129">
        <f>+Actuals!AA48</f>
        <v>0</v>
      </c>
      <c r="AE15" s="130">
        <f>+Actuals!AB48</f>
        <v>0</v>
      </c>
    </row>
    <row r="16" spans="1:31" x14ac:dyDescent="0.25">
      <c r="A16" s="9"/>
      <c r="B16" s="7" t="s">
        <v>31</v>
      </c>
      <c r="C16" s="6"/>
      <c r="D16" s="61">
        <f>SUM(D11:D15)</f>
        <v>8925518</v>
      </c>
      <c r="E16" s="39">
        <f>SUM(E11:E15)</f>
        <v>20497185.080000002</v>
      </c>
      <c r="F16" s="59">
        <f t="shared" ref="F16:AE16" si="1">SUM(F11:F15)</f>
        <v>1453427</v>
      </c>
      <c r="G16" s="23">
        <f t="shared" si="1"/>
        <v>3147540.54</v>
      </c>
      <c r="H16" s="61">
        <f t="shared" si="1"/>
        <v>7522160</v>
      </c>
      <c r="I16" s="39">
        <f t="shared" si="1"/>
        <v>17688225.700000003</v>
      </c>
      <c r="J16" s="61">
        <f t="shared" si="1"/>
        <v>-113961</v>
      </c>
      <c r="K16" s="150">
        <f t="shared" si="1"/>
        <v>-478597.72</v>
      </c>
      <c r="L16" s="61">
        <f t="shared" si="1"/>
        <v>63612</v>
      </c>
      <c r="M16" s="39">
        <f t="shared" si="1"/>
        <v>145567.41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-5714.85</v>
      </c>
      <c r="T16" s="61">
        <f t="shared" si="1"/>
        <v>70</v>
      </c>
      <c r="U16" s="39">
        <f t="shared" si="1"/>
        <v>164</v>
      </c>
      <c r="V16" s="61">
        <f t="shared" ref="V16:AA16" si="2">SUM(V11:V15)</f>
        <v>70</v>
      </c>
      <c r="W16" s="39">
        <f t="shared" si="2"/>
        <v>0</v>
      </c>
      <c r="X16" s="61">
        <f t="shared" si="2"/>
        <v>70</v>
      </c>
      <c r="Y16" s="39">
        <f t="shared" si="2"/>
        <v>0</v>
      </c>
      <c r="Z16" s="61">
        <f t="shared" si="2"/>
        <v>70</v>
      </c>
      <c r="AA16" s="39">
        <f t="shared" si="2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58"/>
      <c r="G18" s="15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-2408378</v>
      </c>
      <c r="E19" s="38">
        <f t="shared" si="3"/>
        <v>-5309603.37</v>
      </c>
      <c r="F19" s="84">
        <f>'TIE-OUT'!J19+RECLASS!J19</f>
        <v>-1453427</v>
      </c>
      <c r="G19" s="85">
        <f>'TIE-OUT'!K19+RECLASS!K19</f>
        <v>-3175978</v>
      </c>
      <c r="H19" s="129">
        <f>+Actuals!E49</f>
        <v>-1152736</v>
      </c>
      <c r="I19" s="130">
        <f>+Actuals!F49</f>
        <v>-2581453.0299999998</v>
      </c>
      <c r="J19" s="129">
        <f>+Actuals!G49</f>
        <v>197396</v>
      </c>
      <c r="K19" s="149">
        <f>+Actuals!H49</f>
        <v>446259.79</v>
      </c>
      <c r="L19" s="129">
        <f>+Actuals!I49</f>
        <v>389</v>
      </c>
      <c r="M19" s="130">
        <f>+Actuals!J49</f>
        <v>1119.3800000000001</v>
      </c>
      <c r="N19" s="129">
        <f>+Actuals!K49</f>
        <v>0</v>
      </c>
      <c r="O19" s="130">
        <f>+Actuals!L49+374</f>
        <v>374</v>
      </c>
      <c r="P19" s="129">
        <f>+Actuals!M49</f>
        <v>0</v>
      </c>
      <c r="Q19" s="130">
        <f>+Actuals!N49</f>
        <v>81.849999999999994</v>
      </c>
      <c r="R19" s="129">
        <f>+Actuals!O49</f>
        <v>0</v>
      </c>
      <c r="S19" s="130">
        <f>+Actuals!P49</f>
        <v>0</v>
      </c>
      <c r="T19" s="129">
        <f>+Actuals!Q49</f>
        <v>0</v>
      </c>
      <c r="U19" s="130">
        <f>+Actuals!R49</f>
        <v>-7.36</v>
      </c>
      <c r="V19" s="129">
        <f>+Actuals!S49</f>
        <v>0</v>
      </c>
      <c r="W19" s="130">
        <f>+Actuals!T49</f>
        <v>0</v>
      </c>
      <c r="X19" s="129">
        <f>+Actuals!U49</f>
        <v>0</v>
      </c>
      <c r="Y19" s="130">
        <f>+Actuals!V49</f>
        <v>0</v>
      </c>
      <c r="Z19" s="129">
        <f>+Actuals!W49</f>
        <v>0</v>
      </c>
      <c r="AA19" s="130">
        <f>+Actuals!X49</f>
        <v>0</v>
      </c>
      <c r="AB19" s="129">
        <f>+Actuals!Y49</f>
        <v>0</v>
      </c>
      <c r="AC19" s="130">
        <f>+Actuals!Z49</f>
        <v>0</v>
      </c>
      <c r="AD19" s="129">
        <f>+Actuals!AA49</f>
        <v>0</v>
      </c>
      <c r="AE19" s="130">
        <f>+Actuals!AB49</f>
        <v>0</v>
      </c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0</v>
      </c>
      <c r="F20" s="58">
        <f>'TIE-OUT'!J20+RECLASS!J20</f>
        <v>0</v>
      </c>
      <c r="G20" s="15">
        <f>'TIE-OUT'!K20+RECLASS!K20</f>
        <v>0</v>
      </c>
      <c r="H20" s="129">
        <f>+Actuals!E50</f>
        <v>0</v>
      </c>
      <c r="I20" s="130">
        <f>+Actuals!F50</f>
        <v>0</v>
      </c>
      <c r="J20" s="129">
        <f>+Actuals!G50</f>
        <v>0</v>
      </c>
      <c r="K20" s="149">
        <f>+Actuals!H50</f>
        <v>0</v>
      </c>
      <c r="L20" s="129">
        <f>+Actuals!I50</f>
        <v>0</v>
      </c>
      <c r="M20" s="130">
        <f>+Actuals!J50</f>
        <v>0</v>
      </c>
      <c r="N20" s="129">
        <f>+Actuals!K50</f>
        <v>0</v>
      </c>
      <c r="O20" s="130">
        <f>+Actuals!L50</f>
        <v>0</v>
      </c>
      <c r="P20" s="129">
        <f>+Actuals!M50</f>
        <v>0</v>
      </c>
      <c r="Q20" s="130">
        <f>+Actuals!N50</f>
        <v>0</v>
      </c>
      <c r="R20" s="129">
        <f>+Actuals!O50</f>
        <v>0</v>
      </c>
      <c r="S20" s="130">
        <f>+Actuals!P50</f>
        <v>0</v>
      </c>
      <c r="T20" s="129">
        <f>+Actuals!Q50</f>
        <v>0</v>
      </c>
      <c r="U20" s="130">
        <f>+Actuals!R50</f>
        <v>0</v>
      </c>
      <c r="V20" s="129">
        <f>+Actuals!S50</f>
        <v>0</v>
      </c>
      <c r="W20" s="130">
        <f>+Actuals!T50</f>
        <v>0</v>
      </c>
      <c r="X20" s="129">
        <f>+Actuals!U50</f>
        <v>0</v>
      </c>
      <c r="Y20" s="130">
        <f>+Actuals!V50</f>
        <v>0</v>
      </c>
      <c r="Z20" s="129">
        <f>+Actuals!W50</f>
        <v>0</v>
      </c>
      <c r="AA20" s="130">
        <f>+Actuals!X50</f>
        <v>0</v>
      </c>
      <c r="AB20" s="129">
        <f>+Actuals!Y50</f>
        <v>0</v>
      </c>
      <c r="AC20" s="130">
        <f>+Actuals!Z50</f>
        <v>0</v>
      </c>
      <c r="AD20" s="129">
        <f>+Actuals!AA50</f>
        <v>0</v>
      </c>
      <c r="AE20" s="130">
        <f>+Actuals!AB50</f>
        <v>0</v>
      </c>
    </row>
    <row r="21" spans="1:31" x14ac:dyDescent="0.25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9">
        <f>+Actuals!E51</f>
        <v>0</v>
      </c>
      <c r="I21" s="130">
        <f>+Actuals!F51</f>
        <v>0</v>
      </c>
      <c r="J21" s="129">
        <f>+Actuals!G51</f>
        <v>0</v>
      </c>
      <c r="K21" s="149">
        <f>+Actuals!H51</f>
        <v>0</v>
      </c>
      <c r="L21" s="129">
        <f>+Actuals!I51</f>
        <v>0</v>
      </c>
      <c r="M21" s="130">
        <f>+Actuals!J51</f>
        <v>0</v>
      </c>
      <c r="N21" s="129">
        <f>+Actuals!K51</f>
        <v>0</v>
      </c>
      <c r="O21" s="130">
        <f>+Actuals!L51</f>
        <v>0</v>
      </c>
      <c r="P21" s="129">
        <f>+Actuals!M51</f>
        <v>0</v>
      </c>
      <c r="Q21" s="130">
        <f>+Actuals!N51</f>
        <v>0</v>
      </c>
      <c r="R21" s="129">
        <f>+Actuals!O51</f>
        <v>0</v>
      </c>
      <c r="S21" s="130">
        <f>+Actuals!P51</f>
        <v>0</v>
      </c>
      <c r="T21" s="129">
        <f>+Actuals!Q51</f>
        <v>0</v>
      </c>
      <c r="U21" s="130">
        <f>+Actuals!R51</f>
        <v>0</v>
      </c>
      <c r="V21" s="129">
        <f>+Actuals!S51</f>
        <v>0</v>
      </c>
      <c r="W21" s="130">
        <f>+Actuals!T51</f>
        <v>0</v>
      </c>
      <c r="X21" s="129">
        <f>+Actuals!U51</f>
        <v>0</v>
      </c>
      <c r="Y21" s="130">
        <f>+Actuals!V51</f>
        <v>0</v>
      </c>
      <c r="Z21" s="129">
        <f>+Actuals!W51</f>
        <v>0</v>
      </c>
      <c r="AA21" s="130">
        <f>+Actuals!X51</f>
        <v>0</v>
      </c>
      <c r="AB21" s="129">
        <f>+Actuals!Y51</f>
        <v>0</v>
      </c>
      <c r="AC21" s="130">
        <f>+Actuals!Z51</f>
        <v>0</v>
      </c>
      <c r="AD21" s="129">
        <f>+Actuals!AA51</f>
        <v>0</v>
      </c>
      <c r="AE21" s="130">
        <f>+Actuals!AB51</f>
        <v>0</v>
      </c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9">
        <f>+Actuals!E52</f>
        <v>0</v>
      </c>
      <c r="I22" s="130">
        <f>+Actuals!F52</f>
        <v>0</v>
      </c>
      <c r="J22" s="129">
        <f>+Actuals!G52</f>
        <v>0</v>
      </c>
      <c r="K22" s="149">
        <f>+Actuals!H52</f>
        <v>0</v>
      </c>
      <c r="L22" s="129">
        <f>+Actuals!I52</f>
        <v>0</v>
      </c>
      <c r="M22" s="130">
        <f>+Actuals!J52</f>
        <v>0</v>
      </c>
      <c r="N22" s="129">
        <f>+Actuals!K52</f>
        <v>0</v>
      </c>
      <c r="O22" s="130">
        <f>+Actuals!L52</f>
        <v>0</v>
      </c>
      <c r="P22" s="129">
        <f>+Actuals!M52</f>
        <v>0</v>
      </c>
      <c r="Q22" s="130">
        <f>+Actuals!N52</f>
        <v>0</v>
      </c>
      <c r="R22" s="129">
        <f>+Actuals!O52</f>
        <v>0</v>
      </c>
      <c r="S22" s="130">
        <f>+Actuals!P52</f>
        <v>0</v>
      </c>
      <c r="T22" s="129">
        <f>+Actuals!Q52</f>
        <v>0</v>
      </c>
      <c r="U22" s="130">
        <f>+Actuals!R52</f>
        <v>0</v>
      </c>
      <c r="V22" s="129">
        <f>+Actuals!S52</f>
        <v>0</v>
      </c>
      <c r="W22" s="130">
        <f>+Actuals!T52</f>
        <v>0</v>
      </c>
      <c r="X22" s="129">
        <f>+Actuals!U52</f>
        <v>0</v>
      </c>
      <c r="Y22" s="130">
        <f>+Actuals!V52</f>
        <v>0</v>
      </c>
      <c r="Z22" s="129">
        <f>+Actuals!W52</f>
        <v>0</v>
      </c>
      <c r="AA22" s="130">
        <f>+Actuals!X52</f>
        <v>0</v>
      </c>
      <c r="AB22" s="129">
        <f>+Actuals!Y52</f>
        <v>0</v>
      </c>
      <c r="AC22" s="130">
        <f>+Actuals!Z52</f>
        <v>0</v>
      </c>
      <c r="AD22" s="129">
        <f>+Actuals!AA52</f>
        <v>0</v>
      </c>
      <c r="AE22" s="130">
        <f>+Actuals!AB52</f>
        <v>0</v>
      </c>
    </row>
    <row r="23" spans="1:31" x14ac:dyDescent="0.25">
      <c r="A23" s="9">
        <v>10</v>
      </c>
      <c r="B23" s="7"/>
      <c r="C23" s="18" t="s">
        <v>33</v>
      </c>
      <c r="D23" s="60">
        <f t="shared" si="3"/>
        <v>1511</v>
      </c>
      <c r="E23" s="38">
        <f t="shared" si="3"/>
        <v>4844.4799999999959</v>
      </c>
      <c r="F23" s="98">
        <f>'TIE-OUT'!J23+RECLASS!J23</f>
        <v>0</v>
      </c>
      <c r="G23" s="99">
        <f>'TIE-OUT'!K23+RECLASS!K23</f>
        <v>0</v>
      </c>
      <c r="H23" s="129">
        <f>+Actuals!E53</f>
        <v>0</v>
      </c>
      <c r="I23" s="130">
        <f>+Actuals!F53</f>
        <v>0</v>
      </c>
      <c r="J23" s="129">
        <f>+Actuals!G53+6057</f>
        <v>24792</v>
      </c>
      <c r="K23" s="149">
        <f>+Actuals!H53+13795</f>
        <v>56463.21</v>
      </c>
      <c r="L23" s="129">
        <f>+Actuals!I53</f>
        <v>0</v>
      </c>
      <c r="M23" s="130">
        <f>+Actuals!J53</f>
        <v>0</v>
      </c>
      <c r="N23" s="129">
        <f>+Actuals!K53</f>
        <v>-921</v>
      </c>
      <c r="O23" s="130">
        <f>+Actuals!L53</f>
        <v>-1755.93</v>
      </c>
      <c r="P23" s="129">
        <f>+Actuals!M53</f>
        <v>0</v>
      </c>
      <c r="Q23" s="130">
        <f>+Actuals!N53</f>
        <v>0</v>
      </c>
      <c r="R23" s="129">
        <f>+Actuals!O53</f>
        <v>0</v>
      </c>
      <c r="S23" s="130">
        <f>+Actuals!P53</f>
        <v>0</v>
      </c>
      <c r="T23" s="129">
        <f>+Actuals!Q53</f>
        <v>0</v>
      </c>
      <c r="U23" s="130">
        <f>+Actuals!R53</f>
        <v>0</v>
      </c>
      <c r="V23" s="129">
        <f>+Actuals!S53</f>
        <v>0</v>
      </c>
      <c r="W23" s="130">
        <f>+Actuals!T53</f>
        <v>0</v>
      </c>
      <c r="X23" s="129">
        <f>+Actuals!U53</f>
        <v>-22360</v>
      </c>
      <c r="Y23" s="130">
        <f>+Actuals!V53</f>
        <v>-49862.8</v>
      </c>
      <c r="Z23" s="129">
        <f>+Actuals!W53</f>
        <v>0</v>
      </c>
      <c r="AA23" s="130">
        <f>+Actuals!X53</f>
        <v>0</v>
      </c>
      <c r="AB23" s="129">
        <f>+Actuals!Y53</f>
        <v>0</v>
      </c>
      <c r="AC23" s="130">
        <f>+Actuals!Z53</f>
        <v>0</v>
      </c>
      <c r="AD23" s="129">
        <f>+Actuals!AA53</f>
        <v>0</v>
      </c>
      <c r="AE23" s="130">
        <f>+Actuals!AB53</f>
        <v>0</v>
      </c>
    </row>
    <row r="24" spans="1:31" x14ac:dyDescent="0.25">
      <c r="A24" s="9"/>
      <c r="B24" s="7" t="s">
        <v>34</v>
      </c>
      <c r="C24" s="6"/>
      <c r="D24" s="61">
        <f>SUM(D19:D23)</f>
        <v>-2406867</v>
      </c>
      <c r="E24" s="39">
        <f>SUM(E19:E23)</f>
        <v>-5304758.8899999997</v>
      </c>
      <c r="F24" s="59">
        <f t="shared" ref="F24:AE24" si="4">SUM(F19:F23)</f>
        <v>-1453427</v>
      </c>
      <c r="G24" s="23">
        <f t="shared" si="4"/>
        <v>-3175978</v>
      </c>
      <c r="H24" s="61">
        <f t="shared" si="4"/>
        <v>-1152736</v>
      </c>
      <c r="I24" s="39">
        <f t="shared" si="4"/>
        <v>-2581453.0299999998</v>
      </c>
      <c r="J24" s="61">
        <f t="shared" si="4"/>
        <v>222188</v>
      </c>
      <c r="K24" s="150">
        <f t="shared" si="4"/>
        <v>502723</v>
      </c>
      <c r="L24" s="61">
        <f t="shared" si="4"/>
        <v>389</v>
      </c>
      <c r="M24" s="39">
        <f t="shared" si="4"/>
        <v>1119.3800000000001</v>
      </c>
      <c r="N24" s="61">
        <f t="shared" si="4"/>
        <v>-921</v>
      </c>
      <c r="O24" s="39">
        <f t="shared" si="4"/>
        <v>-1381.93</v>
      </c>
      <c r="P24" s="61">
        <f t="shared" si="4"/>
        <v>0</v>
      </c>
      <c r="Q24" s="39">
        <f t="shared" si="4"/>
        <v>81.849999999999994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-7.36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-22360</v>
      </c>
      <c r="Y24" s="39">
        <f t="shared" si="5"/>
        <v>-49862.8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58"/>
      <c r="G26" s="15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2241419</v>
      </c>
      <c r="E27" s="38">
        <f>SUM(G27,I27,K27,M27,O27,Q27,S27,U27,W27,Y27,AA27,AC27,AE27)</f>
        <v>5133228.1099999994</v>
      </c>
      <c r="F27" s="84">
        <f>'TIE-OUT'!J27+RECLASS!J27</f>
        <v>0</v>
      </c>
      <c r="G27" s="85">
        <f>'TIE-OUT'!K27+RECLASS!K27</f>
        <v>0</v>
      </c>
      <c r="H27" s="129">
        <f>+Actuals!E54</f>
        <v>2505721</v>
      </c>
      <c r="I27" s="130">
        <f>+Actuals!F54</f>
        <v>5680484.79</v>
      </c>
      <c r="J27" s="129">
        <f>+Actuals!G54+378</f>
        <v>-7338</v>
      </c>
      <c r="K27" s="149">
        <f>+Actuals!H54+973</f>
        <v>21148.07</v>
      </c>
      <c r="L27" s="129">
        <f>+Actuals!I54</f>
        <v>-219615</v>
      </c>
      <c r="M27" s="130">
        <f>+Actuals!J54</f>
        <v>-494155.74</v>
      </c>
      <c r="N27" s="129">
        <f>+Actuals!K54+66720</f>
        <v>58205</v>
      </c>
      <c r="O27" s="130">
        <f>+Actuals!L54+160505</f>
        <v>145727.6</v>
      </c>
      <c r="P27" s="129">
        <f>+Actuals!M54</f>
        <v>-136215</v>
      </c>
      <c r="Q27" s="130">
        <f>+Actuals!N54</f>
        <v>-291542.62</v>
      </c>
      <c r="R27" s="129">
        <f>+Actuals!O54</f>
        <v>37736</v>
      </c>
      <c r="S27" s="130">
        <f>+Actuals!P54</f>
        <v>91753.37</v>
      </c>
      <c r="T27" s="129">
        <f>+Actuals!Q54</f>
        <v>31975</v>
      </c>
      <c r="U27" s="130">
        <f>+Actuals!R54</f>
        <v>60288.92</v>
      </c>
      <c r="V27" s="129">
        <f>+Actuals!S54</f>
        <v>6963</v>
      </c>
      <c r="W27" s="130">
        <f>+Actuals!T54</f>
        <v>-80476.28</v>
      </c>
      <c r="X27" s="129">
        <f>+Actuals!U54</f>
        <v>-29050</v>
      </c>
      <c r="Y27" s="130">
        <f>+Actuals!V54</f>
        <v>4534.6700000000128</v>
      </c>
      <c r="Z27" s="129">
        <f>+Actuals!W54</f>
        <v>-6963</v>
      </c>
      <c r="AA27" s="130">
        <f>+Actuals!X54</f>
        <v>-4534.6700000000128</v>
      </c>
      <c r="AB27" s="129">
        <f>+Actuals!Y54</f>
        <v>0</v>
      </c>
      <c r="AC27" s="130">
        <f>+Actuals!Z54</f>
        <v>0</v>
      </c>
      <c r="AD27" s="129">
        <f>+Actuals!AA54</f>
        <v>0</v>
      </c>
      <c r="AE27" s="130">
        <f>+Actuals!AB54</f>
        <v>0</v>
      </c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-8634361</v>
      </c>
      <c r="E28" s="38">
        <f>SUM(G28,I28,K28,M28,O28,Q28,S28,U28,W28,Y28,AA28,AC28,AE28)</f>
        <v>-19707181.07</v>
      </c>
      <c r="F28" s="98">
        <f>'TIE-OUT'!J28+RECLASS!J28</f>
        <v>0</v>
      </c>
      <c r="G28" s="99">
        <f>'TIE-OUT'!K28+RECLASS!K28</f>
        <v>0</v>
      </c>
      <c r="H28" s="129">
        <f>+Actuals!E55</f>
        <v>-9017917</v>
      </c>
      <c r="I28" s="130">
        <f>+Actuals!F55</f>
        <v>-20598518.289999999</v>
      </c>
      <c r="J28" s="129">
        <f>+Actuals!G55-378-6057</f>
        <v>216450</v>
      </c>
      <c r="K28" s="149">
        <f>+Actuals!H55-973-13795</f>
        <v>871198.07</v>
      </c>
      <c r="L28" s="129">
        <f>+Actuals!I55</f>
        <v>180556</v>
      </c>
      <c r="M28" s="130">
        <f>+Actuals!J55</f>
        <v>79199.460000000006</v>
      </c>
      <c r="N28" s="129">
        <f>+Actuals!K55-66720</f>
        <v>-108794</v>
      </c>
      <c r="O28" s="130">
        <f>+Actuals!L55-160878</f>
        <v>-278762.01</v>
      </c>
      <c r="P28" s="129">
        <f>+Actuals!M55</f>
        <v>78278</v>
      </c>
      <c r="Q28" s="130">
        <f>+Actuals!N55</f>
        <v>162395.25</v>
      </c>
      <c r="R28" s="129">
        <f>+Actuals!O55</f>
        <v>31272</v>
      </c>
      <c r="S28" s="130">
        <f>+Actuals!P55</f>
        <v>66539.98</v>
      </c>
      <c r="T28" s="129">
        <f>+Actuals!Q55-70</f>
        <v>-7033</v>
      </c>
      <c r="U28" s="130">
        <f>+Actuals!R55-164</f>
        <v>-4698.6700000000128</v>
      </c>
      <c r="V28" s="129">
        <f>+Actuals!S55-70</f>
        <v>-7033</v>
      </c>
      <c r="W28" s="130">
        <f>+Actuals!T55</f>
        <v>-4534.8599999999997</v>
      </c>
      <c r="X28" s="129">
        <f>+Actuals!U55-70</f>
        <v>-7033</v>
      </c>
      <c r="Y28" s="130">
        <f>+Actuals!V55</f>
        <v>-4534.6700000000128</v>
      </c>
      <c r="Z28" s="129">
        <f>+Actuals!W55-70</f>
        <v>6893</v>
      </c>
      <c r="AA28" s="130">
        <f>+Actuals!X55</f>
        <v>4534.6700000000128</v>
      </c>
      <c r="AB28" s="129">
        <f>+Actuals!Y55</f>
        <v>0</v>
      </c>
      <c r="AC28" s="130">
        <f>+Actuals!Z55</f>
        <v>0</v>
      </c>
      <c r="AD28" s="129">
        <f>+Actuals!AA55</f>
        <v>0</v>
      </c>
      <c r="AE28" s="130">
        <f>+Actuals!AB55</f>
        <v>0</v>
      </c>
    </row>
    <row r="29" spans="1:31" x14ac:dyDescent="0.25">
      <c r="A29" s="9"/>
      <c r="B29" s="7" t="s">
        <v>38</v>
      </c>
      <c r="C29" s="18"/>
      <c r="D29" s="61">
        <f>SUM(D27:D28)</f>
        <v>-6392942</v>
      </c>
      <c r="E29" s="39">
        <f>SUM(E27:E28)</f>
        <v>-14573952.960000001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-6512196</v>
      </c>
      <c r="I29" s="39">
        <f t="shared" si="6"/>
        <v>-14918033.5</v>
      </c>
      <c r="J29" s="61">
        <f t="shared" si="6"/>
        <v>209112</v>
      </c>
      <c r="K29" s="150">
        <f t="shared" si="6"/>
        <v>892346.1399999999</v>
      </c>
      <c r="L29" s="61">
        <f t="shared" si="6"/>
        <v>-39059</v>
      </c>
      <c r="M29" s="39">
        <f t="shared" si="6"/>
        <v>-414956.27999999997</v>
      </c>
      <c r="N29" s="61">
        <f t="shared" si="6"/>
        <v>-50589</v>
      </c>
      <c r="O29" s="39">
        <f t="shared" si="6"/>
        <v>-133034.41</v>
      </c>
      <c r="P29" s="61">
        <f t="shared" si="6"/>
        <v>-57937</v>
      </c>
      <c r="Q29" s="39">
        <f t="shared" si="6"/>
        <v>-129147.37</v>
      </c>
      <c r="R29" s="61">
        <f t="shared" si="6"/>
        <v>69008</v>
      </c>
      <c r="S29" s="39">
        <f t="shared" si="6"/>
        <v>158293.34999999998</v>
      </c>
      <c r="T29" s="61">
        <f t="shared" si="6"/>
        <v>24942</v>
      </c>
      <c r="U29" s="39">
        <f t="shared" si="6"/>
        <v>55590.249999999985</v>
      </c>
      <c r="V29" s="61">
        <f t="shared" ref="V29:AA29" si="7">SUM(V27:V28)</f>
        <v>-70</v>
      </c>
      <c r="W29" s="39">
        <f t="shared" si="7"/>
        <v>-85011.14</v>
      </c>
      <c r="X29" s="61">
        <f t="shared" si="7"/>
        <v>-36083</v>
      </c>
      <c r="Y29" s="39">
        <f t="shared" si="7"/>
        <v>0</v>
      </c>
      <c r="Z29" s="61">
        <f t="shared" si="7"/>
        <v>-70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58"/>
      <c r="G31" s="15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65196</v>
      </c>
      <c r="E32" s="38">
        <f t="shared" si="8"/>
        <v>147668.93999999997</v>
      </c>
      <c r="F32" s="84">
        <f>'TIE-OUT'!J32+RECLASS!J32</f>
        <v>0</v>
      </c>
      <c r="G32" s="85">
        <f>'TIE-OUT'!K32+RECLASS!K32</f>
        <v>0</v>
      </c>
      <c r="H32" s="129">
        <f>+Actuals!E56</f>
        <v>0</v>
      </c>
      <c r="I32" s="130">
        <f>+Actuals!F56</f>
        <v>0</v>
      </c>
      <c r="J32" s="129">
        <f>+Actuals!G56</f>
        <v>66731</v>
      </c>
      <c r="K32" s="149">
        <f>+Actuals!H56</f>
        <v>151145.715</v>
      </c>
      <c r="L32" s="129">
        <f>+Actuals!I56</f>
        <v>-127605</v>
      </c>
      <c r="M32" s="130">
        <f>+Actuals!J56</f>
        <v>-310270.35100000002</v>
      </c>
      <c r="N32" s="129">
        <f>+Actuals!K56</f>
        <v>2106</v>
      </c>
      <c r="O32" s="130">
        <f>+Actuals!L56</f>
        <v>-11185.028</v>
      </c>
      <c r="P32" s="129">
        <f>+Actuals!M56</f>
        <v>0</v>
      </c>
      <c r="Q32" s="130">
        <f>+Actuals!N56</f>
        <v>37200.144</v>
      </c>
      <c r="R32" s="129">
        <f>+Actuals!O56</f>
        <v>-910</v>
      </c>
      <c r="S32" s="130">
        <f>+Actuals!P56</f>
        <v>-2061.15</v>
      </c>
      <c r="T32" s="129">
        <f>+Actuals!Q56</f>
        <v>0</v>
      </c>
      <c r="U32" s="130">
        <f>+Actuals!R56</f>
        <v>0</v>
      </c>
      <c r="V32" s="129">
        <f>+Actuals!S56</f>
        <v>102514</v>
      </c>
      <c r="W32" s="130">
        <f>+Actuals!T56</f>
        <v>232194.21</v>
      </c>
      <c r="X32" s="129">
        <f>+Actuals!U56</f>
        <v>22360</v>
      </c>
      <c r="Y32" s="130">
        <f>+Actuals!V56</f>
        <v>50645.4</v>
      </c>
      <c r="Z32" s="129">
        <f>+Actuals!W56</f>
        <v>0</v>
      </c>
      <c r="AA32" s="130">
        <f>+Actuals!X56</f>
        <v>0</v>
      </c>
      <c r="AB32" s="129">
        <f>+Actuals!Y56</f>
        <v>0</v>
      </c>
      <c r="AC32" s="130">
        <f>+Actuals!Z56</f>
        <v>0</v>
      </c>
      <c r="AD32" s="129">
        <f>+Actuals!AA56</f>
        <v>0</v>
      </c>
      <c r="AE32" s="130">
        <f>+Actuals!AB56</f>
        <v>0</v>
      </c>
    </row>
    <row r="33" spans="1:31" x14ac:dyDescent="0.25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9">
        <f>+Actuals!E57</f>
        <v>0</v>
      </c>
      <c r="I33" s="130">
        <f>+Actuals!F57</f>
        <v>0</v>
      </c>
      <c r="J33" s="129">
        <f>+Actuals!G57</f>
        <v>0</v>
      </c>
      <c r="K33" s="149">
        <f>+Actuals!H57</f>
        <v>0</v>
      </c>
      <c r="L33" s="129">
        <f>+Actuals!I57</f>
        <v>0</v>
      </c>
      <c r="M33" s="130">
        <f>+Actuals!J57</f>
        <v>0</v>
      </c>
      <c r="N33" s="129">
        <f>+Actuals!K57</f>
        <v>0</v>
      </c>
      <c r="O33" s="130">
        <f>+Actuals!L57</f>
        <v>0</v>
      </c>
      <c r="P33" s="129">
        <f>+Actuals!M57</f>
        <v>0</v>
      </c>
      <c r="Q33" s="130">
        <f>+Actuals!N57</f>
        <v>0</v>
      </c>
      <c r="R33" s="129">
        <f>+Actuals!O57</f>
        <v>0</v>
      </c>
      <c r="S33" s="130">
        <f>+Actuals!P57</f>
        <v>0</v>
      </c>
      <c r="T33" s="129">
        <f>+Actuals!Q57</f>
        <v>0</v>
      </c>
      <c r="U33" s="130">
        <f>+Actuals!R57</f>
        <v>0</v>
      </c>
      <c r="V33" s="129">
        <f>+Actuals!S57</f>
        <v>0</v>
      </c>
      <c r="W33" s="130">
        <f>+Actuals!T57</f>
        <v>0</v>
      </c>
      <c r="X33" s="129">
        <f>+Actuals!U57</f>
        <v>0</v>
      </c>
      <c r="Y33" s="130">
        <f>+Actuals!V57</f>
        <v>0</v>
      </c>
      <c r="Z33" s="129">
        <f>+Actuals!W57</f>
        <v>0</v>
      </c>
      <c r="AA33" s="130">
        <f>+Actuals!X57</f>
        <v>0</v>
      </c>
      <c r="AB33" s="129">
        <f>+Actuals!Y57</f>
        <v>0</v>
      </c>
      <c r="AC33" s="130">
        <f>+Actuals!Z57</f>
        <v>0</v>
      </c>
      <c r="AD33" s="129">
        <f>+Actuals!AA57</f>
        <v>0</v>
      </c>
      <c r="AE33" s="130">
        <f>+Actuals!AB57</f>
        <v>0</v>
      </c>
    </row>
    <row r="34" spans="1:31" x14ac:dyDescent="0.25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9">
        <f>+Actuals!E58</f>
        <v>0</v>
      </c>
      <c r="I34" s="130">
        <f>+Actuals!F58</f>
        <v>0</v>
      </c>
      <c r="J34" s="129">
        <f>+Actuals!G58</f>
        <v>0</v>
      </c>
      <c r="K34" s="149">
        <f>+Actuals!H58</f>
        <v>0</v>
      </c>
      <c r="L34" s="129">
        <f>+Actuals!I58</f>
        <v>0</v>
      </c>
      <c r="M34" s="130">
        <f>+Actuals!J58</f>
        <v>0</v>
      </c>
      <c r="N34" s="129">
        <f>+Actuals!K58</f>
        <v>0</v>
      </c>
      <c r="O34" s="130">
        <f>+Actuals!L58</f>
        <v>0</v>
      </c>
      <c r="P34" s="129">
        <f>+Actuals!M58</f>
        <v>0</v>
      </c>
      <c r="Q34" s="130">
        <f>+Actuals!N58</f>
        <v>0</v>
      </c>
      <c r="R34" s="129">
        <f>+Actuals!O58</f>
        <v>0</v>
      </c>
      <c r="S34" s="130">
        <f>+Actuals!P58</f>
        <v>0</v>
      </c>
      <c r="T34" s="129">
        <f>+Actuals!Q58</f>
        <v>0</v>
      </c>
      <c r="U34" s="130">
        <f>+Actuals!R58</f>
        <v>0</v>
      </c>
      <c r="V34" s="129">
        <f>+Actuals!S58</f>
        <v>0</v>
      </c>
      <c r="W34" s="130">
        <f>+Actuals!T58</f>
        <v>0</v>
      </c>
      <c r="X34" s="129">
        <f>+Actuals!U58</f>
        <v>0</v>
      </c>
      <c r="Y34" s="130">
        <f>+Actuals!V58</f>
        <v>0</v>
      </c>
      <c r="Z34" s="129">
        <f>+Actuals!W58</f>
        <v>0</v>
      </c>
      <c r="AA34" s="130">
        <f>+Actuals!X58</f>
        <v>0</v>
      </c>
      <c r="AB34" s="129">
        <f>+Actuals!Y58</f>
        <v>0</v>
      </c>
      <c r="AC34" s="130">
        <f>+Actuals!Z58</f>
        <v>0</v>
      </c>
      <c r="AD34" s="129">
        <f>+Actuals!AA58</f>
        <v>0</v>
      </c>
      <c r="AE34" s="130">
        <f>+Actuals!AB58</f>
        <v>0</v>
      </c>
    </row>
    <row r="35" spans="1:31" x14ac:dyDescent="0.25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29">
        <f>+Actuals!E59</f>
        <v>0</v>
      </c>
      <c r="I35" s="130">
        <f>+Actuals!F59</f>
        <v>0</v>
      </c>
      <c r="J35" s="129">
        <f>+Actuals!G59</f>
        <v>0</v>
      </c>
      <c r="K35" s="149">
        <f>+Actuals!H59</f>
        <v>0</v>
      </c>
      <c r="L35" s="129">
        <f>+Actuals!I59</f>
        <v>0</v>
      </c>
      <c r="M35" s="130">
        <f>+Actuals!J59</f>
        <v>0</v>
      </c>
      <c r="N35" s="129">
        <f>+Actuals!K59</f>
        <v>0</v>
      </c>
      <c r="O35" s="130">
        <f>+Actuals!L59</f>
        <v>0</v>
      </c>
      <c r="P35" s="129">
        <f>+Actuals!M59</f>
        <v>0</v>
      </c>
      <c r="Q35" s="130">
        <f>+Actuals!N59</f>
        <v>0</v>
      </c>
      <c r="R35" s="129">
        <f>+Actuals!O59</f>
        <v>0</v>
      </c>
      <c r="S35" s="130">
        <f>+Actuals!P59</f>
        <v>0</v>
      </c>
      <c r="T35" s="129">
        <f>+Actuals!Q59</f>
        <v>0</v>
      </c>
      <c r="U35" s="130">
        <f>+Actuals!R59</f>
        <v>0</v>
      </c>
      <c r="V35" s="129">
        <f>+Actuals!S59</f>
        <v>0</v>
      </c>
      <c r="W35" s="130">
        <f>+Actuals!T59</f>
        <v>0</v>
      </c>
      <c r="X35" s="129">
        <f>+Actuals!U59</f>
        <v>0</v>
      </c>
      <c r="Y35" s="130">
        <f>+Actuals!V59</f>
        <v>0</v>
      </c>
      <c r="Z35" s="129">
        <f>+Actuals!W59</f>
        <v>0</v>
      </c>
      <c r="AA35" s="130">
        <f>+Actuals!X59</f>
        <v>0</v>
      </c>
      <c r="AB35" s="129">
        <f>+Actuals!Y59</f>
        <v>0</v>
      </c>
      <c r="AC35" s="130">
        <f>+Actuals!Z59</f>
        <v>0</v>
      </c>
      <c r="AD35" s="129">
        <f>+Actuals!AA59</f>
        <v>0</v>
      </c>
      <c r="AE35" s="130">
        <f>+Actuals!AB59</f>
        <v>0</v>
      </c>
    </row>
    <row r="36" spans="1:31" x14ac:dyDescent="0.25">
      <c r="A36" s="9"/>
      <c r="B36" s="7" t="s">
        <v>44</v>
      </c>
      <c r="C36" s="6"/>
      <c r="D36" s="61">
        <f>SUM(D32:D35)</f>
        <v>65196</v>
      </c>
      <c r="E36" s="39">
        <f>SUM(E32:E35)</f>
        <v>147668.93999999997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66731</v>
      </c>
      <c r="K36" s="150">
        <f t="shared" si="9"/>
        <v>151145.715</v>
      </c>
      <c r="L36" s="61">
        <f t="shared" si="9"/>
        <v>-127605</v>
      </c>
      <c r="M36" s="39">
        <f t="shared" si="9"/>
        <v>-310270.35100000002</v>
      </c>
      <c r="N36" s="61">
        <f t="shared" si="9"/>
        <v>2106</v>
      </c>
      <c r="O36" s="39">
        <f t="shared" si="9"/>
        <v>-11185.028</v>
      </c>
      <c r="P36" s="61">
        <f t="shared" si="9"/>
        <v>0</v>
      </c>
      <c r="Q36" s="39">
        <f t="shared" si="9"/>
        <v>37200.144</v>
      </c>
      <c r="R36" s="61">
        <f t="shared" si="9"/>
        <v>-910</v>
      </c>
      <c r="S36" s="39">
        <f t="shared" si="9"/>
        <v>-2061.15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102514</v>
      </c>
      <c r="W36" s="39">
        <f t="shared" si="10"/>
        <v>232194.21</v>
      </c>
      <c r="X36" s="61">
        <f t="shared" si="10"/>
        <v>22360</v>
      </c>
      <c r="Y36" s="39">
        <f t="shared" si="10"/>
        <v>50645.4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58"/>
      <c r="G38" s="15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675495</v>
      </c>
      <c r="E39" s="38">
        <f t="shared" si="11"/>
        <v>1335048.32</v>
      </c>
      <c r="F39" s="84">
        <f>'TIE-OUT'!J39+RECLASS!J39</f>
        <v>0</v>
      </c>
      <c r="G39" s="85">
        <f>'TIE-OUT'!K39+RECLASS!K39</f>
        <v>0</v>
      </c>
      <c r="H39" s="129">
        <f>+Actuals!E60</f>
        <v>0</v>
      </c>
      <c r="I39" s="130">
        <f>+Actuals!F60</f>
        <v>0</v>
      </c>
      <c r="J39" s="129">
        <f>+Actuals!G60</f>
        <v>698906</v>
      </c>
      <c r="K39" s="149">
        <f>+Actuals!H60</f>
        <v>1381317.82</v>
      </c>
      <c r="L39" s="129">
        <f>+Actuals!I60</f>
        <v>0</v>
      </c>
      <c r="M39" s="130">
        <f>+Actuals!J60</f>
        <v>0</v>
      </c>
      <c r="N39" s="129">
        <f>+Actuals!K60</f>
        <v>0</v>
      </c>
      <c r="O39" s="130">
        <f>+Actuals!L60</f>
        <v>0</v>
      </c>
      <c r="P39" s="129">
        <f>+Actuals!M60</f>
        <v>-23411</v>
      </c>
      <c r="Q39" s="130">
        <f>+Actuals!N60</f>
        <v>-46269.5</v>
      </c>
      <c r="R39" s="129">
        <f>+Actuals!O60</f>
        <v>0</v>
      </c>
      <c r="S39" s="130">
        <f>+Actuals!P60</f>
        <v>0</v>
      </c>
      <c r="T39" s="129">
        <f>+Actuals!Q60</f>
        <v>0</v>
      </c>
      <c r="U39" s="130">
        <f>+Actuals!R60</f>
        <v>0</v>
      </c>
      <c r="V39" s="129">
        <f>+Actuals!S60</f>
        <v>0</v>
      </c>
      <c r="W39" s="130">
        <f>+Actuals!T60</f>
        <v>0</v>
      </c>
      <c r="X39" s="129">
        <f>+Actuals!U60</f>
        <v>0</v>
      </c>
      <c r="Y39" s="130">
        <f>+Actuals!V60</f>
        <v>0</v>
      </c>
      <c r="Z39" s="129">
        <f>+Actuals!W60</f>
        <v>0</v>
      </c>
      <c r="AA39" s="130">
        <f>+Actuals!X60</f>
        <v>0</v>
      </c>
      <c r="AB39" s="129">
        <f>+Actuals!Y60</f>
        <v>0</v>
      </c>
      <c r="AC39" s="130">
        <f>+Actuals!Z60</f>
        <v>0</v>
      </c>
      <c r="AD39" s="129">
        <f>+Actuals!AA60</f>
        <v>0</v>
      </c>
      <c r="AE39" s="130">
        <f>+Actuals!AB60</f>
        <v>0</v>
      </c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-991006</v>
      </c>
      <c r="E40" s="38">
        <f t="shared" si="11"/>
        <v>-1958624.26</v>
      </c>
      <c r="F40" s="58">
        <f>'TIE-OUT'!J40+RECLASS!J40</f>
        <v>0</v>
      </c>
      <c r="G40" s="15">
        <f>'TIE-OUT'!K40+RECLASS!K40</f>
        <v>0</v>
      </c>
      <c r="H40" s="129">
        <f>+Actuals!E61</f>
        <v>0</v>
      </c>
      <c r="I40" s="130">
        <f>+Actuals!F61</f>
        <v>0</v>
      </c>
      <c r="J40" s="129">
        <f>+Actuals!G61</f>
        <v>-1030700</v>
      </c>
      <c r="K40" s="149">
        <f>+Actuals!H61</f>
        <v>-2037075.48</v>
      </c>
      <c r="L40" s="129">
        <f>+Actuals!I61</f>
        <v>0</v>
      </c>
      <c r="M40" s="130">
        <f>+Actuals!J61</f>
        <v>0</v>
      </c>
      <c r="N40" s="129">
        <f>+Actuals!K61</f>
        <v>0</v>
      </c>
      <c r="O40" s="130">
        <f>+Actuals!L61</f>
        <v>0</v>
      </c>
      <c r="P40" s="129">
        <f>+Actuals!M61</f>
        <v>75777</v>
      </c>
      <c r="Q40" s="130">
        <f>+Actuals!N61</f>
        <v>149765.66</v>
      </c>
      <c r="R40" s="129">
        <f>+Actuals!O61</f>
        <v>-36083</v>
      </c>
      <c r="S40" s="130">
        <f>+Actuals!P61</f>
        <v>-71314.44</v>
      </c>
      <c r="T40" s="129">
        <f>+Actuals!Q61</f>
        <v>0</v>
      </c>
      <c r="U40" s="130">
        <f>+Actuals!R61</f>
        <v>0</v>
      </c>
      <c r="V40" s="129">
        <f>+Actuals!S61</f>
        <v>0</v>
      </c>
      <c r="W40" s="130">
        <f>+Actuals!T61</f>
        <v>0</v>
      </c>
      <c r="X40" s="129">
        <f>+Actuals!U61</f>
        <v>0</v>
      </c>
      <c r="Y40" s="130">
        <f>+Actuals!V61</f>
        <v>0</v>
      </c>
      <c r="Z40" s="129">
        <f>+Actuals!W61</f>
        <v>0</v>
      </c>
      <c r="AA40" s="130">
        <f>+Actuals!X61</f>
        <v>0</v>
      </c>
      <c r="AB40" s="129">
        <f>+Actuals!Y61</f>
        <v>0</v>
      </c>
      <c r="AC40" s="130">
        <f>+Actuals!Z61</f>
        <v>0</v>
      </c>
      <c r="AD40" s="129">
        <f>+Actuals!AA61</f>
        <v>0</v>
      </c>
      <c r="AE40" s="130">
        <f>+Actuals!AB61</f>
        <v>0</v>
      </c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29">
        <f>+Actuals!E62</f>
        <v>0</v>
      </c>
      <c r="I41" s="130">
        <f>+Actuals!F62</f>
        <v>0</v>
      </c>
      <c r="J41" s="129">
        <f>+Actuals!G62</f>
        <v>0</v>
      </c>
      <c r="K41" s="149">
        <f>+Actuals!H62</f>
        <v>0</v>
      </c>
      <c r="L41" s="129">
        <f>+Actuals!I62</f>
        <v>0</v>
      </c>
      <c r="M41" s="130">
        <f>+Actuals!J62</f>
        <v>0</v>
      </c>
      <c r="N41" s="129">
        <f>+Actuals!K62</f>
        <v>0</v>
      </c>
      <c r="O41" s="130">
        <f>+Actuals!L62</f>
        <v>0</v>
      </c>
      <c r="P41" s="129">
        <f>+Actuals!M62</f>
        <v>0</v>
      </c>
      <c r="Q41" s="130">
        <f>+Actuals!N62</f>
        <v>0</v>
      </c>
      <c r="R41" s="129">
        <f>+Actuals!O62</f>
        <v>0</v>
      </c>
      <c r="S41" s="130">
        <f>+Actuals!P62</f>
        <v>0</v>
      </c>
      <c r="T41" s="129">
        <f>+Actuals!Q62</f>
        <v>0</v>
      </c>
      <c r="U41" s="130">
        <f>+Actuals!R62</f>
        <v>0</v>
      </c>
      <c r="V41" s="129">
        <f>+Actuals!S62</f>
        <v>0</v>
      </c>
      <c r="W41" s="130">
        <f>+Actuals!T62</f>
        <v>0</v>
      </c>
      <c r="X41" s="129">
        <f>+Actuals!U62</f>
        <v>0</v>
      </c>
      <c r="Y41" s="130">
        <f>+Actuals!V62</f>
        <v>0</v>
      </c>
      <c r="Z41" s="129">
        <f>+Actuals!W62</f>
        <v>0</v>
      </c>
      <c r="AA41" s="130">
        <f>+Actuals!X62</f>
        <v>0</v>
      </c>
      <c r="AB41" s="129">
        <f>+Actuals!Y62</f>
        <v>0</v>
      </c>
      <c r="AC41" s="130">
        <f>+Actuals!Z62</f>
        <v>0</v>
      </c>
      <c r="AD41" s="129">
        <f>+Actuals!AA62</f>
        <v>0</v>
      </c>
      <c r="AE41" s="130">
        <f>+Actuals!AB62</f>
        <v>0</v>
      </c>
    </row>
    <row r="42" spans="1:31" x14ac:dyDescent="0.25">
      <c r="A42" s="9"/>
      <c r="B42" s="7"/>
      <c r="C42" s="53" t="s">
        <v>49</v>
      </c>
      <c r="D42" s="61">
        <f>SUM(D40:D41)</f>
        <v>-991006</v>
      </c>
      <c r="E42" s="39">
        <f>SUM(E40:E41)</f>
        <v>-1958624.26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-1030700</v>
      </c>
      <c r="K42" s="150">
        <f t="shared" si="12"/>
        <v>-2037075.48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75777</v>
      </c>
      <c r="Q42" s="39">
        <f t="shared" si="12"/>
        <v>149765.66</v>
      </c>
      <c r="R42" s="61">
        <f t="shared" si="12"/>
        <v>-36083</v>
      </c>
      <c r="S42" s="39">
        <f t="shared" si="12"/>
        <v>-71314.44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50</v>
      </c>
      <c r="C43" s="6"/>
      <c r="D43" s="61">
        <f>D42+D39</f>
        <v>-315511</v>
      </c>
      <c r="E43" s="39">
        <f>E42+E39</f>
        <v>-623575.93999999994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-331794</v>
      </c>
      <c r="K43" s="150">
        <f t="shared" si="14"/>
        <v>-655757.65999999992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52366</v>
      </c>
      <c r="Q43" s="39">
        <f t="shared" si="14"/>
        <v>103496.16</v>
      </c>
      <c r="R43" s="61">
        <f t="shared" si="14"/>
        <v>-36083</v>
      </c>
      <c r="S43" s="39">
        <f t="shared" si="14"/>
        <v>-71314.44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-18058</v>
      </c>
      <c r="E45" s="38">
        <f>SUM(G45,I45,K45,M45,O45,Q45,S45,U45,W45,Y45,AA45,AC45,AE45)</f>
        <v>-43892.399999999994</v>
      </c>
      <c r="F45" s="84">
        <f>'TIE-OUT'!J45+RECLASS!J45</f>
        <v>0</v>
      </c>
      <c r="G45" s="85">
        <f>'TIE-OUT'!K45+RECLASS!K45</f>
        <v>0</v>
      </c>
      <c r="H45" s="129">
        <f>+Actuals!E63</f>
        <v>0</v>
      </c>
      <c r="I45" s="130">
        <f>+Actuals!F63</f>
        <v>0</v>
      </c>
      <c r="J45" s="129">
        <f>+Actuals!G63</f>
        <v>11351</v>
      </c>
      <c r="K45" s="149">
        <f>+Actuals!H63</f>
        <v>21907.43</v>
      </c>
      <c r="L45" s="129">
        <f>+Actuals!I63</f>
        <v>0</v>
      </c>
      <c r="M45" s="130">
        <f>+Actuals!J63</f>
        <v>0</v>
      </c>
      <c r="N45" s="129">
        <f>+Actuals!K63</f>
        <v>29409</v>
      </c>
      <c r="O45" s="130">
        <f>+Actuals!L63</f>
        <v>67746.58</v>
      </c>
      <c r="P45" s="129">
        <f>+Actuals!M63</f>
        <v>0</v>
      </c>
      <c r="Q45" s="130">
        <f>+Actuals!N63</f>
        <v>0</v>
      </c>
      <c r="R45" s="129">
        <f>+Actuals!O63</f>
        <v>0</v>
      </c>
      <c r="S45" s="130">
        <f>+Actuals!P63</f>
        <v>0</v>
      </c>
      <c r="T45" s="129">
        <f>+Actuals!Q63</f>
        <v>-29409</v>
      </c>
      <c r="U45" s="130">
        <f>+Actuals!R63</f>
        <v>-66773.3</v>
      </c>
      <c r="V45" s="129">
        <f>+Actuals!S63</f>
        <v>-29409</v>
      </c>
      <c r="W45" s="130">
        <f>+Actuals!T63</f>
        <v>-66773.11</v>
      </c>
      <c r="X45" s="129">
        <f>+Actuals!U63</f>
        <v>-29409</v>
      </c>
      <c r="Y45" s="130">
        <f>+Actuals!V63</f>
        <v>-66773.11</v>
      </c>
      <c r="Z45" s="129">
        <f>+Actuals!W63</f>
        <v>29409</v>
      </c>
      <c r="AA45" s="130">
        <f>+Actuals!X63</f>
        <v>66773.11</v>
      </c>
      <c r="AB45" s="129">
        <f>+Actuals!Y63</f>
        <v>0</v>
      </c>
      <c r="AC45" s="130">
        <f>+Actuals!Z63</f>
        <v>0</v>
      </c>
      <c r="AD45" s="129">
        <f>+Actuals!AA63</f>
        <v>0</v>
      </c>
      <c r="AE45" s="130">
        <f>+Actuals!AB63</f>
        <v>0</v>
      </c>
    </row>
    <row r="46" spans="1:31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'TIE-OUT'!J47+RECLASS!J47</f>
        <v>0</v>
      </c>
      <c r="G47" s="15">
        <f>'TIE-OUT'!K47+RECLASS!K47</f>
        <v>0</v>
      </c>
      <c r="H47" s="129">
        <f>+Actuals!E64</f>
        <v>0</v>
      </c>
      <c r="I47" s="130">
        <f>+Actuals!F64</f>
        <v>0</v>
      </c>
      <c r="J47" s="129">
        <f>+Actuals!G64</f>
        <v>63199</v>
      </c>
      <c r="K47" s="149">
        <f>+Actuals!H64</f>
        <v>144093.72</v>
      </c>
      <c r="L47" s="129">
        <f>+Actuals!I64</f>
        <v>-63199</v>
      </c>
      <c r="M47" s="130">
        <f>+Actuals!J64</f>
        <v>-144093.72</v>
      </c>
      <c r="N47" s="129">
        <f>+Actuals!K64</f>
        <v>0</v>
      </c>
      <c r="O47" s="130">
        <f>+Actuals!L64</f>
        <v>0</v>
      </c>
      <c r="P47" s="129">
        <f>+Actuals!M64</f>
        <v>0</v>
      </c>
      <c r="Q47" s="130">
        <f>+Actuals!N64</f>
        <v>0</v>
      </c>
      <c r="R47" s="129">
        <f>+Actuals!O64</f>
        <v>0</v>
      </c>
      <c r="S47" s="130">
        <f>+Actuals!P64</f>
        <v>0</v>
      </c>
      <c r="T47" s="129">
        <f>+Actuals!Q64</f>
        <v>0</v>
      </c>
      <c r="U47" s="130">
        <f>+Actuals!R64</f>
        <v>0</v>
      </c>
      <c r="V47" s="129">
        <f>+Actuals!S64</f>
        <v>0</v>
      </c>
      <c r="W47" s="130">
        <f>+Actuals!T64</f>
        <v>0</v>
      </c>
      <c r="X47" s="129">
        <f>+Actuals!U64</f>
        <v>0</v>
      </c>
      <c r="Y47" s="130">
        <f>+Actuals!V64</f>
        <v>0</v>
      </c>
      <c r="Z47" s="129">
        <f>+Actuals!W64</f>
        <v>0</v>
      </c>
      <c r="AA47" s="130">
        <f>+Actuals!X64</f>
        <v>0</v>
      </c>
      <c r="AB47" s="129">
        <f>+Actuals!Y64</f>
        <v>0</v>
      </c>
      <c r="AC47" s="130">
        <f>+Actuals!Z64</f>
        <v>0</v>
      </c>
      <c r="AD47" s="129">
        <f>+Actuals!AA64</f>
        <v>0</v>
      </c>
      <c r="AE47" s="130">
        <f>+Actuals!AB64</f>
        <v>0</v>
      </c>
    </row>
    <row r="48" spans="1:31" x14ac:dyDescent="0.25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142664</v>
      </c>
      <c r="E49" s="38">
        <f>SUM(G49,I49,K49,M49,O49,Q49,S49,U49,W49,Y49,AA49,AC49,AE49)</f>
        <v>323133.95999999996</v>
      </c>
      <c r="F49" s="58">
        <f>'TIE-OUT'!J49+RECLASS!J49</f>
        <v>0</v>
      </c>
      <c r="G49" s="15">
        <f>'TIE-OUT'!K49+RECLASS!K49</f>
        <v>0</v>
      </c>
      <c r="H49" s="129">
        <f>+Actuals!E65</f>
        <v>142772</v>
      </c>
      <c r="I49" s="130">
        <f>+Actuals!F65</f>
        <v>323378.58</v>
      </c>
      <c r="J49" s="129">
        <f>+Actuals!G65</f>
        <v>-126826</v>
      </c>
      <c r="K49" s="149">
        <f>+Actuals!H65</f>
        <v>-287260.89</v>
      </c>
      <c r="L49" s="129">
        <f>+Actuals!I65</f>
        <v>165862</v>
      </c>
      <c r="M49" s="130">
        <f>+Actuals!J65</f>
        <v>375677.43</v>
      </c>
      <c r="N49" s="129">
        <f>+Actuals!K65</f>
        <v>19995</v>
      </c>
      <c r="O49" s="130">
        <f>+Actuals!L65</f>
        <v>45288.675000000003</v>
      </c>
      <c r="P49" s="129">
        <f>+Actuals!M65</f>
        <v>5571</v>
      </c>
      <c r="Q49" s="130">
        <f>+Actuals!N65</f>
        <v>12618.315000000001</v>
      </c>
      <c r="R49" s="129">
        <f>+Actuals!O65</f>
        <v>-32015</v>
      </c>
      <c r="S49" s="130">
        <f>+Actuals!P65</f>
        <v>-72513.975000000006</v>
      </c>
      <c r="T49" s="129">
        <f>+Actuals!Q65</f>
        <v>4397</v>
      </c>
      <c r="U49" s="130">
        <f>+Actuals!R65</f>
        <v>9959.2049999999999</v>
      </c>
      <c r="V49" s="129">
        <f>+Actuals!S65</f>
        <v>-73105</v>
      </c>
      <c r="W49" s="130">
        <f>+Actuals!T65</f>
        <v>-165582.82500000001</v>
      </c>
      <c r="X49" s="129">
        <f>+Actuals!U65</f>
        <v>65422</v>
      </c>
      <c r="Y49" s="130">
        <f>+Actuals!V65</f>
        <v>148180.82999999999</v>
      </c>
      <c r="Z49" s="129">
        <f>+Actuals!W65</f>
        <v>-29409</v>
      </c>
      <c r="AA49" s="130">
        <f>+Actuals!X65</f>
        <v>-66611.384999999995</v>
      </c>
      <c r="AB49" s="129">
        <f>+Actuals!Y65</f>
        <v>0</v>
      </c>
      <c r="AC49" s="130">
        <f>+Actuals!Z65</f>
        <v>0</v>
      </c>
      <c r="AD49" s="129">
        <f>+Actuals!AA65</f>
        <v>0</v>
      </c>
      <c r="AE49" s="130">
        <f>+Actuals!AB65</f>
        <v>0</v>
      </c>
    </row>
    <row r="50" spans="1:31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-24151</v>
      </c>
      <c r="E51" s="38">
        <f>SUM(G51,I51,K51,M51,O51,Q51,S51,U51,W51,Y51,AA51,AC51,AE51)</f>
        <v>-55245.279999999999</v>
      </c>
      <c r="F51" s="58">
        <f>'TIE-OUT'!J51+RECLASS!J51</f>
        <v>0</v>
      </c>
      <c r="G51" s="15">
        <f>'TIE-OUT'!K51+RECLASS!K51</f>
        <v>0</v>
      </c>
      <c r="H51" s="129">
        <f>+Actuals!E66</f>
        <v>0</v>
      </c>
      <c r="I51" s="130">
        <f>+Actuals!F66</f>
        <v>0</v>
      </c>
      <c r="J51" s="129">
        <f>+Actuals!G66-6057</f>
        <v>-23871</v>
      </c>
      <c r="K51" s="149">
        <f>+Actuals!H66-13795</f>
        <v>-54365.67</v>
      </c>
      <c r="L51" s="129">
        <f>+Actuals!I66</f>
        <v>0</v>
      </c>
      <c r="M51" s="130">
        <f>+Actuals!J66</f>
        <v>0</v>
      </c>
      <c r="N51" s="129">
        <f>+Actuals!K66</f>
        <v>0</v>
      </c>
      <c r="O51" s="130">
        <f>+Actuals!L66-374</f>
        <v>-715.61</v>
      </c>
      <c r="P51" s="129">
        <f>+Actuals!M66</f>
        <v>0</v>
      </c>
      <c r="Q51" s="130">
        <f>+Actuals!N66</f>
        <v>0</v>
      </c>
      <c r="R51" s="129">
        <f>+Actuals!O66</f>
        <v>0</v>
      </c>
      <c r="S51" s="130">
        <f>+Actuals!P66</f>
        <v>0</v>
      </c>
      <c r="T51" s="129">
        <f>+Actuals!Q66-70</f>
        <v>-70</v>
      </c>
      <c r="U51" s="130">
        <f>+Actuals!R66-164</f>
        <v>-164</v>
      </c>
      <c r="V51" s="129">
        <f>+Actuals!S66-70</f>
        <v>-70</v>
      </c>
      <c r="W51" s="130">
        <f>+Actuals!T66</f>
        <v>0</v>
      </c>
      <c r="X51" s="129">
        <f>+Actuals!U66-70</f>
        <v>-70</v>
      </c>
      <c r="Y51" s="130">
        <f>+Actuals!V66</f>
        <v>0</v>
      </c>
      <c r="Z51" s="129">
        <f>+Actuals!W66-70</f>
        <v>-70</v>
      </c>
      <c r="AA51" s="130">
        <f>+Actuals!X66</f>
        <v>0</v>
      </c>
      <c r="AB51" s="129">
        <f>+Actuals!Y66</f>
        <v>0</v>
      </c>
      <c r="AC51" s="130">
        <f>+Actuals!Z66</f>
        <v>0</v>
      </c>
      <c r="AD51" s="129">
        <f>+Actuals!AA66</f>
        <v>0</v>
      </c>
      <c r="AE51" s="130">
        <f>+Actuals!AB66</f>
        <v>0</v>
      </c>
    </row>
    <row r="52" spans="1:31" x14ac:dyDescent="0.25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58"/>
      <c r="G53" s="15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-187712</v>
      </c>
      <c r="E54" s="38">
        <f>SUM(G54,I54,K54,M54,O54,Q54,S54,U54,W54,Y54,AA54,AC54,AE54)</f>
        <v>-631.35999999999967</v>
      </c>
      <c r="F54" s="84">
        <f>'TIE-OUT'!J54+RECLASS!J54</f>
        <v>0</v>
      </c>
      <c r="G54" s="85">
        <f>'TIE-OUT'!K54+RECLASS!K54</f>
        <v>0</v>
      </c>
      <c r="H54" s="129">
        <f>+Actuals!E67</f>
        <v>0</v>
      </c>
      <c r="I54" s="130">
        <f>+Actuals!F67</f>
        <v>0</v>
      </c>
      <c r="J54" s="129">
        <f>+Actuals!G67</f>
        <v>0</v>
      </c>
      <c r="K54" s="149">
        <f>+Actuals!H67</f>
        <v>0</v>
      </c>
      <c r="L54" s="129">
        <f>+Actuals!I67</f>
        <v>0</v>
      </c>
      <c r="M54" s="130">
        <f>+Actuals!J67</f>
        <v>5000</v>
      </c>
      <c r="N54" s="129">
        <f>+Actuals!K67</f>
        <v>0</v>
      </c>
      <c r="O54" s="130">
        <f>+Actuals!L67</f>
        <v>0</v>
      </c>
      <c r="P54" s="129">
        <f>+Actuals!M67</f>
        <v>0</v>
      </c>
      <c r="Q54" s="130">
        <f>+Actuals!N67</f>
        <v>0</v>
      </c>
      <c r="R54" s="129">
        <f>+Actuals!O67</f>
        <v>0</v>
      </c>
      <c r="S54" s="130">
        <f>+Actuals!P67</f>
        <v>0</v>
      </c>
      <c r="T54" s="129">
        <f>+Actuals!Q67</f>
        <v>0</v>
      </c>
      <c r="U54" s="130">
        <f>+Actuals!R67</f>
        <v>0</v>
      </c>
      <c r="V54" s="129">
        <f>+Actuals!S67</f>
        <v>0</v>
      </c>
      <c r="W54" s="130">
        <f>+Actuals!T67</f>
        <v>0</v>
      </c>
      <c r="X54" s="129">
        <f>+Actuals!U67</f>
        <v>0</v>
      </c>
      <c r="Y54" s="130">
        <f>+Actuals!V67</f>
        <v>0</v>
      </c>
      <c r="Z54" s="129">
        <f>+Actuals!W67</f>
        <v>-187712</v>
      </c>
      <c r="AA54" s="130">
        <f>+Actuals!X67</f>
        <v>-5631.36</v>
      </c>
      <c r="AB54" s="129">
        <f>+Actuals!Y67</f>
        <v>0</v>
      </c>
      <c r="AC54" s="130">
        <f>+Actuals!Z67</f>
        <v>0</v>
      </c>
      <c r="AD54" s="129">
        <f>+Actuals!AA67</f>
        <v>0</v>
      </c>
      <c r="AE54" s="130">
        <f>+Actuals!AB67</f>
        <v>0</v>
      </c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8">
        <f>'TIE-OUT'!J55+RECLASS!J55</f>
        <v>0</v>
      </c>
      <c r="G55" s="99">
        <f>'TIE-OUT'!K55+RECLASS!K55</f>
        <v>0</v>
      </c>
      <c r="H55" s="129">
        <f>+Actuals!E68</f>
        <v>0</v>
      </c>
      <c r="I55" s="130">
        <f>+Actuals!F68</f>
        <v>0</v>
      </c>
      <c r="J55" s="129">
        <f>+Actuals!G68</f>
        <v>0</v>
      </c>
      <c r="K55" s="149">
        <f>+Actuals!H68</f>
        <v>0</v>
      </c>
      <c r="L55" s="129">
        <f>+Actuals!I68</f>
        <v>0</v>
      </c>
      <c r="M55" s="130">
        <f>+Actuals!J68</f>
        <v>0</v>
      </c>
      <c r="N55" s="129">
        <f>+Actuals!K68</f>
        <v>0</v>
      </c>
      <c r="O55" s="130">
        <f>+Actuals!L68</f>
        <v>0</v>
      </c>
      <c r="P55" s="129">
        <f>+Actuals!M68</f>
        <v>0</v>
      </c>
      <c r="Q55" s="130">
        <f>+Actuals!N68</f>
        <v>0</v>
      </c>
      <c r="R55" s="129">
        <f>+Actuals!O68</f>
        <v>0</v>
      </c>
      <c r="S55" s="130">
        <f>+Actuals!P68</f>
        <v>0</v>
      </c>
      <c r="T55" s="129">
        <f>+Actuals!Q68</f>
        <v>0</v>
      </c>
      <c r="U55" s="130">
        <f>+Actuals!R68</f>
        <v>0</v>
      </c>
      <c r="V55" s="129">
        <f>+Actuals!S68</f>
        <v>0</v>
      </c>
      <c r="W55" s="130">
        <f>+Actuals!T68</f>
        <v>0</v>
      </c>
      <c r="X55" s="129">
        <f>+Actuals!U68</f>
        <v>0</v>
      </c>
      <c r="Y55" s="130">
        <f>+Actuals!V68</f>
        <v>0</v>
      </c>
      <c r="Z55" s="129">
        <f>+Actuals!W68</f>
        <v>0</v>
      </c>
      <c r="AA55" s="130">
        <f>+Actuals!X68</f>
        <v>0</v>
      </c>
      <c r="AB55" s="129">
        <f>+Actuals!Y68</f>
        <v>0</v>
      </c>
      <c r="AC55" s="130">
        <f>+Actuals!Z68</f>
        <v>0</v>
      </c>
      <c r="AD55" s="129">
        <f>+Actuals!AA68</f>
        <v>0</v>
      </c>
      <c r="AE55" s="130">
        <f>+Actuals!AB68</f>
        <v>0</v>
      </c>
    </row>
    <row r="56" spans="1:31" x14ac:dyDescent="0.25">
      <c r="A56" s="9"/>
      <c r="B56" s="7" t="s">
        <v>58</v>
      </c>
      <c r="C56" s="6"/>
      <c r="D56" s="61">
        <f>SUM(D54:D55)</f>
        <v>-187712</v>
      </c>
      <c r="E56" s="39">
        <f>SUM(E54:E55)</f>
        <v>-631.35999999999967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5000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ref="V56:AA56" si="17">SUM(V54:V55)</f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-187712</v>
      </c>
      <c r="AA56" s="39">
        <f t="shared" si="17"/>
        <v>-5631.36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58"/>
      <c r="G58" s="15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2441557</v>
      </c>
      <c r="E59" s="38">
        <f>SUM(G59,I59,K59,M59,O59,Q59,S59,U59,W59,Y59,AA59,AC59,AE59)</f>
        <v>44715.89</v>
      </c>
      <c r="F59" s="84">
        <f>'TIE-OUT'!J59+RECLASS!J59</f>
        <v>0</v>
      </c>
      <c r="G59" s="85">
        <f>'TIE-OUT'!K59+RECLASS!K59</f>
        <v>0</v>
      </c>
      <c r="H59" s="129">
        <f>+Actuals!E69</f>
        <v>2415039</v>
      </c>
      <c r="I59" s="130">
        <f>+Actuals!F69</f>
        <v>34690.53</v>
      </c>
      <c r="J59" s="129">
        <f>+Actuals!G69</f>
        <v>25233</v>
      </c>
      <c r="K59" s="149">
        <f>+Actuals!H69</f>
        <v>9964.24</v>
      </c>
      <c r="L59" s="129">
        <f>+Actuals!I69</f>
        <v>0</v>
      </c>
      <c r="M59" s="130">
        <f>+Actuals!J69</f>
        <v>0</v>
      </c>
      <c r="N59" s="129">
        <f>+Actuals!K69</f>
        <v>0</v>
      </c>
      <c r="O59" s="130">
        <f>+Actuals!L69</f>
        <v>61.12</v>
      </c>
      <c r="P59" s="129">
        <f>+Actuals!M69</f>
        <v>0</v>
      </c>
      <c r="Q59" s="130">
        <f>+Actuals!N69</f>
        <v>0</v>
      </c>
      <c r="R59" s="129">
        <f>+Actuals!O69</f>
        <v>1285</v>
      </c>
      <c r="S59" s="130">
        <f>+Actuals!P69</f>
        <v>0</v>
      </c>
      <c r="T59" s="129">
        <f>+Actuals!Q69</f>
        <v>0</v>
      </c>
      <c r="U59" s="130">
        <f>+Actuals!R69</f>
        <v>0</v>
      </c>
      <c r="V59" s="129">
        <f>+Actuals!S69</f>
        <v>0</v>
      </c>
      <c r="W59" s="130">
        <f>+Actuals!T69</f>
        <v>0</v>
      </c>
      <c r="X59" s="129">
        <f>+Actuals!U69</f>
        <v>0</v>
      </c>
      <c r="Y59" s="130">
        <f>+Actuals!V69</f>
        <v>0</v>
      </c>
      <c r="Z59" s="129">
        <f>+Actuals!W69</f>
        <v>0</v>
      </c>
      <c r="AA59" s="130">
        <f>+Actuals!X69</f>
        <v>0</v>
      </c>
      <c r="AB59" s="129">
        <f>+Actuals!Y69</f>
        <v>0</v>
      </c>
      <c r="AC59" s="130">
        <f>+Actuals!Z69</f>
        <v>0</v>
      </c>
      <c r="AD59" s="129">
        <f>+Actuals!AA69</f>
        <v>0</v>
      </c>
      <c r="AE59" s="130">
        <f>+Actuals!AB69</f>
        <v>0</v>
      </c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98">
        <f>'TIE-OUT'!J60+RECLASS!J60</f>
        <v>0</v>
      </c>
      <c r="G60" s="99">
        <f>'TIE-OUT'!K60+RECLASS!K60</f>
        <v>0</v>
      </c>
      <c r="H60" s="129">
        <f>+Actuals!E70</f>
        <v>0</v>
      </c>
      <c r="I60" s="130">
        <f>+Actuals!F70</f>
        <v>0</v>
      </c>
      <c r="J60" s="129">
        <f>+Actuals!G70</f>
        <v>0</v>
      </c>
      <c r="K60" s="149">
        <f>+Actuals!H70</f>
        <v>0</v>
      </c>
      <c r="L60" s="129">
        <f>+Actuals!I70</f>
        <v>0</v>
      </c>
      <c r="M60" s="130">
        <f>+Actuals!J70</f>
        <v>0</v>
      </c>
      <c r="N60" s="129">
        <f>+Actuals!K70</f>
        <v>0</v>
      </c>
      <c r="O60" s="130">
        <f>+Actuals!L70</f>
        <v>0</v>
      </c>
      <c r="P60" s="129">
        <f>+Actuals!M70</f>
        <v>0</v>
      </c>
      <c r="Q60" s="130">
        <f>+Actuals!N70</f>
        <v>0</v>
      </c>
      <c r="R60" s="129">
        <f>+Actuals!O70</f>
        <v>0</v>
      </c>
      <c r="S60" s="130">
        <f>+Actuals!P70</f>
        <v>0</v>
      </c>
      <c r="T60" s="129">
        <f>+Actuals!Q70</f>
        <v>0</v>
      </c>
      <c r="U60" s="130">
        <f>+Actuals!R70</f>
        <v>0</v>
      </c>
      <c r="V60" s="129">
        <f>+Actuals!S70</f>
        <v>0</v>
      </c>
      <c r="W60" s="130">
        <f>+Actuals!T70</f>
        <v>0</v>
      </c>
      <c r="X60" s="129">
        <f>+Actuals!U70</f>
        <v>0</v>
      </c>
      <c r="Y60" s="130">
        <f>+Actuals!V70</f>
        <v>0</v>
      </c>
      <c r="Z60" s="129">
        <f>+Actuals!W70</f>
        <v>0</v>
      </c>
      <c r="AA60" s="130">
        <f>+Actuals!X70</f>
        <v>0</v>
      </c>
      <c r="AB60" s="129">
        <f>+Actuals!Y70</f>
        <v>0</v>
      </c>
      <c r="AC60" s="130">
        <f>+Actuals!Z70</f>
        <v>0</v>
      </c>
      <c r="AD60" s="129">
        <f>+Actuals!AA70</f>
        <v>0</v>
      </c>
      <c r="AE60" s="130">
        <f>+Actuals!AB70</f>
        <v>0</v>
      </c>
    </row>
    <row r="61" spans="1:31" x14ac:dyDescent="0.25">
      <c r="A61" s="9"/>
      <c r="B61" s="62" t="s">
        <v>62</v>
      </c>
      <c r="C61" s="6"/>
      <c r="D61" s="61">
        <f>SUM(D59:D60)</f>
        <v>2441557</v>
      </c>
      <c r="E61" s="39">
        <f>SUM(E59:E60)</f>
        <v>44715.89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2415039</v>
      </c>
      <c r="I61" s="39">
        <f t="shared" si="18"/>
        <v>34690.53</v>
      </c>
      <c r="J61" s="61">
        <f t="shared" si="18"/>
        <v>25233</v>
      </c>
      <c r="K61" s="150">
        <f t="shared" si="18"/>
        <v>9964.24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61.12</v>
      </c>
      <c r="P61" s="61">
        <f t="shared" si="18"/>
        <v>0</v>
      </c>
      <c r="Q61" s="39">
        <f t="shared" si="18"/>
        <v>0</v>
      </c>
      <c r="R61" s="61">
        <f t="shared" si="18"/>
        <v>1285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58"/>
      <c r="G63" s="15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-17678159</v>
      </c>
      <c r="E64" s="38">
        <f>SUM(G64,I64,K64,M64,O64,Q64,S64,U64,W64,Y64,AA64,AC64,AE64)</f>
        <v>-2168086.6900000004</v>
      </c>
      <c r="F64" s="84">
        <f>'TIE-OUT'!J64+RECLASS!J64</f>
        <v>0</v>
      </c>
      <c r="G64" s="85">
        <f>'TIE-OUT'!K64+RECLASS!K64</f>
        <v>0</v>
      </c>
      <c r="H64" s="129">
        <f>+Actuals!E71</f>
        <v>-11169425</v>
      </c>
      <c r="I64" s="130">
        <f>+Actuals!F71</f>
        <v>-1985165.81</v>
      </c>
      <c r="J64" s="129">
        <f>+Actuals!G71</f>
        <v>-6621163</v>
      </c>
      <c r="K64" s="149">
        <f>+Actuals!H71</f>
        <v>-194511.12</v>
      </c>
      <c r="L64" s="129">
        <f>+Actuals!I71</f>
        <v>-17014</v>
      </c>
      <c r="M64" s="130">
        <f>+Actuals!J71</f>
        <v>-1189.3599999999999</v>
      </c>
      <c r="N64" s="129">
        <f>+Actuals!K71</f>
        <v>0</v>
      </c>
      <c r="O64" s="130">
        <f>+Actuals!L71</f>
        <v>895969.67</v>
      </c>
      <c r="P64" s="129">
        <f>+Actuals!M71</f>
        <v>112429</v>
      </c>
      <c r="Q64" s="130">
        <f>+Actuals!N71</f>
        <v>-885145.74</v>
      </c>
      <c r="R64" s="129">
        <f>+Actuals!O71</f>
        <v>17014</v>
      </c>
      <c r="S64" s="130">
        <f>+Actuals!P71</f>
        <v>1955.66</v>
      </c>
      <c r="T64" s="129">
        <f>+Actuals!Q71</f>
        <v>0</v>
      </c>
      <c r="U64" s="130">
        <f>+Actuals!R71</f>
        <v>0</v>
      </c>
      <c r="V64" s="129">
        <f>+Actuals!S71</f>
        <v>0</v>
      </c>
      <c r="W64" s="130">
        <f>+Actuals!T71</f>
        <v>0</v>
      </c>
      <c r="X64" s="129">
        <f>+Actuals!U71</f>
        <v>0</v>
      </c>
      <c r="Y64" s="130">
        <f>+Actuals!V71</f>
        <v>0.01</v>
      </c>
      <c r="Z64" s="129">
        <f>+Actuals!W71</f>
        <v>0</v>
      </c>
      <c r="AA64" s="130">
        <f>+Actuals!X71</f>
        <v>0</v>
      </c>
      <c r="AB64" s="129">
        <f>+Actuals!Y71</f>
        <v>0</v>
      </c>
      <c r="AC64" s="130">
        <f>+Actuals!Z71</f>
        <v>0</v>
      </c>
      <c r="AD64" s="129">
        <f>+Actuals!AA71</f>
        <v>0</v>
      </c>
      <c r="AE64" s="130">
        <f>+Actuals!AB71</f>
        <v>0</v>
      </c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17524702</v>
      </c>
      <c r="E65" s="38">
        <f>SUM(G65,I65,K65,M65,O65,Q65,S65,U65,W65,Y65,AA65,AC65,AE65)</f>
        <v>2168340.9700000002</v>
      </c>
      <c r="F65" s="98">
        <f>'TIE-OUT'!J65+RECLASS!J65</f>
        <v>0</v>
      </c>
      <c r="G65" s="99">
        <f>'TIE-OUT'!K65+RECLASS!K65</f>
        <v>0</v>
      </c>
      <c r="H65" s="129">
        <f>+Actuals!E72+522038</f>
        <v>11165424</v>
      </c>
      <c r="I65" s="130">
        <f>+Actuals!F72+450000</f>
        <v>1993681.48</v>
      </c>
      <c r="J65" s="129">
        <f>+Actuals!G72</f>
        <v>6448296</v>
      </c>
      <c r="K65" s="149">
        <f>+Actuals!H72</f>
        <v>185995.47</v>
      </c>
      <c r="L65" s="129">
        <f>+Actuals!I72</f>
        <v>17014</v>
      </c>
      <c r="M65" s="130">
        <f>+Actuals!J72</f>
        <v>1189.3399999999999</v>
      </c>
      <c r="N65" s="129">
        <f>+Actuals!K72</f>
        <v>0</v>
      </c>
      <c r="O65" s="130">
        <f>+Actuals!L72</f>
        <v>-895969.67</v>
      </c>
      <c r="P65" s="129">
        <f>+Actuals!M72</f>
        <v>-89018</v>
      </c>
      <c r="Q65" s="130">
        <f>+Actuals!N72</f>
        <v>885145.75</v>
      </c>
      <c r="R65" s="129">
        <f>+Actuals!O72</f>
        <v>-17014</v>
      </c>
      <c r="S65" s="130">
        <f>+Actuals!P72</f>
        <v>-1701.39</v>
      </c>
      <c r="T65" s="129">
        <f>+Actuals!Q72</f>
        <v>0</v>
      </c>
      <c r="U65" s="130">
        <f>+Actuals!R72</f>
        <v>-0.01</v>
      </c>
      <c r="V65" s="129">
        <f>+Actuals!S72</f>
        <v>0</v>
      </c>
      <c r="W65" s="130">
        <f>+Actuals!T72</f>
        <v>0</v>
      </c>
      <c r="X65" s="129">
        <f>+Actuals!U72</f>
        <v>0</v>
      </c>
      <c r="Y65" s="130">
        <f>+Actuals!V72</f>
        <v>0</v>
      </c>
      <c r="Z65" s="129">
        <f>+Actuals!W72</f>
        <v>0</v>
      </c>
      <c r="AA65" s="130">
        <f>+Actuals!X72</f>
        <v>0</v>
      </c>
      <c r="AB65" s="129">
        <f>+Actuals!Y72</f>
        <v>0</v>
      </c>
      <c r="AC65" s="130">
        <f>+Actuals!Z72</f>
        <v>0</v>
      </c>
      <c r="AD65" s="129">
        <f>+Actuals!AA72</f>
        <v>0</v>
      </c>
      <c r="AE65" s="130">
        <f>+Actuals!AB72</f>
        <v>0</v>
      </c>
    </row>
    <row r="66" spans="1:31" x14ac:dyDescent="0.25">
      <c r="A66" s="9"/>
      <c r="B66" s="7" t="s">
        <v>65</v>
      </c>
      <c r="C66" s="6"/>
      <c r="D66" s="61">
        <f>SUM(D64:D65)</f>
        <v>-153457</v>
      </c>
      <c r="E66" s="39">
        <f>SUM(E64:E65)</f>
        <v>254.27999999979511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-4001</v>
      </c>
      <c r="I66" s="39">
        <f t="shared" si="20"/>
        <v>8515.6699999999255</v>
      </c>
      <c r="J66" s="61">
        <f t="shared" si="20"/>
        <v>-172867</v>
      </c>
      <c r="K66" s="150">
        <f t="shared" si="20"/>
        <v>-8515.6499999999942</v>
      </c>
      <c r="L66" s="61">
        <f t="shared" si="20"/>
        <v>0</v>
      </c>
      <c r="M66" s="39">
        <f t="shared" si="20"/>
        <v>-1.999999999998181E-2</v>
      </c>
      <c r="N66" s="61">
        <f t="shared" si="20"/>
        <v>0</v>
      </c>
      <c r="O66" s="39">
        <f t="shared" si="20"/>
        <v>0</v>
      </c>
      <c r="P66" s="61">
        <f t="shared" si="20"/>
        <v>23411</v>
      </c>
      <c r="Q66" s="39">
        <f t="shared" si="20"/>
        <v>1.0000000009313226E-2</v>
      </c>
      <c r="R66" s="61">
        <f t="shared" si="20"/>
        <v>0</v>
      </c>
      <c r="S66" s="39">
        <f t="shared" si="20"/>
        <v>254.26999999999998</v>
      </c>
      <c r="T66" s="61">
        <f t="shared" si="20"/>
        <v>0</v>
      </c>
      <c r="U66" s="39">
        <f t="shared" si="20"/>
        <v>-0.01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0.01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58"/>
      <c r="G68" s="15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58"/>
      <c r="G69" s="15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'TIE-OUT'!J70+RECLASS!J70</f>
        <v>0</v>
      </c>
      <c r="G70" s="85">
        <f>'TIE-OUT'!K70+RECLASS!K70</f>
        <v>0</v>
      </c>
      <c r="H70" s="129">
        <f>+Actuals!E73</f>
        <v>0</v>
      </c>
      <c r="I70" s="130">
        <f>+Actuals!F73</f>
        <v>0</v>
      </c>
      <c r="J70" s="129">
        <f>+Actuals!G73</f>
        <v>0</v>
      </c>
      <c r="K70" s="149">
        <f>+Actuals!H73</f>
        <v>0</v>
      </c>
      <c r="L70" s="129">
        <f>+Actuals!I73</f>
        <v>0</v>
      </c>
      <c r="M70" s="130">
        <f>+Actuals!J73</f>
        <v>0</v>
      </c>
      <c r="N70" s="129">
        <f>+Actuals!K73</f>
        <v>0</v>
      </c>
      <c r="O70" s="130">
        <f>+Actuals!L73</f>
        <v>0</v>
      </c>
      <c r="P70" s="129">
        <f>+Actuals!M73</f>
        <v>0</v>
      </c>
      <c r="Q70" s="130">
        <f>+Actuals!N73</f>
        <v>0</v>
      </c>
      <c r="R70" s="129">
        <f>+Actuals!O73</f>
        <v>0</v>
      </c>
      <c r="S70" s="130">
        <f>+Actuals!P73</f>
        <v>0</v>
      </c>
      <c r="T70" s="129">
        <f>+Actuals!Q73</f>
        <v>0</v>
      </c>
      <c r="U70" s="130">
        <f>+Actuals!R73</f>
        <v>0</v>
      </c>
      <c r="V70" s="129">
        <f>+Actuals!S73</f>
        <v>0</v>
      </c>
      <c r="W70" s="130">
        <f>+Actuals!T73</f>
        <v>0</v>
      </c>
      <c r="X70" s="129">
        <f>+Actuals!U73</f>
        <v>0</v>
      </c>
      <c r="Y70" s="130">
        <f>+Actuals!V73</f>
        <v>0</v>
      </c>
      <c r="Z70" s="129">
        <f>+Actuals!W73</f>
        <v>0</v>
      </c>
      <c r="AA70" s="130">
        <f>+Actuals!X73</f>
        <v>0</v>
      </c>
      <c r="AB70" s="129">
        <f>+Actuals!Y73</f>
        <v>0</v>
      </c>
      <c r="AC70" s="130">
        <f>+Actuals!Z73</f>
        <v>0</v>
      </c>
      <c r="AD70" s="129">
        <f>+Actuals!AA73</f>
        <v>0</v>
      </c>
      <c r="AE70" s="130">
        <f>+Actuals!AB73</f>
        <v>0</v>
      </c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8">
        <f>'TIE-OUT'!J71+RECLASS!J71</f>
        <v>0</v>
      </c>
      <c r="G71" s="99">
        <f>'TIE-OUT'!K71+RECLASS!K71</f>
        <v>0</v>
      </c>
      <c r="H71" s="129">
        <f>+Actuals!E74</f>
        <v>0</v>
      </c>
      <c r="I71" s="130">
        <f>+Actuals!F74</f>
        <v>0</v>
      </c>
      <c r="J71" s="129">
        <f>+Actuals!G74</f>
        <v>0</v>
      </c>
      <c r="K71" s="149">
        <f>+Actuals!H74</f>
        <v>0</v>
      </c>
      <c r="L71" s="129">
        <f>+Actuals!I74</f>
        <v>0</v>
      </c>
      <c r="M71" s="130">
        <f>+Actuals!J74</f>
        <v>0</v>
      </c>
      <c r="N71" s="129">
        <f>+Actuals!K74</f>
        <v>0</v>
      </c>
      <c r="O71" s="130">
        <f>+Actuals!L74</f>
        <v>0</v>
      </c>
      <c r="P71" s="129">
        <f>+Actuals!M74</f>
        <v>0</v>
      </c>
      <c r="Q71" s="130">
        <f>+Actuals!N74</f>
        <v>0</v>
      </c>
      <c r="R71" s="129">
        <f>+Actuals!O74</f>
        <v>0</v>
      </c>
      <c r="S71" s="130">
        <f>+Actuals!P74</f>
        <v>0</v>
      </c>
      <c r="T71" s="129">
        <f>+Actuals!Q74</f>
        <v>0</v>
      </c>
      <c r="U71" s="130">
        <f>+Actuals!R74</f>
        <v>0</v>
      </c>
      <c r="V71" s="129">
        <f>+Actuals!S74</f>
        <v>0</v>
      </c>
      <c r="W71" s="130">
        <f>+Actuals!T74</f>
        <v>0</v>
      </c>
      <c r="X71" s="129">
        <f>+Actuals!U74</f>
        <v>0</v>
      </c>
      <c r="Y71" s="130">
        <f>+Actuals!V74</f>
        <v>0</v>
      </c>
      <c r="Z71" s="129">
        <f>+Actuals!W74</f>
        <v>0</v>
      </c>
      <c r="AA71" s="130">
        <f>+Actuals!X74</f>
        <v>0</v>
      </c>
      <c r="AB71" s="129">
        <f>+Actuals!Y74</f>
        <v>0</v>
      </c>
      <c r="AC71" s="130">
        <f>+Actuals!Z74</f>
        <v>0</v>
      </c>
      <c r="AD71" s="129">
        <f>+Actuals!AA74</f>
        <v>0</v>
      </c>
      <c r="AE71" s="130">
        <f>+Actuals!AB74</f>
        <v>0</v>
      </c>
    </row>
    <row r="72" spans="1:31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'TIE-OUT'!J73+RECLASS!J73</f>
        <v>0</v>
      </c>
      <c r="G73" s="58">
        <f>'TIE-OUT'!K73+RECLASS!K73</f>
        <v>0</v>
      </c>
      <c r="H73" s="129">
        <f>+Actuals!E75</f>
        <v>0</v>
      </c>
      <c r="I73" s="130">
        <f>+Actuals!F75</f>
        <v>0</v>
      </c>
      <c r="J73" s="129">
        <f>+Actuals!G75</f>
        <v>0</v>
      </c>
      <c r="K73" s="149">
        <f>+Actuals!H75</f>
        <v>0</v>
      </c>
      <c r="L73" s="129">
        <f>+Actuals!I75</f>
        <v>0</v>
      </c>
      <c r="M73" s="130">
        <f>+Actuals!J75</f>
        <v>0</v>
      </c>
      <c r="N73" s="129">
        <f>+Actuals!K75</f>
        <v>0</v>
      </c>
      <c r="O73" s="130">
        <f>+Actuals!L75</f>
        <v>0</v>
      </c>
      <c r="P73" s="129">
        <f>+Actuals!M75</f>
        <v>0</v>
      </c>
      <c r="Q73" s="130">
        <f>+Actuals!N75</f>
        <v>0</v>
      </c>
      <c r="R73" s="129">
        <f>+Actuals!O75</f>
        <v>0</v>
      </c>
      <c r="S73" s="130">
        <f>+Actuals!P75</f>
        <v>0</v>
      </c>
      <c r="T73" s="129">
        <f>+Actuals!Q75</f>
        <v>0</v>
      </c>
      <c r="U73" s="130">
        <f>+Actuals!R75</f>
        <v>0</v>
      </c>
      <c r="V73" s="129">
        <f>+Actuals!S75</f>
        <v>0</v>
      </c>
      <c r="W73" s="130">
        <f>+Actuals!T75</f>
        <v>0</v>
      </c>
      <c r="X73" s="129">
        <f>+Actuals!U75</f>
        <v>0</v>
      </c>
      <c r="Y73" s="130">
        <f>+Actuals!V75</f>
        <v>0</v>
      </c>
      <c r="Z73" s="129">
        <f>+Actuals!W75</f>
        <v>0</v>
      </c>
      <c r="AA73" s="130">
        <f>+Actuals!X75</f>
        <v>0</v>
      </c>
      <c r="AB73" s="129">
        <f>+Actuals!Y75</f>
        <v>0</v>
      </c>
      <c r="AC73" s="130">
        <f>+Actuals!Z75</f>
        <v>0</v>
      </c>
      <c r="AD73" s="129">
        <f>+Actuals!AA75</f>
        <v>0</v>
      </c>
      <c r="AE73" s="130">
        <f>+Actuals!AB75</f>
        <v>0</v>
      </c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0</v>
      </c>
      <c r="F74" s="58">
        <f>'TIE-OUT'!J74+RECLASS!J74</f>
        <v>0</v>
      </c>
      <c r="G74" s="58">
        <f>'TIE-OUT'!K74+RECLASS!K74</f>
        <v>0</v>
      </c>
      <c r="H74" s="129">
        <f>+Actuals!E76</f>
        <v>0</v>
      </c>
      <c r="I74" s="130">
        <f>+Actuals!F76</f>
        <v>0</v>
      </c>
      <c r="J74" s="129">
        <f>+Actuals!G76</f>
        <v>0</v>
      </c>
      <c r="K74" s="149">
        <f>+Actuals!H76</f>
        <v>0</v>
      </c>
      <c r="L74" s="129">
        <f>+Actuals!I76</f>
        <v>0</v>
      </c>
      <c r="M74" s="130">
        <f>+Actuals!J76</f>
        <v>0</v>
      </c>
      <c r="N74" s="129">
        <f>+Actuals!K76</f>
        <v>0</v>
      </c>
      <c r="O74" s="130">
        <f>+Actuals!L76</f>
        <v>0</v>
      </c>
      <c r="P74" s="129">
        <f>+Actuals!M76</f>
        <v>0</v>
      </c>
      <c r="Q74" s="130">
        <f>+Actuals!N76</f>
        <v>0</v>
      </c>
      <c r="R74" s="129">
        <f>+Actuals!O76</f>
        <v>0</v>
      </c>
      <c r="S74" s="130">
        <f>+Actuals!P76</f>
        <v>0</v>
      </c>
      <c r="T74" s="129">
        <f>+Actuals!Q76</f>
        <v>0</v>
      </c>
      <c r="U74" s="130">
        <f>+Actuals!R76</f>
        <v>0</v>
      </c>
      <c r="V74" s="129">
        <f>+Actuals!S76</f>
        <v>0</v>
      </c>
      <c r="W74" s="130">
        <f>+Actuals!T76</f>
        <v>0</v>
      </c>
      <c r="X74" s="129">
        <f>+Actuals!U76</f>
        <v>0</v>
      </c>
      <c r="Y74" s="130">
        <f>+Actuals!V76</f>
        <v>0</v>
      </c>
      <c r="Z74" s="129">
        <f>+Actuals!W76</f>
        <v>0</v>
      </c>
      <c r="AA74" s="130">
        <f>+Actuals!X76</f>
        <v>0</v>
      </c>
      <c r="AB74" s="129">
        <f>+Actuals!Y76</f>
        <v>0</v>
      </c>
      <c r="AC74" s="130">
        <f>+Actuals!Z76</f>
        <v>0</v>
      </c>
      <c r="AD74" s="129">
        <f>+Actuals!AA76</f>
        <v>0</v>
      </c>
      <c r="AE74" s="130">
        <f>+Actuals!AB76</f>
        <v>0</v>
      </c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58">
        <f>'TIE-OUT'!J75+RECLASS!J75</f>
        <v>0</v>
      </c>
      <c r="G75" s="58">
        <f>'TIE-OUT'!K75+RECLASS!K75</f>
        <v>0</v>
      </c>
      <c r="H75" s="129">
        <f>+Actuals!E77</f>
        <v>0</v>
      </c>
      <c r="I75" s="130">
        <f>+Actuals!F77</f>
        <v>0</v>
      </c>
      <c r="J75" s="129">
        <f>+Actuals!G77</f>
        <v>0</v>
      </c>
      <c r="K75" s="149">
        <f>+Actuals!H77</f>
        <v>0</v>
      </c>
      <c r="L75" s="129">
        <f>+Actuals!I77</f>
        <v>0</v>
      </c>
      <c r="M75" s="130">
        <f>+Actuals!J77</f>
        <v>0</v>
      </c>
      <c r="N75" s="129">
        <f>+Actuals!K77</f>
        <v>0</v>
      </c>
      <c r="O75" s="130">
        <f>+Actuals!L77</f>
        <v>0</v>
      </c>
      <c r="P75" s="129">
        <f>+Actuals!M77</f>
        <v>0</v>
      </c>
      <c r="Q75" s="130">
        <f>+Actuals!N77</f>
        <v>0</v>
      </c>
      <c r="R75" s="129">
        <f>+Actuals!O77</f>
        <v>0</v>
      </c>
      <c r="S75" s="130">
        <f>+Actuals!P77</f>
        <v>0</v>
      </c>
      <c r="T75" s="129">
        <f>+Actuals!Q77</f>
        <v>0</v>
      </c>
      <c r="U75" s="130">
        <f>+Actuals!R77</f>
        <v>0</v>
      </c>
      <c r="V75" s="129">
        <f>+Actuals!S77</f>
        <v>0</v>
      </c>
      <c r="W75" s="130">
        <f>+Actuals!T77</f>
        <v>0</v>
      </c>
      <c r="X75" s="129">
        <f>+Actuals!U77</f>
        <v>0</v>
      </c>
      <c r="Y75" s="130">
        <f>+Actuals!V77</f>
        <v>0</v>
      </c>
      <c r="Z75" s="129">
        <f>+Actuals!W77</f>
        <v>0</v>
      </c>
      <c r="AA75" s="130">
        <f>+Actuals!X77</f>
        <v>0</v>
      </c>
      <c r="AB75" s="129">
        <f>+Actuals!Y77</f>
        <v>0</v>
      </c>
      <c r="AC75" s="130">
        <f>+Actuals!Z77</f>
        <v>0</v>
      </c>
      <c r="AD75" s="129">
        <f>+Actuals!AA77</f>
        <v>0</v>
      </c>
      <c r="AE75" s="130">
        <f>+Actuals!AB77</f>
        <v>0</v>
      </c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58">
        <f>'TIE-OUT'!J76+RECLASS!J76</f>
        <v>0</v>
      </c>
      <c r="G76" s="58">
        <f>'TIE-OUT'!K76+RECLASS!K76</f>
        <v>0</v>
      </c>
      <c r="H76" s="129">
        <f>+Actuals!E78</f>
        <v>0</v>
      </c>
      <c r="I76" s="130">
        <f>+Actuals!F78</f>
        <v>0</v>
      </c>
      <c r="J76" s="129">
        <f>+Actuals!G78</f>
        <v>0</v>
      </c>
      <c r="K76" s="149">
        <f>+Actuals!H78</f>
        <v>0</v>
      </c>
      <c r="L76" s="129">
        <f>+Actuals!I78</f>
        <v>0</v>
      </c>
      <c r="M76" s="130">
        <f>+Actuals!J78</f>
        <v>0</v>
      </c>
      <c r="N76" s="129">
        <f>+Actuals!K78</f>
        <v>0</v>
      </c>
      <c r="O76" s="130">
        <f>+Actuals!L78</f>
        <v>0</v>
      </c>
      <c r="P76" s="129">
        <f>+Actuals!M78</f>
        <v>0</v>
      </c>
      <c r="Q76" s="130">
        <f>+Actuals!N78</f>
        <v>0</v>
      </c>
      <c r="R76" s="129">
        <f>+Actuals!O78</f>
        <v>0</v>
      </c>
      <c r="S76" s="130">
        <f>+Actuals!P78</f>
        <v>0</v>
      </c>
      <c r="T76" s="129">
        <f>+Actuals!Q78</f>
        <v>0</v>
      </c>
      <c r="U76" s="130">
        <f>+Actuals!R78</f>
        <v>0</v>
      </c>
      <c r="V76" s="129">
        <f>+Actuals!S78</f>
        <v>0</v>
      </c>
      <c r="W76" s="130">
        <f>+Actuals!T78</f>
        <v>0</v>
      </c>
      <c r="X76" s="129">
        <f>+Actuals!U78</f>
        <v>0</v>
      </c>
      <c r="Y76" s="130">
        <f>+Actuals!V78</f>
        <v>0</v>
      </c>
      <c r="Z76" s="129">
        <f>+Actuals!W78</f>
        <v>0</v>
      </c>
      <c r="AA76" s="130">
        <f>+Actuals!X78</f>
        <v>0</v>
      </c>
      <c r="AB76" s="129">
        <f>+Actuals!Y78</f>
        <v>0</v>
      </c>
      <c r="AC76" s="130">
        <f>+Actuals!Z78</f>
        <v>0</v>
      </c>
      <c r="AD76" s="129">
        <f>+Actuals!AA78</f>
        <v>0</v>
      </c>
      <c r="AE76" s="130">
        <f>+Actuals!AB78</f>
        <v>0</v>
      </c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58">
        <f>'TIE-OUT'!J77+RECLASS!J77</f>
        <v>0</v>
      </c>
      <c r="G77" s="58">
        <f>'TIE-OUT'!K77+RECLASS!K77</f>
        <v>0</v>
      </c>
      <c r="H77" s="129">
        <f>+Actuals!E79</f>
        <v>0</v>
      </c>
      <c r="I77" s="130">
        <f>+Actuals!F79</f>
        <v>0</v>
      </c>
      <c r="J77" s="129">
        <f>+Actuals!G79</f>
        <v>0</v>
      </c>
      <c r="K77" s="149">
        <f>+Actuals!H79</f>
        <v>0</v>
      </c>
      <c r="L77" s="129">
        <f>+Actuals!I79</f>
        <v>0</v>
      </c>
      <c r="M77" s="130">
        <f>+Actuals!J79</f>
        <v>0</v>
      </c>
      <c r="N77" s="129">
        <f>+Actuals!K79</f>
        <v>0</v>
      </c>
      <c r="O77" s="130">
        <f>+Actuals!L79</f>
        <v>0</v>
      </c>
      <c r="P77" s="129">
        <f>+Actuals!M79</f>
        <v>0</v>
      </c>
      <c r="Q77" s="130">
        <f>+Actuals!N79</f>
        <v>0</v>
      </c>
      <c r="R77" s="129">
        <f>+Actuals!O79</f>
        <v>0</v>
      </c>
      <c r="S77" s="130">
        <f>+Actuals!P79</f>
        <v>0</v>
      </c>
      <c r="T77" s="129">
        <f>+Actuals!Q79</f>
        <v>0</v>
      </c>
      <c r="U77" s="130">
        <f>+Actuals!R79</f>
        <v>0</v>
      </c>
      <c r="V77" s="129">
        <f>+Actuals!S79</f>
        <v>0</v>
      </c>
      <c r="W77" s="130">
        <f>+Actuals!T79</f>
        <v>0</v>
      </c>
      <c r="X77" s="129">
        <f>+Actuals!U79</f>
        <v>0</v>
      </c>
      <c r="Y77" s="130">
        <f>+Actuals!V79</f>
        <v>0</v>
      </c>
      <c r="Z77" s="129">
        <f>+Actuals!W79</f>
        <v>0</v>
      </c>
      <c r="AA77" s="130">
        <f>+Actuals!X79</f>
        <v>0</v>
      </c>
      <c r="AB77" s="129">
        <f>+Actuals!Y79</f>
        <v>0</v>
      </c>
      <c r="AC77" s="130">
        <f>+Actuals!Z79</f>
        <v>0</v>
      </c>
      <c r="AD77" s="129">
        <f>+Actuals!AA79</f>
        <v>0</v>
      </c>
      <c r="AE77" s="130">
        <f>+Actuals!AB79</f>
        <v>0</v>
      </c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58">
        <f>'TIE-OUT'!J78+RECLASS!J78</f>
        <v>0</v>
      </c>
      <c r="G78" s="58">
        <f>'TIE-OUT'!K78+RECLASS!K78</f>
        <v>0</v>
      </c>
      <c r="H78" s="129">
        <f>+Actuals!E80</f>
        <v>0</v>
      </c>
      <c r="I78" s="130">
        <f>+Actuals!F80</f>
        <v>0</v>
      </c>
      <c r="J78" s="129">
        <f>+Actuals!G80</f>
        <v>0</v>
      </c>
      <c r="K78" s="149">
        <f>+Actuals!H80</f>
        <v>0</v>
      </c>
      <c r="L78" s="129">
        <f>+Actuals!I80</f>
        <v>0</v>
      </c>
      <c r="M78" s="130">
        <f>+Actuals!J80</f>
        <v>0</v>
      </c>
      <c r="N78" s="129">
        <f>+Actuals!K80</f>
        <v>0</v>
      </c>
      <c r="O78" s="130">
        <f>+Actuals!L80</f>
        <v>0</v>
      </c>
      <c r="P78" s="129">
        <f>+Actuals!M80</f>
        <v>0</v>
      </c>
      <c r="Q78" s="130">
        <f>+Actuals!N80</f>
        <v>0</v>
      </c>
      <c r="R78" s="129">
        <f>+Actuals!O80</f>
        <v>0</v>
      </c>
      <c r="S78" s="130">
        <f>+Actuals!P80</f>
        <v>0</v>
      </c>
      <c r="T78" s="129">
        <f>+Actuals!Q80</f>
        <v>0</v>
      </c>
      <c r="U78" s="130">
        <f>+Actuals!R80</f>
        <v>0</v>
      </c>
      <c r="V78" s="129">
        <f>+Actuals!S80</f>
        <v>0</v>
      </c>
      <c r="W78" s="130">
        <f>+Actuals!T80</f>
        <v>0</v>
      </c>
      <c r="X78" s="129">
        <f>+Actuals!U80</f>
        <v>0</v>
      </c>
      <c r="Y78" s="130">
        <f>+Actuals!V80</f>
        <v>0</v>
      </c>
      <c r="Z78" s="129">
        <f>+Actuals!W80</f>
        <v>0</v>
      </c>
      <c r="AA78" s="130">
        <f>+Actuals!X80</f>
        <v>0</v>
      </c>
      <c r="AB78" s="129">
        <f>+Actuals!Y80</f>
        <v>0</v>
      </c>
      <c r="AC78" s="130">
        <f>+Actuals!Z80</f>
        <v>0</v>
      </c>
      <c r="AD78" s="129">
        <f>+Actuals!AA80</f>
        <v>0</v>
      </c>
      <c r="AE78" s="130">
        <f>+Actuals!AB80</f>
        <v>0</v>
      </c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58">
        <f>'TIE-OUT'!J79+RECLASS!J79</f>
        <v>0</v>
      </c>
      <c r="G79" s="58">
        <f>'TIE-OUT'!K79+RECLASS!K79</f>
        <v>0</v>
      </c>
      <c r="H79" s="129">
        <f>+Actuals!E81</f>
        <v>0</v>
      </c>
      <c r="I79" s="130">
        <f>+Actuals!F81</f>
        <v>0</v>
      </c>
      <c r="J79" s="129">
        <f>+Actuals!G81</f>
        <v>0</v>
      </c>
      <c r="K79" s="149">
        <f>+Actuals!H81</f>
        <v>0</v>
      </c>
      <c r="L79" s="129">
        <f>+Actuals!I81</f>
        <v>0</v>
      </c>
      <c r="M79" s="130">
        <f>+Actuals!J81</f>
        <v>0</v>
      </c>
      <c r="N79" s="129">
        <f>+Actuals!K81</f>
        <v>0</v>
      </c>
      <c r="O79" s="130">
        <f>+Actuals!L81</f>
        <v>0</v>
      </c>
      <c r="P79" s="129">
        <f>+Actuals!M81</f>
        <v>0</v>
      </c>
      <c r="Q79" s="130">
        <f>+Actuals!N81</f>
        <v>0</v>
      </c>
      <c r="R79" s="129">
        <f>+Actuals!O81</f>
        <v>0</v>
      </c>
      <c r="S79" s="130">
        <f>+Actuals!P81</f>
        <v>0</v>
      </c>
      <c r="T79" s="129">
        <f>+Actuals!Q81</f>
        <v>0</v>
      </c>
      <c r="U79" s="130">
        <f>+Actuals!R81</f>
        <v>0</v>
      </c>
      <c r="V79" s="129">
        <f>+Actuals!S81</f>
        <v>0</v>
      </c>
      <c r="W79" s="130">
        <f>+Actuals!T81</f>
        <v>0</v>
      </c>
      <c r="X79" s="129">
        <f>+Actuals!U81</f>
        <v>0</v>
      </c>
      <c r="Y79" s="130">
        <f>+Actuals!V81</f>
        <v>0</v>
      </c>
      <c r="Z79" s="129">
        <f>+Actuals!W81</f>
        <v>0</v>
      </c>
      <c r="AA79" s="130">
        <f>+Actuals!X81</f>
        <v>0</v>
      </c>
      <c r="AB79" s="129">
        <f>+Actuals!Y81</f>
        <v>0</v>
      </c>
      <c r="AC79" s="130">
        <f>+Actuals!Z81</f>
        <v>0</v>
      </c>
      <c r="AD79" s="129">
        <f>+Actuals!AA81</f>
        <v>0</v>
      </c>
      <c r="AE79" s="130">
        <f>+Actuals!AB81</f>
        <v>0</v>
      </c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58">
        <f>'TIE-OUT'!J80+RECLASS!J80</f>
        <v>0</v>
      </c>
      <c r="G80" s="58">
        <f>'TIE-OUT'!K80+RECLASS!K80</f>
        <v>0</v>
      </c>
      <c r="H80" s="129">
        <f>+Actuals!E82</f>
        <v>0</v>
      </c>
      <c r="I80" s="130">
        <f>+Actuals!F82</f>
        <v>0</v>
      </c>
      <c r="J80" s="129">
        <f>+Actuals!G82</f>
        <v>0</v>
      </c>
      <c r="K80" s="149">
        <f>+Actuals!H82</f>
        <v>0</v>
      </c>
      <c r="L80" s="129">
        <f>+Actuals!I82</f>
        <v>0</v>
      </c>
      <c r="M80" s="130">
        <f>+Actuals!J82</f>
        <v>0</v>
      </c>
      <c r="N80" s="129">
        <f>+Actuals!K82</f>
        <v>0</v>
      </c>
      <c r="O80" s="130">
        <f>+Actuals!L82</f>
        <v>0</v>
      </c>
      <c r="P80" s="129">
        <f>+Actuals!M82</f>
        <v>0</v>
      </c>
      <c r="Q80" s="130">
        <f>+Actuals!N82</f>
        <v>0</v>
      </c>
      <c r="R80" s="129">
        <f>+Actuals!O82</f>
        <v>0</v>
      </c>
      <c r="S80" s="130">
        <f>+Actuals!P82</f>
        <v>0</v>
      </c>
      <c r="T80" s="129">
        <f>+Actuals!Q82</f>
        <v>0</v>
      </c>
      <c r="U80" s="130">
        <f>+Actuals!R82</f>
        <v>0</v>
      </c>
      <c r="V80" s="129">
        <f>+Actuals!S82</f>
        <v>0</v>
      </c>
      <c r="W80" s="130">
        <f>+Actuals!T82</f>
        <v>0</v>
      </c>
      <c r="X80" s="129">
        <f>+Actuals!U82</f>
        <v>0</v>
      </c>
      <c r="Y80" s="130">
        <f>+Actuals!V82</f>
        <v>0</v>
      </c>
      <c r="Z80" s="129">
        <f>+Actuals!W82</f>
        <v>0</v>
      </c>
      <c r="AA80" s="130">
        <f>+Actuals!X82</f>
        <v>0</v>
      </c>
      <c r="AB80" s="129">
        <f>+Actuals!Y82</f>
        <v>0</v>
      </c>
      <c r="AC80" s="130">
        <f>+Actuals!Z82</f>
        <v>0</v>
      </c>
      <c r="AD80" s="129">
        <f>+Actuals!AA82</f>
        <v>0</v>
      </c>
      <c r="AE80" s="130">
        <f>+Actuals!AB82</f>
        <v>0</v>
      </c>
    </row>
    <row r="81" spans="1:31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58">
        <f>'TIE-OUT'!J81+RECLASS!J81</f>
        <v>0</v>
      </c>
      <c r="G81" s="58">
        <f>'TIE-OUT'!K81+RECLASS!K81</f>
        <v>0</v>
      </c>
      <c r="H81" s="129">
        <f>+Actuals!E83</f>
        <v>0</v>
      </c>
      <c r="I81" s="130">
        <f>+Actuals!F83</f>
        <v>0</v>
      </c>
      <c r="J81" s="129">
        <f>+Actuals!G83</f>
        <v>0</v>
      </c>
      <c r="K81" s="149">
        <v>0</v>
      </c>
      <c r="L81" s="129">
        <f>+Actuals!I83</f>
        <v>0</v>
      </c>
      <c r="M81" s="130">
        <f>+Actuals!J83</f>
        <v>0</v>
      </c>
      <c r="N81" s="129">
        <f>+Actuals!K83</f>
        <v>0</v>
      </c>
      <c r="O81" s="130">
        <f>+Actuals!L83</f>
        <v>0</v>
      </c>
      <c r="P81" s="129">
        <f>+Actuals!M83</f>
        <v>0</v>
      </c>
      <c r="Q81" s="130">
        <f>+Actuals!N83</f>
        <v>0</v>
      </c>
      <c r="R81" s="129">
        <f>+Actuals!O83</f>
        <v>0</v>
      </c>
      <c r="S81" s="130">
        <f>+Actuals!P83</f>
        <v>0</v>
      </c>
      <c r="T81" s="129">
        <f>+Actuals!Q83</f>
        <v>0</v>
      </c>
      <c r="U81" s="130">
        <f>+Actuals!R83</f>
        <v>0</v>
      </c>
      <c r="V81" s="129">
        <f>+Actuals!S83</f>
        <v>0</v>
      </c>
      <c r="W81" s="130">
        <f>+Actuals!T83</f>
        <v>0</v>
      </c>
      <c r="X81" s="129">
        <f>+Actuals!U83</f>
        <v>0</v>
      </c>
      <c r="Y81" s="130">
        <f>+Actuals!V83</f>
        <v>0</v>
      </c>
      <c r="Z81" s="129">
        <f>+Actuals!W83</f>
        <v>0</v>
      </c>
      <c r="AA81" s="130">
        <f>+Actuals!X83</f>
        <v>0</v>
      </c>
      <c r="AB81" s="129">
        <f>+Actuals!Y83</f>
        <v>0</v>
      </c>
      <c r="AC81" s="130">
        <f>+Actuals!Z83</f>
        <v>0</v>
      </c>
      <c r="AD81" s="129">
        <f>+Actuals!AA83</f>
        <v>0</v>
      </c>
      <c r="AE81" s="130">
        <f>+Actuals!AB83</f>
        <v>0</v>
      </c>
    </row>
    <row r="82" spans="1:3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410901.32000000018</v>
      </c>
      <c r="F82" s="92">
        <f>F16+F24+F29+F36+F43+F45+F47+F49</f>
        <v>0</v>
      </c>
      <c r="G82" s="93">
        <f>SUM(G72:G81)+G16+G24+G29+G36+G43+G45+G47+G49+G51+G56+G61+G66</f>
        <v>-28437.459999999963</v>
      </c>
      <c r="H82" s="92">
        <f>H16+H24+H29+H36+H43+H45+H47+H49</f>
        <v>0</v>
      </c>
      <c r="I82" s="93">
        <f>SUM(I72:I81)+I16+I24+I29+I36+I43+I45+I47+I49+I51+I56+I61+I66</f>
        <v>555323.95000000356</v>
      </c>
      <c r="J82" s="92">
        <f>J16+J24+J29+J36+J43+J45+J47+J49</f>
        <v>0</v>
      </c>
      <c r="K82" s="112">
        <f>SUM(K72:K81)+K16+K24+K29+K36+K43+K45+K47+K49+K51+K56+K61+K66</f>
        <v>237682.65500000012</v>
      </c>
      <c r="L82" s="92">
        <f>L16+L24+L29+L36+L43+L45+L47+L49</f>
        <v>0</v>
      </c>
      <c r="M82" s="93">
        <f>SUM(M72:M81)+M16+M24+M29+M36+M43+M45+M47+M49+M51+M56+M61+M66</f>
        <v>-341956.15100000001</v>
      </c>
      <c r="N82" s="92">
        <f>N16+N24+N29+N36+N43+N45+N47+N49</f>
        <v>0</v>
      </c>
      <c r="O82" s="93">
        <f>SUM(O72:O81)+O16+O24+O29+O36+O43+O45+O47+O49+O51+O56+O61+O66</f>
        <v>-33220.602999999981</v>
      </c>
      <c r="P82" s="92">
        <f>P16+P24+P29+P36+P43+P45+P47+P49</f>
        <v>0</v>
      </c>
      <c r="Q82" s="93">
        <f>SUM(Q72:Q81)+Q16+Q24+Q29+Q36+Q43+Q45+Q47+Q49+Q51+Q56+Q61+Q66</f>
        <v>24249.109000000026</v>
      </c>
      <c r="R82" s="92">
        <f>R16+R24+R29+R36+R43+R45+R47+R49</f>
        <v>0</v>
      </c>
      <c r="S82" s="93">
        <f>SUM(S72:S81)+S16+S24+S29+S36+S43+S45+S47+S49+S51+S56+S61+S66</f>
        <v>6943.204999999969</v>
      </c>
      <c r="T82" s="92">
        <f>T16+T24+T29+T36+T43+T45+T47+T49</f>
        <v>0</v>
      </c>
      <c r="U82" s="93">
        <f>SUM(U72:U81)+U16+U24+U29+U36+U43+U45+U47+U49+U51+U56+U61+U66</f>
        <v>-1231.2150000000181</v>
      </c>
      <c r="V82" s="92">
        <f>V16+V24+V29+V36+V43+V45+V47+V49</f>
        <v>0</v>
      </c>
      <c r="W82" s="93">
        <f>SUM(W72:W81)+W16+W24+W29+W36+W43+W45+W47+W49+W51+W56+W61+W66</f>
        <v>-85172.865000000005</v>
      </c>
      <c r="X82" s="92">
        <f>X16+X24+X29+X36+X43+X45+X47+X49</f>
        <v>0</v>
      </c>
      <c r="Y82" s="93">
        <f>SUM(Y72:Y81)+Y16+Y24+Y29+Y36+Y43+Y45+Y47+Y49+Y51+Y56+Y61+Y66</f>
        <v>82190.329999999973</v>
      </c>
      <c r="Z82" s="92">
        <f>Z16+Z24+Z29+Z36+Z43+Z45+Z47+Z49</f>
        <v>0</v>
      </c>
      <c r="AA82" s="93">
        <f>SUM(AA72:AA81)+AA16+AA24+AA29+AA36+AA43+AA45+AA47+AA49+AA51+AA56+AA61+AA66</f>
        <v>-5469.6349999999939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  <c r="I84" s="45"/>
      <c r="K84" s="151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O77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94932935</v>
      </c>
      <c r="E11" s="38">
        <f>SUM(G11,I11,K11,M11,O11,Q11,S11,U11,W11,Y11,AA11,AC11,AE11)</f>
        <v>216083250.75999999</v>
      </c>
      <c r="F11" s="60">
        <f>('TIE-OUT'!J11+'TIE-OUT'!H11)+(RECLASS!J11+RECLASS!H11)</f>
        <v>1453427</v>
      </c>
      <c r="G11" s="38">
        <f>('TIE-OUT'!K11+'TIE-OUT'!I11)+(RECLASS!K11+RECLASS!I11)</f>
        <v>2760993</v>
      </c>
      <c r="H11" s="60">
        <f>'EAST-EGM-GL'!H11+'EAST-LRC-GL'!H11</f>
        <v>92616475</v>
      </c>
      <c r="I11" s="38">
        <f>'EAST-EGM-GL'!I11+'EAST-LRC-GL'!I11</f>
        <v>211707153.68000001</v>
      </c>
      <c r="J11" s="60">
        <f>'EAST-EGM-GL'!J11+'EAST-LRC-GL'!J11</f>
        <v>-288064</v>
      </c>
      <c r="K11" s="38">
        <f>'EAST-EGM-GL'!K11+'EAST-LRC-GL'!K11</f>
        <v>-19756256.260000002</v>
      </c>
      <c r="L11" s="60">
        <f>'EAST-EGM-GL'!L11+'EAST-LRC-GL'!L11</f>
        <v>1299880</v>
      </c>
      <c r="M11" s="38">
        <f>'EAST-EGM-GL'!M11+'EAST-LRC-GL'!M11</f>
        <v>21526793.669999998</v>
      </c>
      <c r="N11" s="60">
        <f>'EAST-EGM-GL'!N11+'EAST-LRC-GL'!N11</f>
        <v>-320838</v>
      </c>
      <c r="O11" s="38">
        <f>'EAST-EGM-GL'!O11+'EAST-LRC-GL'!O11</f>
        <v>-102999.37</v>
      </c>
      <c r="P11" s="60">
        <f>'EAST-EGM-GL'!P11+'EAST-LRC-GL'!P11</f>
        <v>2925</v>
      </c>
      <c r="Q11" s="38">
        <f>'EAST-EGM-GL'!Q11+'EAST-LRC-GL'!Q11</f>
        <v>1444.94</v>
      </c>
      <c r="R11" s="60">
        <f>'EAST-EGM-GL'!R11+'EAST-LRC-GL'!R11</f>
        <v>237600</v>
      </c>
      <c r="S11" s="38">
        <f>'EAST-EGM-GL'!S11+'EAST-LRC-GL'!S11</f>
        <v>-175711.25</v>
      </c>
      <c r="T11" s="60">
        <f>'EAST-EGM-GL'!T11+'EAST-LRC-GL'!T11</f>
        <v>-231163</v>
      </c>
      <c r="U11" s="38">
        <f>'EAST-EGM-GL'!U11+'EAST-LRC-GL'!U11</f>
        <v>176063.4</v>
      </c>
      <c r="V11" s="60">
        <f>'EAST-EGM-GL'!V11+'EAST-LRC-GL'!V11</f>
        <v>161332</v>
      </c>
      <c r="W11" s="38">
        <f>'EAST-EGM-GL'!W11+'EAST-LRC-GL'!W11</f>
        <v>-67069.94</v>
      </c>
      <c r="X11" s="60">
        <f>'EAST-EGM-GL'!X11+'EAST-LRC-GL'!X11</f>
        <v>1291</v>
      </c>
      <c r="Y11" s="38">
        <f>'EAST-EGM-GL'!Y11+'EAST-LRC-GL'!Y11</f>
        <v>12846.97</v>
      </c>
      <c r="Z11" s="60">
        <f>'EAST-EGM-GL'!Z11+'EAST-LRC-GL'!Z11</f>
        <v>70</v>
      </c>
      <c r="AA11" s="38">
        <f>'EAST-EGM-GL'!AA11+'EAST-LRC-GL'!AA11</f>
        <v>-8.08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2266001.81</v>
      </c>
      <c r="F12" s="60">
        <f>('TIE-OUT'!J12+'TIE-OUT'!H12)+(RECLASS!J12+RECLASS!H12)</f>
        <v>0</v>
      </c>
      <c r="G12" s="38">
        <f>('TIE-OUT'!K12+'TIE-OUT'!I12)+(RECLASS!K12+RECLASS!I12)</f>
        <v>2173001.81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93000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5">
      <c r="A13" s="9">
        <v>3</v>
      </c>
      <c r="B13" s="7"/>
      <c r="C13" s="18" t="s">
        <v>28</v>
      </c>
      <c r="D13" s="60">
        <f t="shared" si="0"/>
        <v>41862372</v>
      </c>
      <c r="E13" s="38">
        <f t="shared" si="0"/>
        <v>97424953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41862372</v>
      </c>
      <c r="I13" s="38">
        <f>'EAST-EGM-GL'!I13+'EAST-LRC-GL'!I13</f>
        <v>97424953</v>
      </c>
      <c r="J13" s="60">
        <f>'EAST-EGM-GL'!J13+'EAST-LRC-GL'!J13</f>
        <v>-86107</v>
      </c>
      <c r="K13" s="38">
        <f>'EAST-EGM-GL'!K13+'EAST-LRC-GL'!K13</f>
        <v>-189994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7315478</v>
      </c>
      <c r="O13" s="38">
        <f>'EAST-EGM-GL'!O13+'EAST-LRC-GL'!O13</f>
        <v>16779752</v>
      </c>
      <c r="P13" s="60">
        <f>'EAST-EGM-GL'!P13+'EAST-LRC-GL'!P13</f>
        <v>7315478</v>
      </c>
      <c r="Q13" s="38">
        <f>'EAST-EGM-GL'!Q13+'EAST-LRC-GL'!Q13</f>
        <v>16779752</v>
      </c>
      <c r="R13" s="60">
        <f>'EAST-EGM-GL'!R13+'EAST-LRC-GL'!R13</f>
        <v>-14544849</v>
      </c>
      <c r="S13" s="38">
        <f>'EAST-EGM-GL'!S13+'EAST-LRC-GL'!S13</f>
        <v>-33369510</v>
      </c>
      <c r="T13" s="60">
        <f>'EAST-EGM-GL'!T13+'EAST-LRC-GL'!T13</f>
        <v>14544849</v>
      </c>
      <c r="U13" s="38">
        <f>'EAST-EGM-GL'!U13+'EAST-LRC-GL'!U13</f>
        <v>33369510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-14544849</v>
      </c>
      <c r="Y13" s="38">
        <f>'EAST-EGM-GL'!Y13+'EAST-LRC-GL'!Y13</f>
        <v>-33369510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765306.58</v>
      </c>
      <c r="F15" s="81">
        <f>('TIE-OUT'!J15+'TIE-OUT'!H15)+(RECLASS!J15+RECLASS!H15)</f>
        <v>0</v>
      </c>
      <c r="G15" s="82">
        <f>('TIE-OUT'!K15+'TIE-OUT'!I15)+(RECLASS!K15+RECLASS!I15)</f>
        <v>137884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621405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5289</v>
      </c>
      <c r="V15" s="60">
        <f>'EAST-EGM-GL'!V15+'EAST-LRC-GL'!V15</f>
        <v>0</v>
      </c>
      <c r="W15" s="38">
        <f>'EAST-EGM-GL'!W15+'EAST-LRC-GL'!W15</f>
        <v>-47.85</v>
      </c>
      <c r="X15" s="60">
        <f>'EAST-EGM-GL'!X15+'EAST-LRC-GL'!X15</f>
        <v>0</v>
      </c>
      <c r="Y15" s="38">
        <f>'EAST-EGM-GL'!Y15+'EAST-LRC-GL'!Y15</f>
        <v>1875.46</v>
      </c>
      <c r="Z15" s="60">
        <f>'EAST-EGM-GL'!Z15+'EAST-LRC-GL'!Z15</f>
        <v>0</v>
      </c>
      <c r="AA15" s="38">
        <f>'EAST-EGM-GL'!AA15+'EAST-LRC-GL'!AA15</f>
        <v>-1099.03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5">
      <c r="A16" s="9"/>
      <c r="B16" s="7" t="s">
        <v>31</v>
      </c>
      <c r="C16" s="6"/>
      <c r="D16" s="61">
        <f>SUM(D11:D15)</f>
        <v>136795307</v>
      </c>
      <c r="E16" s="39">
        <f>SUM(E11:E15)</f>
        <v>316539512.14999998</v>
      </c>
      <c r="F16" s="61">
        <f t="shared" ref="F16:AD16" si="1">SUM(F11:F15)</f>
        <v>1453427</v>
      </c>
      <c r="G16" s="39">
        <f t="shared" si="1"/>
        <v>5071878.8100000005</v>
      </c>
      <c r="H16" s="61">
        <f t="shared" si="1"/>
        <v>134478847</v>
      </c>
      <c r="I16" s="39">
        <f t="shared" si="1"/>
        <v>309132106.68000001</v>
      </c>
      <c r="J16" s="61">
        <f t="shared" si="1"/>
        <v>-374171</v>
      </c>
      <c r="K16" s="39">
        <f t="shared" si="1"/>
        <v>-19946250.260000002</v>
      </c>
      <c r="L16" s="61">
        <f t="shared" si="1"/>
        <v>1299880</v>
      </c>
      <c r="M16" s="39">
        <f t="shared" si="1"/>
        <v>21619793.669999998</v>
      </c>
      <c r="N16" s="61">
        <f t="shared" si="1"/>
        <v>6994640</v>
      </c>
      <c r="O16" s="39">
        <f t="shared" si="1"/>
        <v>17298157.630000003</v>
      </c>
      <c r="P16" s="61">
        <f t="shared" si="1"/>
        <v>7318403</v>
      </c>
      <c r="Q16" s="39">
        <f t="shared" si="1"/>
        <v>16781196.940000001</v>
      </c>
      <c r="R16" s="61">
        <f>SUM(R11:R15)</f>
        <v>-14307249</v>
      </c>
      <c r="S16" s="39">
        <f>SUM(S11:S15)</f>
        <v>-33545221.25</v>
      </c>
      <c r="T16" s="61">
        <f t="shared" si="1"/>
        <v>14313686</v>
      </c>
      <c r="U16" s="39">
        <f t="shared" si="1"/>
        <v>33550862.399999999</v>
      </c>
      <c r="V16" s="61">
        <f t="shared" ref="V16:AA16" si="2">SUM(V11:V15)</f>
        <v>161332</v>
      </c>
      <c r="W16" s="39">
        <f t="shared" si="2"/>
        <v>-67117.790000000008</v>
      </c>
      <c r="X16" s="61">
        <f t="shared" si="2"/>
        <v>-14543558</v>
      </c>
      <c r="Y16" s="39">
        <f t="shared" si="2"/>
        <v>-33354787.57</v>
      </c>
      <c r="Z16" s="61">
        <f t="shared" si="2"/>
        <v>70</v>
      </c>
      <c r="AA16" s="39">
        <f t="shared" si="2"/>
        <v>-1107.1099999999999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>SUM(AE11:AE15)</f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-99734829</v>
      </c>
      <c r="E19" s="38">
        <f t="shared" si="3"/>
        <v>-226230966.5</v>
      </c>
      <c r="F19" s="64">
        <f>('TIE-OUT'!J19+'TIE-OUT'!H19)+(RECLASS!J19+RECLASS!H19)</f>
        <v>-1453427</v>
      </c>
      <c r="G19" s="68">
        <f>('TIE-OUT'!K19+'TIE-OUT'!I19)+(RECLASS!K19+RECLASS!I19)</f>
        <v>-2977749</v>
      </c>
      <c r="H19" s="60">
        <f>'EAST-EGM-GL'!H19+'EAST-LRC-GL'!H19</f>
        <v>-96016863</v>
      </c>
      <c r="I19" s="38">
        <f>'EAST-EGM-GL'!I19+'EAST-LRC-GL'!I19</f>
        <v>-218667285.03</v>
      </c>
      <c r="J19" s="60">
        <f>'EAST-EGM-GL'!J19+'EAST-LRC-GL'!J19</f>
        <v>-1851486</v>
      </c>
      <c r="K19" s="38">
        <f>'EAST-EGM-GL'!K19+'EAST-LRC-GL'!K19</f>
        <v>-4467976.32</v>
      </c>
      <c r="L19" s="60">
        <f>'EAST-EGM-GL'!L19+'EAST-LRC-GL'!L19</f>
        <v>119067</v>
      </c>
      <c r="M19" s="38">
        <f>'EAST-EGM-GL'!M19+'EAST-LRC-GL'!M19</f>
        <v>262615.34999999998</v>
      </c>
      <c r="N19" s="60">
        <f>'EAST-EGM-GL'!N19+'EAST-LRC-GL'!N19</f>
        <v>-318807</v>
      </c>
      <c r="O19" s="38">
        <f>'EAST-EGM-GL'!O19+'EAST-LRC-GL'!O19</f>
        <v>-719836.19</v>
      </c>
      <c r="P19" s="60">
        <f>'EAST-EGM-GL'!P19+'EAST-LRC-GL'!P19</f>
        <v>-14998</v>
      </c>
      <c r="Q19" s="38">
        <f>'EAST-EGM-GL'!Q19+'EAST-LRC-GL'!Q19</f>
        <v>-33561.39</v>
      </c>
      <c r="R19" s="60">
        <f>'EAST-EGM-GL'!R19+'EAST-LRC-GL'!R19</f>
        <v>12695</v>
      </c>
      <c r="S19" s="38">
        <f>'EAST-EGM-GL'!S19+'EAST-LRC-GL'!S19</f>
        <v>34245.4</v>
      </c>
      <c r="T19" s="60">
        <f>'EAST-EGM-GL'!T19+'EAST-LRC-GL'!T19</f>
        <v>-21472</v>
      </c>
      <c r="U19" s="38">
        <f>'EAST-EGM-GL'!U19+'EAST-LRC-GL'!U19</f>
        <v>-46084.99</v>
      </c>
      <c r="V19" s="60">
        <f>'EAST-EGM-GL'!V19+'EAST-LRC-GL'!V19</f>
        <v>-189086</v>
      </c>
      <c r="W19" s="38">
        <f>'EAST-EGM-GL'!W19+'EAST-LRC-GL'!W19</f>
        <v>-423392.34</v>
      </c>
      <c r="X19" s="60">
        <f>'EAST-EGM-GL'!X19+'EAST-LRC-GL'!X19</f>
        <v>4489</v>
      </c>
      <c r="Y19" s="38">
        <f>'EAST-EGM-GL'!Y19+'EAST-LRC-GL'!Y19</f>
        <v>818433.42</v>
      </c>
      <c r="Z19" s="60">
        <f>'EAST-EGM-GL'!Z19+'EAST-LRC-GL'!Z19</f>
        <v>-4941</v>
      </c>
      <c r="AA19" s="38">
        <f>'EAST-EGM-GL'!AA19+'EAST-LRC-GL'!AA19</f>
        <v>-10375.41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-374522.49</v>
      </c>
      <c r="F20" s="60">
        <f>('TIE-OUT'!J20+'TIE-OUT'!H20)+(RECLASS!J20+RECLASS!H20)</f>
        <v>0</v>
      </c>
      <c r="G20" s="38">
        <f>('TIE-OUT'!K20+'TIE-OUT'!I20)+(RECLASS!K20+RECLASS!I20)</f>
        <v>-374522.49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5">
      <c r="A21" s="9">
        <v>8</v>
      </c>
      <c r="B21" s="7"/>
      <c r="C21" s="18" t="s">
        <v>28</v>
      </c>
      <c r="D21" s="60">
        <f t="shared" si="3"/>
        <v>-37849780</v>
      </c>
      <c r="E21" s="38">
        <f t="shared" si="3"/>
        <v>-88445966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-37849780</v>
      </c>
      <c r="I21" s="38">
        <f>'EAST-EGM-GL'!I21+'EAST-LRC-GL'!I21</f>
        <v>-88445966</v>
      </c>
      <c r="J21" s="60">
        <f>'EAST-EGM-GL'!J21+'EAST-LRC-GL'!J21</f>
        <v>70012</v>
      </c>
      <c r="K21" s="38">
        <f>'EAST-EGM-GL'!K21+'EAST-LRC-GL'!K21</f>
        <v>157768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-7315478</v>
      </c>
      <c r="O21" s="38">
        <f>'EAST-EGM-GL'!O21+'EAST-LRC-GL'!O21</f>
        <v>-16779752</v>
      </c>
      <c r="P21" s="60">
        <f>'EAST-EGM-GL'!P21+'EAST-LRC-GL'!P21</f>
        <v>-7315478</v>
      </c>
      <c r="Q21" s="38">
        <f>'EAST-EGM-GL'!Q21+'EAST-LRC-GL'!Q21</f>
        <v>-16779752</v>
      </c>
      <c r="R21" s="60">
        <f>'EAST-EGM-GL'!R21+'EAST-LRC-GL'!R21</f>
        <v>14560944</v>
      </c>
      <c r="S21" s="38">
        <f>'EAST-EGM-GL'!S21+'EAST-LRC-GL'!S21</f>
        <v>33401736</v>
      </c>
      <c r="T21" s="60">
        <f>'EAST-EGM-GL'!T21+'EAST-LRC-GL'!T21</f>
        <v>-14560944</v>
      </c>
      <c r="U21" s="38">
        <f>'EAST-EGM-GL'!U21+'EAST-LRC-GL'!U21</f>
        <v>-33401736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14560944</v>
      </c>
      <c r="Y21" s="38">
        <f>'EAST-EGM-GL'!Y21+'EAST-LRC-GL'!Y21</f>
        <v>33401736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5">
      <c r="A23" s="9">
        <v>10</v>
      </c>
      <c r="B23" s="7"/>
      <c r="C23" s="18" t="s">
        <v>33</v>
      </c>
      <c r="D23" s="60">
        <f t="shared" si="3"/>
        <v>183215</v>
      </c>
      <c r="E23" s="38">
        <f t="shared" si="3"/>
        <v>1397642.81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0</v>
      </c>
      <c r="I23" s="38">
        <f>'EAST-EGM-GL'!I23+'EAST-LRC-GL'!I23</f>
        <v>0</v>
      </c>
      <c r="J23" s="60">
        <f>'EAST-EGM-GL'!J23+'EAST-LRC-GL'!J23</f>
        <v>554880</v>
      </c>
      <c r="K23" s="38">
        <f>'EAST-EGM-GL'!K23+'EAST-LRC-GL'!K23</f>
        <v>1257112.53</v>
      </c>
      <c r="L23" s="60">
        <f>'EAST-EGM-GL'!L23+'EAST-LRC-GL'!L23</f>
        <v>81500</v>
      </c>
      <c r="M23" s="38">
        <f>'EAST-EGM-GL'!M23+'EAST-LRC-GL'!M23</f>
        <v>184597.5</v>
      </c>
      <c r="N23" s="60">
        <f>'EAST-EGM-GL'!N23+'EAST-LRC-GL'!N23</f>
        <v>-661</v>
      </c>
      <c r="O23" s="38">
        <f>'EAST-EGM-GL'!O23+'EAST-LRC-GL'!O23</f>
        <v>-1167.0300000000002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452</v>
      </c>
      <c r="S23" s="38">
        <f>'EAST-EGM-GL'!S23+'EAST-LRC-GL'!S23</f>
        <v>1023.78</v>
      </c>
      <c r="T23" s="60">
        <f>'EAST-EGM-GL'!T23+'EAST-LRC-GL'!T23</f>
        <v>-137</v>
      </c>
      <c r="U23" s="38">
        <f>'EAST-EGM-GL'!U23+'EAST-LRC-GL'!U23</f>
        <v>-310.30500000000001</v>
      </c>
      <c r="V23" s="60">
        <f>'EAST-EGM-GL'!V23+'EAST-LRC-GL'!V23</f>
        <v>-433011</v>
      </c>
      <c r="W23" s="38">
        <f>'EAST-EGM-GL'!W23+'EAST-LRC-GL'!W23</f>
        <v>468.85500000000002</v>
      </c>
      <c r="X23" s="60">
        <f>'EAST-EGM-GL'!X23+'EAST-LRC-GL'!X23</f>
        <v>-19808</v>
      </c>
      <c r="Y23" s="38">
        <f>'EAST-EGM-GL'!Y23+'EAST-LRC-GL'!Y23</f>
        <v>-44082.520000000004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5">
      <c r="A24" s="9"/>
      <c r="B24" s="7" t="s">
        <v>34</v>
      </c>
      <c r="C24" s="6"/>
      <c r="D24" s="61">
        <f>SUM(D19:D23)</f>
        <v>-137401394</v>
      </c>
      <c r="E24" s="39">
        <f>SUM(E19:E23)</f>
        <v>-313653812.18000001</v>
      </c>
      <c r="F24" s="61">
        <f t="shared" ref="F24:AD24" si="4">SUM(F19:F23)</f>
        <v>-1453427</v>
      </c>
      <c r="G24" s="39">
        <f t="shared" si="4"/>
        <v>-3352271.49</v>
      </c>
      <c r="H24" s="61">
        <f t="shared" si="4"/>
        <v>-133866643</v>
      </c>
      <c r="I24" s="39">
        <f t="shared" si="4"/>
        <v>-307113251.02999997</v>
      </c>
      <c r="J24" s="61">
        <f t="shared" si="4"/>
        <v>-1226594</v>
      </c>
      <c r="K24" s="39">
        <f t="shared" si="4"/>
        <v>-3053095.79</v>
      </c>
      <c r="L24" s="61">
        <f t="shared" si="4"/>
        <v>200567</v>
      </c>
      <c r="M24" s="39">
        <f t="shared" si="4"/>
        <v>447212.85</v>
      </c>
      <c r="N24" s="61">
        <f t="shared" si="4"/>
        <v>-7634946</v>
      </c>
      <c r="O24" s="39">
        <f t="shared" si="4"/>
        <v>-17500755.220000003</v>
      </c>
      <c r="P24" s="61">
        <f t="shared" si="4"/>
        <v>-7330476</v>
      </c>
      <c r="Q24" s="39">
        <f t="shared" si="4"/>
        <v>-16813313.390000001</v>
      </c>
      <c r="R24" s="61">
        <f>SUM(R19:R23)</f>
        <v>14574091</v>
      </c>
      <c r="S24" s="39">
        <f>SUM(S19:S23)</f>
        <v>33437005.18</v>
      </c>
      <c r="T24" s="61">
        <f t="shared" si="4"/>
        <v>-14582553</v>
      </c>
      <c r="U24" s="39">
        <f t="shared" si="4"/>
        <v>-33448131.294999998</v>
      </c>
      <c r="V24" s="61">
        <f t="shared" ref="V24:AA24" si="5">SUM(V19:V23)</f>
        <v>-622097</v>
      </c>
      <c r="W24" s="39">
        <f t="shared" si="5"/>
        <v>-422923.48500000004</v>
      </c>
      <c r="X24" s="61">
        <f t="shared" si="5"/>
        <v>14545625</v>
      </c>
      <c r="Y24" s="39">
        <f t="shared" si="5"/>
        <v>34176086.899999999</v>
      </c>
      <c r="Z24" s="61">
        <f t="shared" si="5"/>
        <v>-4941</v>
      </c>
      <c r="AA24" s="39">
        <f t="shared" si="5"/>
        <v>-10375.41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>SUM(AE19:AE23)</f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11087489</v>
      </c>
      <c r="E27" s="38">
        <f>SUM(G27,I27,K27,M27,O27,Q27,S27,U27,W27,Y27,AA27,AC27,AE27)</f>
        <v>25302197.050000001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11371256</v>
      </c>
      <c r="I27" s="38">
        <f>'EAST-EGM-GL'!I27+'EAST-LRC-GL'!I27</f>
        <v>25928454.789999999</v>
      </c>
      <c r="J27" s="60">
        <f>'EAST-EGM-GL'!J27+'EAST-LRC-GL'!J27</f>
        <v>-26803</v>
      </c>
      <c r="K27" s="38">
        <f>'EAST-EGM-GL'!K27+'EAST-LRC-GL'!K27</f>
        <v>-297093.93</v>
      </c>
      <c r="L27" s="60">
        <f>'EAST-EGM-GL'!L27+'EAST-LRC-GL'!L27</f>
        <v>-219615</v>
      </c>
      <c r="M27" s="38">
        <f>'EAST-EGM-GL'!M27+'EAST-LRC-GL'!M27</f>
        <v>-254914.8</v>
      </c>
      <c r="N27" s="60">
        <f>'EAST-EGM-GL'!N27+'EAST-LRC-GL'!N27</f>
        <v>68205</v>
      </c>
      <c r="O27" s="38">
        <f>'EAST-EGM-GL'!O27+'EAST-LRC-GL'!O27</f>
        <v>171027.6</v>
      </c>
      <c r="P27" s="60">
        <f>'EAST-EGM-GL'!P27+'EAST-LRC-GL'!P27</f>
        <v>-146215</v>
      </c>
      <c r="Q27" s="38">
        <f>'EAST-EGM-GL'!Q27+'EAST-LRC-GL'!Q27</f>
        <v>-316842.62</v>
      </c>
      <c r="R27" s="60">
        <f>'EAST-EGM-GL'!R27+'EAST-LRC-GL'!R27</f>
        <v>37736</v>
      </c>
      <c r="S27" s="38">
        <f>'EAST-EGM-GL'!S27+'EAST-LRC-GL'!S27</f>
        <v>91753.37</v>
      </c>
      <c r="T27" s="60">
        <f>'EAST-EGM-GL'!T27+'EAST-LRC-GL'!T27</f>
        <v>31975</v>
      </c>
      <c r="U27" s="38">
        <f>'EAST-EGM-GL'!U27+'EAST-LRC-GL'!U27</f>
        <v>60288.92</v>
      </c>
      <c r="V27" s="60">
        <f>'EAST-EGM-GL'!V27+'EAST-LRC-GL'!V27</f>
        <v>6963</v>
      </c>
      <c r="W27" s="38">
        <f>'EAST-EGM-GL'!W27+'EAST-LRC-GL'!W27</f>
        <v>-80476.28</v>
      </c>
      <c r="X27" s="60">
        <f>'EAST-EGM-GL'!X27+'EAST-LRC-GL'!X27</f>
        <v>-29050</v>
      </c>
      <c r="Y27" s="38">
        <f>'EAST-EGM-GL'!Y27+'EAST-LRC-GL'!Y27</f>
        <v>4534.6700000000128</v>
      </c>
      <c r="Z27" s="60">
        <f>'EAST-EGM-GL'!Z27+'EAST-LRC-GL'!Z27</f>
        <v>-6963</v>
      </c>
      <c r="AA27" s="38">
        <f>'EAST-EGM-GL'!AA27+'EAST-LRC-GL'!AA27</f>
        <v>-4534.6700000000128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-10687799</v>
      </c>
      <c r="E28" s="38">
        <f>SUM(G28,I28,K28,M28,O28,Q28,S28,U28,W28,Y28,AA28,AC28,AE28)</f>
        <v>-24424259.209999997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-11192656</v>
      </c>
      <c r="I28" s="38">
        <f>'EAST-EGM-GL'!I28+'EAST-LRC-GL'!I28</f>
        <v>-25602845.289999999</v>
      </c>
      <c r="J28" s="60">
        <f>'EAST-EGM-GL'!J28+'EAST-LRC-GL'!J28</f>
        <v>438658</v>
      </c>
      <c r="K28" s="38">
        <f>'EAST-EGM-GL'!K28+'EAST-LRC-GL'!K28</f>
        <v>1384596.0699999998</v>
      </c>
      <c r="L28" s="60">
        <f>'EAST-EGM-GL'!L28+'EAST-LRC-GL'!L28</f>
        <v>132917</v>
      </c>
      <c r="M28" s="38">
        <f>'EAST-EGM-GL'!M28+'EAST-LRC-GL'!M28</f>
        <v>-27063.119999999995</v>
      </c>
      <c r="N28" s="60">
        <f>'EAST-EGM-GL'!N28+'EAST-LRC-GL'!N28</f>
        <v>-109379</v>
      </c>
      <c r="O28" s="38">
        <f>'EAST-EGM-GL'!O28+'EAST-LRC-GL'!O28</f>
        <v>-280254.67</v>
      </c>
      <c r="P28" s="60">
        <f>'EAST-EGM-GL'!P28+'EAST-LRC-GL'!P28</f>
        <v>76588</v>
      </c>
      <c r="Q28" s="38">
        <f>'EAST-EGM-GL'!Q28+'EAST-LRC-GL'!Q28</f>
        <v>158005.14000000001</v>
      </c>
      <c r="R28" s="60">
        <f>'EAST-EGM-GL'!R28+'EAST-LRC-GL'!R28</f>
        <v>21922</v>
      </c>
      <c r="S28" s="38">
        <f>'EAST-EGM-GL'!S28+'EAST-LRC-GL'!S28</f>
        <v>47065.869999999995</v>
      </c>
      <c r="T28" s="60">
        <f>'EAST-EGM-GL'!T28+'EAST-LRC-GL'!T28</f>
        <v>-5931</v>
      </c>
      <c r="U28" s="38">
        <f>'EAST-EGM-GL'!U28+'EAST-LRC-GL'!U28</f>
        <v>-1808.0200000000127</v>
      </c>
      <c r="V28" s="60">
        <f>'EAST-EGM-GL'!V28+'EAST-LRC-GL'!V28</f>
        <v>-7036</v>
      </c>
      <c r="W28" s="38">
        <f>'EAST-EGM-GL'!W28+'EAST-LRC-GL'!W28</f>
        <v>-4541.54</v>
      </c>
      <c r="X28" s="60">
        <f>'EAST-EGM-GL'!X28+'EAST-LRC-GL'!X28</f>
        <v>-49775</v>
      </c>
      <c r="Y28" s="38">
        <f>'EAST-EGM-GL'!Y28+'EAST-LRC-GL'!Y28</f>
        <v>-101948.32</v>
      </c>
      <c r="Z28" s="60">
        <f>'EAST-EGM-GL'!Z28+'EAST-LRC-GL'!Z28</f>
        <v>6893</v>
      </c>
      <c r="AA28" s="38">
        <f>'EAST-EGM-GL'!AA28+'EAST-LRC-GL'!AA28</f>
        <v>4534.6700000000128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5">
      <c r="A29" s="9"/>
      <c r="B29" s="7" t="s">
        <v>38</v>
      </c>
      <c r="C29" s="18"/>
      <c r="D29" s="61">
        <f>SUM(D27:D28)</f>
        <v>399690</v>
      </c>
      <c r="E29" s="39">
        <f>SUM(E27:E28)</f>
        <v>877937.84000000358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178600</v>
      </c>
      <c r="I29" s="39">
        <f t="shared" si="6"/>
        <v>325609.5</v>
      </c>
      <c r="J29" s="61">
        <f t="shared" si="6"/>
        <v>411855</v>
      </c>
      <c r="K29" s="39">
        <f t="shared" si="6"/>
        <v>1087502.1399999999</v>
      </c>
      <c r="L29" s="61">
        <f t="shared" si="6"/>
        <v>-86698</v>
      </c>
      <c r="M29" s="39">
        <f t="shared" si="6"/>
        <v>-281977.92</v>
      </c>
      <c r="N29" s="61">
        <f t="shared" si="6"/>
        <v>-41174</v>
      </c>
      <c r="O29" s="39">
        <f t="shared" si="6"/>
        <v>-109227.06999999998</v>
      </c>
      <c r="P29" s="61">
        <f t="shared" si="6"/>
        <v>-69627</v>
      </c>
      <c r="Q29" s="39">
        <f t="shared" si="6"/>
        <v>-158837.47999999998</v>
      </c>
      <c r="R29" s="61">
        <f>SUM(R27:R28)</f>
        <v>59658</v>
      </c>
      <c r="S29" s="39">
        <f>SUM(S27:S28)</f>
        <v>138819.24</v>
      </c>
      <c r="T29" s="61">
        <f t="shared" si="6"/>
        <v>26044</v>
      </c>
      <c r="U29" s="39">
        <f t="shared" si="6"/>
        <v>58480.899999999987</v>
      </c>
      <c r="V29" s="61">
        <f t="shared" ref="V29:AA29" si="7">SUM(V27:V28)</f>
        <v>-73</v>
      </c>
      <c r="W29" s="39">
        <f t="shared" si="7"/>
        <v>-85017.819999999992</v>
      </c>
      <c r="X29" s="61">
        <f t="shared" si="7"/>
        <v>-78825</v>
      </c>
      <c r="Y29" s="39">
        <f t="shared" si="7"/>
        <v>-97413.65</v>
      </c>
      <c r="Z29" s="61">
        <f t="shared" si="7"/>
        <v>-70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1449255</v>
      </c>
      <c r="E32" s="38">
        <f t="shared" si="8"/>
        <v>3282562.2739999997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0</v>
      </c>
      <c r="I32" s="38">
        <f>'EAST-EGM-GL'!I32+'EAST-LRC-GL'!I32</f>
        <v>-315789.27</v>
      </c>
      <c r="J32" s="60">
        <f>'EAST-EGM-GL'!J32+'EAST-LRC-GL'!J32</f>
        <v>-1676256</v>
      </c>
      <c r="K32" s="38">
        <f>'EAST-EGM-GL'!K32+'EAST-LRC-GL'!K32</f>
        <v>-4304901.0580000002</v>
      </c>
      <c r="L32" s="60">
        <f>'EAST-EGM-GL'!L32+'EAST-LRC-GL'!L32</f>
        <v>1130167</v>
      </c>
      <c r="M32" s="38">
        <f>'EAST-EGM-GL'!M32+'EAST-LRC-GL'!M32</f>
        <v>3055412.6289999997</v>
      </c>
      <c r="N32" s="60">
        <f>'EAST-EGM-GL'!N32+'EAST-LRC-GL'!N32</f>
        <v>999088</v>
      </c>
      <c r="O32" s="38">
        <f>'EAST-EGM-GL'!O32+'EAST-LRC-GL'!O32</f>
        <v>2554119.9920000001</v>
      </c>
      <c r="P32" s="60">
        <f>'EAST-EGM-GL'!P32+'EAST-LRC-GL'!P32</f>
        <v>371416</v>
      </c>
      <c r="Q32" s="38">
        <f>'EAST-EGM-GL'!Q32+'EAST-LRC-GL'!Q32</f>
        <v>878457.38099999994</v>
      </c>
      <c r="R32" s="60">
        <f>'EAST-EGM-GL'!R32+'EAST-LRC-GL'!R32</f>
        <v>29684</v>
      </c>
      <c r="S32" s="38">
        <f>'EAST-EGM-GL'!S32+'EAST-LRC-GL'!S32</f>
        <v>67234.260000000009</v>
      </c>
      <c r="T32" s="60">
        <f>'EAST-EGM-GL'!T32+'EAST-LRC-GL'!T32</f>
        <v>32485</v>
      </c>
      <c r="U32" s="38">
        <f>'EAST-EGM-GL'!U32+'EAST-LRC-GL'!U32</f>
        <v>73578.524999999994</v>
      </c>
      <c r="V32" s="60">
        <f>'EAST-EGM-GL'!V32+'EAST-LRC-GL'!V32</f>
        <v>462314</v>
      </c>
      <c r="W32" s="38">
        <f>'EAST-EGM-GL'!W32+'EAST-LRC-GL'!W32</f>
        <v>1047141.21</v>
      </c>
      <c r="X32" s="60">
        <f>'EAST-EGM-GL'!X32+'EAST-LRC-GL'!X32</f>
        <v>100530</v>
      </c>
      <c r="Y32" s="38">
        <f>'EAST-EGM-GL'!Y32+'EAST-LRC-GL'!Y32</f>
        <v>227700.44999999998</v>
      </c>
      <c r="Z32" s="60">
        <f>'EAST-EGM-GL'!Z32+'EAST-LRC-GL'!Z32</f>
        <v>-173</v>
      </c>
      <c r="AA32" s="38">
        <f>'EAST-EGM-GL'!AA32+'EAST-LRC-GL'!AA32</f>
        <v>-391.84500000000003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5">
      <c r="A33" s="9">
        <v>14</v>
      </c>
      <c r="B33" s="7"/>
      <c r="C33" s="18" t="s">
        <v>41</v>
      </c>
      <c r="D33" s="60">
        <f t="shared" si="8"/>
        <v>-101172</v>
      </c>
      <c r="E33" s="38">
        <f t="shared" si="8"/>
        <v>-273788.09999999998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0</v>
      </c>
      <c r="K33" s="38">
        <f>'EAST-EGM-GL'!K33+'EAST-LRC-GL'!K33</f>
        <v>0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-27965</v>
      </c>
      <c r="O33" s="38">
        <f>'EAST-EGM-GL'!O33+'EAST-LRC-GL'!O33</f>
        <v>-63219.92</v>
      </c>
      <c r="P33" s="60">
        <f>'EAST-EGM-GL'!P33+'EAST-LRC-GL'!P33</f>
        <v>-2868</v>
      </c>
      <c r="Q33" s="38">
        <f>'EAST-EGM-GL'!Q33+'EAST-LRC-GL'!Q33</f>
        <v>0</v>
      </c>
      <c r="R33" s="60">
        <f>'EAST-EGM-GL'!R33+'EAST-LRC-GL'!R33</f>
        <v>-24588</v>
      </c>
      <c r="S33" s="38">
        <f>'EAST-EGM-GL'!S33+'EAST-LRC-GL'!S33</f>
        <v>-104807.14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-5210</v>
      </c>
      <c r="W33" s="38">
        <f>'EAST-EGM-GL'!W33+'EAST-LRC-GL'!W33</f>
        <v>-13485.46</v>
      </c>
      <c r="X33" s="60">
        <f>'EAST-EGM-GL'!X33+'EAST-LRC-GL'!X33</f>
        <v>-40541</v>
      </c>
      <c r="Y33" s="38">
        <f>'EAST-EGM-GL'!Y33+'EAST-LRC-GL'!Y33</f>
        <v>-92275.58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5">
      <c r="A34" s="9">
        <v>15</v>
      </c>
      <c r="B34" s="7"/>
      <c r="C34" s="18" t="s">
        <v>42</v>
      </c>
      <c r="D34" s="60">
        <f t="shared" si="8"/>
        <v>26982</v>
      </c>
      <c r="E34" s="38">
        <f t="shared" si="8"/>
        <v>42378.900000000591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0</v>
      </c>
      <c r="K34" s="38">
        <f>'EAST-EGM-GL'!K34+'EAST-LRC-GL'!K34</f>
        <v>0</v>
      </c>
      <c r="L34" s="60">
        <f>'EAST-EGM-GL'!L34+'EAST-LRC-GL'!L34</f>
        <v>0</v>
      </c>
      <c r="M34" s="38">
        <f>'EAST-EGM-GL'!M34+'EAST-LRC-GL'!M34</f>
        <v>0</v>
      </c>
      <c r="N34" s="60">
        <f>'EAST-EGM-GL'!N34+'EAST-LRC-GL'!N34</f>
        <v>9430</v>
      </c>
      <c r="O34" s="38">
        <f>'EAST-EGM-GL'!O34+'EAST-LRC-GL'!O34</f>
        <v>4560155.99</v>
      </c>
      <c r="P34" s="60">
        <f>'EAST-EGM-GL'!P34+'EAST-LRC-GL'!P34</f>
        <v>0</v>
      </c>
      <c r="Q34" s="38">
        <f>'EAST-EGM-GL'!Q34+'EAST-LRC-GL'!Q34</f>
        <v>-4545663.8499999996</v>
      </c>
      <c r="R34" s="60">
        <f>'EAST-EGM-GL'!R34+'EAST-LRC-GL'!R34</f>
        <v>5099</v>
      </c>
      <c r="S34" s="38">
        <f>'EAST-EGM-GL'!S34+'EAST-LRC-GL'!S34</f>
        <v>11413.24</v>
      </c>
      <c r="T34" s="60">
        <f>'EAST-EGM-GL'!T34+'EAST-LRC-GL'!T34</f>
        <v>5150</v>
      </c>
      <c r="U34" s="38">
        <f>'EAST-EGM-GL'!U34+'EAST-LRC-GL'!U34</f>
        <v>0</v>
      </c>
      <c r="V34" s="60">
        <f>'EAST-EGM-GL'!V34+'EAST-LRC-GL'!V34</f>
        <v>5054</v>
      </c>
      <c r="W34" s="38">
        <f>'EAST-EGM-GL'!W34+'EAST-LRC-GL'!W34</f>
        <v>11400.41</v>
      </c>
      <c r="X34" s="60">
        <f>'EAST-EGM-GL'!X34+'EAST-LRC-GL'!X34</f>
        <v>2249</v>
      </c>
      <c r="Y34" s="38">
        <f>'EAST-EGM-GL'!Y34+'EAST-LRC-GL'!Y34</f>
        <v>5073.1099999999997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5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67859.990000000005</v>
      </c>
      <c r="F35" s="81">
        <f>('TIE-OUT'!J35+'TIE-OUT'!H35)+(RECLASS!J35+RECLASS!H35)</f>
        <v>0</v>
      </c>
      <c r="G35" s="82">
        <f>('TIE-OUT'!K35+'TIE-OUT'!I35)+(RECLASS!K35+RECLASS!I35)</f>
        <v>67860</v>
      </c>
      <c r="H35" s="60">
        <f>'EAST-EGM-GL'!H35+'EAST-LRC-GL'!H35</f>
        <v>0</v>
      </c>
      <c r="I35" s="38">
        <f>'EAST-EGM-GL'!I35+'EAST-LRC-GL'!I35</f>
        <v>-0.01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5">
      <c r="A36" s="9"/>
      <c r="B36" s="7" t="s">
        <v>44</v>
      </c>
      <c r="C36" s="6"/>
      <c r="D36" s="61">
        <f>SUM(D32:D35)</f>
        <v>1375065</v>
      </c>
      <c r="E36" s="39">
        <f>SUM(E32:E35)</f>
        <v>3119013.0640000002</v>
      </c>
      <c r="F36" s="61">
        <f t="shared" ref="F36:AD36" si="9">SUM(F32:F35)</f>
        <v>0</v>
      </c>
      <c r="G36" s="39">
        <f t="shared" si="9"/>
        <v>67860</v>
      </c>
      <c r="H36" s="61">
        <f t="shared" si="9"/>
        <v>0</v>
      </c>
      <c r="I36" s="39">
        <f t="shared" si="9"/>
        <v>-315789.28000000003</v>
      </c>
      <c r="J36" s="61">
        <f t="shared" si="9"/>
        <v>-1676256</v>
      </c>
      <c r="K36" s="39">
        <f t="shared" si="9"/>
        <v>-4304901.0580000002</v>
      </c>
      <c r="L36" s="61">
        <f t="shared" si="9"/>
        <v>1130167</v>
      </c>
      <c r="M36" s="39">
        <f t="shared" si="9"/>
        <v>3055412.6289999997</v>
      </c>
      <c r="N36" s="61">
        <f t="shared" si="9"/>
        <v>980553</v>
      </c>
      <c r="O36" s="39">
        <f t="shared" si="9"/>
        <v>7051056.0620000008</v>
      </c>
      <c r="P36" s="61">
        <f t="shared" si="9"/>
        <v>368548</v>
      </c>
      <c r="Q36" s="39">
        <f t="shared" si="9"/>
        <v>-3667206.4689999996</v>
      </c>
      <c r="R36" s="61">
        <f>SUM(R32:R35)</f>
        <v>10195</v>
      </c>
      <c r="S36" s="39">
        <f>SUM(S32:S35)</f>
        <v>-26159.639999999992</v>
      </c>
      <c r="T36" s="61">
        <f t="shared" si="9"/>
        <v>37635</v>
      </c>
      <c r="U36" s="39">
        <f t="shared" si="9"/>
        <v>73578.524999999994</v>
      </c>
      <c r="V36" s="61">
        <f t="shared" ref="V36:AA36" si="10">SUM(V32:V35)</f>
        <v>462158</v>
      </c>
      <c r="W36" s="39">
        <f t="shared" si="10"/>
        <v>1045056.16</v>
      </c>
      <c r="X36" s="61">
        <f t="shared" si="10"/>
        <v>62238</v>
      </c>
      <c r="Y36" s="39">
        <f t="shared" si="10"/>
        <v>140497.97999999998</v>
      </c>
      <c r="Z36" s="61">
        <f t="shared" si="10"/>
        <v>-173</v>
      </c>
      <c r="AA36" s="39">
        <f t="shared" si="10"/>
        <v>-391.84500000000003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>SUM(AE32:AE35)</f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854525</v>
      </c>
      <c r="E39" s="38">
        <f t="shared" si="11"/>
        <v>1740551.28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176933</v>
      </c>
      <c r="I39" s="38">
        <f>'EAST-EGM-GL'!I39+'EAST-LRC-GL'!I39</f>
        <v>400753.25</v>
      </c>
      <c r="J39" s="60">
        <f>'EAST-EGM-GL'!J39+'EAST-LRC-GL'!J39</f>
        <v>701003</v>
      </c>
      <c r="K39" s="38">
        <f>'EAST-EGM-GL'!K39+'EAST-LRC-GL'!K39</f>
        <v>1386067.53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-23411</v>
      </c>
      <c r="Q39" s="38">
        <f>'EAST-EGM-GL'!Q39+'EAST-LRC-GL'!Q39</f>
        <v>-46269.5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-1081006</v>
      </c>
      <c r="E40" s="38">
        <f t="shared" si="11"/>
        <v>-2162474.2600000002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-1030700</v>
      </c>
      <c r="K40" s="38">
        <f>'EAST-EGM-GL'!K40+'EAST-LRC-GL'!K40</f>
        <v>-2037075.48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-90000</v>
      </c>
      <c r="O40" s="38">
        <f>'EAST-EGM-GL'!O40+'EAST-LRC-GL'!O40</f>
        <v>-203850</v>
      </c>
      <c r="P40" s="60">
        <f>'EAST-EGM-GL'!P40+'EAST-LRC-GL'!P40</f>
        <v>75777</v>
      </c>
      <c r="Q40" s="38">
        <f>'EAST-EGM-GL'!Q40+'EAST-LRC-GL'!Q40</f>
        <v>149765.66</v>
      </c>
      <c r="R40" s="60">
        <f>'EAST-EGM-GL'!R40+'EAST-LRC-GL'!R40</f>
        <v>-36083</v>
      </c>
      <c r="S40" s="38">
        <f>'EAST-EGM-GL'!S40+'EAST-LRC-GL'!S40</f>
        <v>-71314.44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5">
      <c r="A42" s="9"/>
      <c r="B42" s="7"/>
      <c r="C42" s="53" t="s">
        <v>49</v>
      </c>
      <c r="D42" s="61">
        <f>SUM(D40:D41)</f>
        <v>-1081006</v>
      </c>
      <c r="E42" s="39">
        <f>SUM(E40:E41)</f>
        <v>-2162474.2600000002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-1030700</v>
      </c>
      <c r="K42" s="39">
        <f t="shared" si="12"/>
        <v>-2037075.48</v>
      </c>
      <c r="L42" s="61">
        <f t="shared" si="12"/>
        <v>0</v>
      </c>
      <c r="M42" s="39">
        <f t="shared" si="12"/>
        <v>0</v>
      </c>
      <c r="N42" s="61">
        <f t="shared" si="12"/>
        <v>-90000</v>
      </c>
      <c r="O42" s="39">
        <f t="shared" si="12"/>
        <v>-203850</v>
      </c>
      <c r="P42" s="61">
        <f t="shared" si="12"/>
        <v>75777</v>
      </c>
      <c r="Q42" s="39">
        <f t="shared" si="12"/>
        <v>149765.66</v>
      </c>
      <c r="R42" s="61">
        <f>SUM(R40:R41)</f>
        <v>-36083</v>
      </c>
      <c r="S42" s="39">
        <f>SUM(S40:S41)</f>
        <v>-71314.44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5">
      <c r="A43" s="9"/>
      <c r="B43" s="7" t="s">
        <v>50</v>
      </c>
      <c r="C43" s="6"/>
      <c r="D43" s="61">
        <f>D42+D39</f>
        <v>-226481</v>
      </c>
      <c r="E43" s="39">
        <f>E42+E39</f>
        <v>-421922.98000000021</v>
      </c>
      <c r="F43" s="61">
        <f t="shared" ref="F43:AD43" si="14">F42+F39</f>
        <v>0</v>
      </c>
      <c r="G43" s="39">
        <f t="shared" si="14"/>
        <v>0</v>
      </c>
      <c r="H43" s="61">
        <f t="shared" si="14"/>
        <v>176933</v>
      </c>
      <c r="I43" s="39">
        <f t="shared" si="14"/>
        <v>400753.25</v>
      </c>
      <c r="J43" s="61">
        <f t="shared" si="14"/>
        <v>-329697</v>
      </c>
      <c r="K43" s="39">
        <f t="shared" si="14"/>
        <v>-651007.94999999995</v>
      </c>
      <c r="L43" s="61">
        <f t="shared" si="14"/>
        <v>0</v>
      </c>
      <c r="M43" s="39">
        <f t="shared" si="14"/>
        <v>0</v>
      </c>
      <c r="N43" s="61">
        <f t="shared" si="14"/>
        <v>-90000</v>
      </c>
      <c r="O43" s="39">
        <f t="shared" si="14"/>
        <v>-203850</v>
      </c>
      <c r="P43" s="61">
        <f t="shared" si="14"/>
        <v>52366</v>
      </c>
      <c r="Q43" s="39">
        <f t="shared" si="14"/>
        <v>103496.16</v>
      </c>
      <c r="R43" s="61">
        <f>R42+R39</f>
        <v>-36083</v>
      </c>
      <c r="S43" s="39">
        <f>S42+S39</f>
        <v>-71314.44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>AE42+AE39</f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-18058</v>
      </c>
      <c r="E45" s="38">
        <f>SUM(G45,I45,K45,M45,O45,Q45,S45,U45,W45,Y45,AA45,AC45,AE45)</f>
        <v>-43892.399999999994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11351</v>
      </c>
      <c r="K45" s="38">
        <f>'EAST-EGM-GL'!K45+'EAST-LRC-GL'!K45</f>
        <v>21907.43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29409</v>
      </c>
      <c r="O45" s="38">
        <f>'EAST-EGM-GL'!O45+'EAST-LRC-GL'!O45</f>
        <v>67746.58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-29409</v>
      </c>
      <c r="U45" s="38">
        <f>'EAST-EGM-GL'!U45+'EAST-LRC-GL'!U45</f>
        <v>-66773.3</v>
      </c>
      <c r="V45" s="60">
        <f>'EAST-EGM-GL'!V45+'EAST-LRC-GL'!V45</f>
        <v>-29409</v>
      </c>
      <c r="W45" s="38">
        <f>'EAST-EGM-GL'!W45+'EAST-LRC-GL'!W45</f>
        <v>-66773.11</v>
      </c>
      <c r="X45" s="60">
        <f>'EAST-EGM-GL'!X45+'EAST-LRC-GL'!X45</f>
        <v>-29409</v>
      </c>
      <c r="Y45" s="38">
        <f>'EAST-EGM-GL'!Y45+'EAST-LRC-GL'!Y45</f>
        <v>-66773.11</v>
      </c>
      <c r="Z45" s="60">
        <f>'EAST-EGM-GL'!Z45+'EAST-LRC-GL'!Z45</f>
        <v>29409</v>
      </c>
      <c r="AA45" s="38">
        <f>'EAST-EGM-GL'!AA45+'EAST-LRC-GL'!AA45</f>
        <v>66773.11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63199</v>
      </c>
      <c r="K47" s="38">
        <f>'EAST-EGM-GL'!K47+'EAST-LRC-GL'!K47</f>
        <v>144093.72</v>
      </c>
      <c r="L47" s="60">
        <f>'EAST-EGM-GL'!L47+'EAST-LRC-GL'!L47</f>
        <v>-63199</v>
      </c>
      <c r="M47" s="38">
        <f>'EAST-EGM-GL'!M47+'EAST-LRC-GL'!M47</f>
        <v>-144093.72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-924129</v>
      </c>
      <c r="E49" s="38">
        <f>SUM(G49,I49,K49,M49,O49,Q49,S49,U49,W49,Y49,AA49,AC49,AE49)</f>
        <v>-2093152.1849999994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-967737</v>
      </c>
      <c r="I49" s="38">
        <f>'EAST-EGM-GL'!I49+'EAST-LRC-GL'!I49</f>
        <v>-2191924.3049999997</v>
      </c>
      <c r="J49" s="60">
        <f>'EAST-EGM-GL'!J49+'EAST-LRC-GL'!J49</f>
        <v>3120313</v>
      </c>
      <c r="K49" s="38">
        <f>'EAST-EGM-GL'!K49+'EAST-LRC-GL'!K49</f>
        <v>7067508.9450000003</v>
      </c>
      <c r="L49" s="60">
        <f>'EAST-EGM-GL'!L49+'EAST-LRC-GL'!L49</f>
        <v>-2480717</v>
      </c>
      <c r="M49" s="38">
        <f>'EAST-EGM-GL'!M49+'EAST-LRC-GL'!M49</f>
        <v>-5618824.0049999999</v>
      </c>
      <c r="N49" s="60">
        <f>'EAST-EGM-GL'!N49+'EAST-LRC-GL'!N49</f>
        <v>-238482</v>
      </c>
      <c r="O49" s="38">
        <f>'EAST-EGM-GL'!O49+'EAST-LRC-GL'!O49</f>
        <v>-540161.73</v>
      </c>
      <c r="P49" s="60">
        <f>'EAST-EGM-GL'!P49+'EAST-LRC-GL'!P49</f>
        <v>-339214</v>
      </c>
      <c r="Q49" s="38">
        <f>'EAST-EGM-GL'!Q49+'EAST-LRC-GL'!Q49</f>
        <v>-768319.71000000008</v>
      </c>
      <c r="R49" s="60">
        <f>'EAST-EGM-GL'!R49+'EAST-LRC-GL'!R49</f>
        <v>-300612</v>
      </c>
      <c r="S49" s="38">
        <f>'EAST-EGM-GL'!S49+'EAST-LRC-GL'!S49</f>
        <v>-680886.17999999993</v>
      </c>
      <c r="T49" s="60">
        <f>'EAST-EGM-GL'!T49+'EAST-LRC-GL'!T49</f>
        <v>234597</v>
      </c>
      <c r="U49" s="38">
        <f>'EAST-EGM-GL'!U49+'EAST-LRC-GL'!U49</f>
        <v>531362.20499999996</v>
      </c>
      <c r="V49" s="60">
        <f>'EAST-EGM-GL'!V49+'EAST-LRC-GL'!V49</f>
        <v>28089</v>
      </c>
      <c r="W49" s="38">
        <f>'EAST-EGM-GL'!W49+'EAST-LRC-GL'!W49</f>
        <v>63621.584999999992</v>
      </c>
      <c r="X49" s="60">
        <f>'EAST-EGM-GL'!X49+'EAST-LRC-GL'!X49</f>
        <v>43929</v>
      </c>
      <c r="Y49" s="38">
        <f>'EAST-EGM-GL'!Y49+'EAST-LRC-GL'!Y49</f>
        <v>99499.184999999998</v>
      </c>
      <c r="Z49" s="60">
        <f>'EAST-EGM-GL'!Z49+'EAST-LRC-GL'!Z49</f>
        <v>-24295</v>
      </c>
      <c r="AA49" s="38">
        <f>'EAST-EGM-GL'!AA49+'EAST-LRC-GL'!AA49</f>
        <v>-55028.174999999996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-639073</v>
      </c>
      <c r="E51" s="38">
        <f>SUM(G51,I51,K51,M51,O51,Q51,S51,U51,W51,Y51,AA51,AC51,AE51)</f>
        <v>-1448043.61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0</v>
      </c>
      <c r="I51" s="38">
        <f>'EAST-EGM-GL'!I51+'EAST-LRC-GL'!I51</f>
        <v>0</v>
      </c>
      <c r="J51" s="60">
        <f>'EAST-EGM-GL'!J51+'EAST-LRC-GL'!J51</f>
        <v>-553959</v>
      </c>
      <c r="K51" s="38">
        <f>'EAST-EGM-GL'!K51+'EAST-LRC-GL'!K51</f>
        <v>-1255014.99</v>
      </c>
      <c r="L51" s="60">
        <f>'EAST-EGM-GL'!L51+'EAST-LRC-GL'!L51</f>
        <v>-81500</v>
      </c>
      <c r="M51" s="38">
        <f>'EAST-EGM-GL'!M51+'EAST-LRC-GL'!M51</f>
        <v>-184597.5</v>
      </c>
      <c r="N51" s="60">
        <f>'EAST-EGM-GL'!N51+'EAST-LRC-GL'!N51</f>
        <v>-260</v>
      </c>
      <c r="O51" s="38">
        <f>'EAST-EGM-GL'!O51+'EAST-LRC-GL'!O51</f>
        <v>-1304.51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-452</v>
      </c>
      <c r="S51" s="38">
        <f>'EAST-EGM-GL'!S51+'EAST-LRC-GL'!S51</f>
        <v>-1023.78</v>
      </c>
      <c r="T51" s="60">
        <f>'EAST-EGM-GL'!T51+'EAST-LRC-GL'!T51</f>
        <v>67</v>
      </c>
      <c r="U51" s="38">
        <f>'EAST-EGM-GL'!U51+'EAST-LRC-GL'!U51</f>
        <v>146.30500000000001</v>
      </c>
      <c r="V51" s="60">
        <f>'EAST-EGM-GL'!V51+'EAST-LRC-GL'!V51</f>
        <v>-277</v>
      </c>
      <c r="W51" s="38">
        <f>'EAST-EGM-GL'!W51+'EAST-LRC-GL'!W51</f>
        <v>-468.85500000000002</v>
      </c>
      <c r="X51" s="60">
        <f>'EAST-EGM-GL'!X51+'EAST-LRC-GL'!X51</f>
        <v>-2622</v>
      </c>
      <c r="Y51" s="38">
        <f>'EAST-EGM-GL'!Y51+'EAST-LRC-GL'!Y51</f>
        <v>-5780.28</v>
      </c>
      <c r="Z51" s="60">
        <f>'EAST-EGM-GL'!Z51+'EAST-LRC-GL'!Z51</f>
        <v>-70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-66307472</v>
      </c>
      <c r="E54" s="38">
        <f>SUM(G54,I54,K54,M54,O54,Q54,S54,U54,W54,Y54,AA54,AC54,AE54)</f>
        <v>-671408.92000000132</v>
      </c>
      <c r="F54" s="64">
        <f>('TIE-OUT'!J54+'TIE-OUT'!H54)+(RECLASS!J54+RECLASS!H54)</f>
        <v>0</v>
      </c>
      <c r="G54" s="68">
        <f>('TIE-OUT'!K54+'TIE-OUT'!I54)+(RECLASS!K54+RECLASS!I54)</f>
        <v>2499025</v>
      </c>
      <c r="H54" s="60">
        <f>'EAST-EGM-GL'!H54+'EAST-LRC-GL'!H54</f>
        <v>-47475581</v>
      </c>
      <c r="I54" s="38">
        <f>'EAST-EGM-GL'!I54+'EAST-LRC-GL'!I54</f>
        <v>-13687415.460000001</v>
      </c>
      <c r="J54" s="60">
        <f>'EAST-EGM-GL'!J54+'EAST-LRC-GL'!J54</f>
        <v>-18269340</v>
      </c>
      <c r="K54" s="38">
        <f>'EAST-EGM-GL'!K54+'EAST-LRC-GL'!K54</f>
        <v>6888473.3999999994</v>
      </c>
      <c r="L54" s="60">
        <f>'EAST-EGM-GL'!L54+'EAST-LRC-GL'!L54</f>
        <v>-3961686</v>
      </c>
      <c r="M54" s="38">
        <f>'EAST-EGM-GL'!M54+'EAST-LRC-GL'!M54</f>
        <v>106819.84</v>
      </c>
      <c r="N54" s="60">
        <f>'EAST-EGM-GL'!N54+'EAST-LRC-GL'!N54</f>
        <v>-1229128</v>
      </c>
      <c r="O54" s="38">
        <f>'EAST-EGM-GL'!O54+'EAST-LRC-GL'!O54</f>
        <v>2535800.41</v>
      </c>
      <c r="P54" s="60">
        <f>'EAST-EGM-GL'!P54+'EAST-LRC-GL'!P54</f>
        <v>5277477</v>
      </c>
      <c r="Q54" s="38">
        <f>'EAST-EGM-GL'!Q54+'EAST-LRC-GL'!Q54</f>
        <v>784244.05</v>
      </c>
      <c r="R54" s="60">
        <f>'EAST-EGM-GL'!R54+'EAST-LRC-GL'!R54</f>
        <v>-961910</v>
      </c>
      <c r="S54" s="38">
        <f>'EAST-EGM-GL'!S54+'EAST-LRC-GL'!S54</f>
        <v>-55548.73</v>
      </c>
      <c r="T54" s="60">
        <f>'EAST-EGM-GL'!T54+'EAST-LRC-GL'!T54</f>
        <v>407864</v>
      </c>
      <c r="U54" s="38">
        <f>'EAST-EGM-GL'!U54+'EAST-LRC-GL'!U54</f>
        <v>-9759.8799999999992</v>
      </c>
      <c r="V54" s="60">
        <f>'EAST-EGM-GL'!V54+'EAST-LRC-GL'!V54</f>
        <v>97719</v>
      </c>
      <c r="W54" s="38">
        <f>'EAST-EGM-GL'!W54+'EAST-LRC-GL'!W54</f>
        <v>154007.26999999999</v>
      </c>
      <c r="X54" s="60">
        <f>'EAST-EGM-GL'!X54+'EAST-LRC-GL'!X54</f>
        <v>-5271</v>
      </c>
      <c r="Y54" s="38">
        <f>'EAST-EGM-GL'!Y54+'EAST-LRC-GL'!Y54</f>
        <v>118576.54</v>
      </c>
      <c r="Z54" s="60">
        <f>'EAST-EGM-GL'!Z54+'EAST-LRC-GL'!Z54</f>
        <v>-187616</v>
      </c>
      <c r="AA54" s="38">
        <f>'EAST-EGM-GL'!AA54+'EAST-LRC-GL'!AA54</f>
        <v>-5631.36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-1078391.8500000001</v>
      </c>
      <c r="F55" s="81">
        <f>('TIE-OUT'!J55+'TIE-OUT'!H55)+(RECLASS!J55+RECLASS!H55)</f>
        <v>0</v>
      </c>
      <c r="G55" s="82">
        <f>('TIE-OUT'!K55+'TIE-OUT'!I55)+(RECLASS!K55+RECLASS!I55)</f>
        <v>-641864</v>
      </c>
      <c r="H55" s="60">
        <f>'EAST-EGM-GL'!H55+'EAST-LRC-GL'!H55</f>
        <v>0</v>
      </c>
      <c r="I55" s="38">
        <f>'EAST-EGM-GL'!I55+'EAST-LRC-GL'!I55</f>
        <v>-30448.63</v>
      </c>
      <c r="J55" s="60">
        <f>'EAST-EGM-GL'!J55+'EAST-LRC-GL'!J55</f>
        <v>0</v>
      </c>
      <c r="K55" s="38">
        <f>'EAST-EGM-GL'!K55+'EAST-LRC-GL'!K55</f>
        <v>5801.36</v>
      </c>
      <c r="L55" s="60">
        <f>'EAST-EGM-GL'!L55+'EAST-LRC-GL'!L55</f>
        <v>0</v>
      </c>
      <c r="M55" s="38">
        <f>'EAST-EGM-GL'!M55+'EAST-LRC-GL'!M55</f>
        <v>192294.06</v>
      </c>
      <c r="N55" s="60">
        <f>'EAST-EGM-GL'!N55+'EAST-LRC-GL'!N55</f>
        <v>0</v>
      </c>
      <c r="O55" s="38">
        <f>'EAST-EGM-GL'!O55+'EAST-LRC-GL'!O55</f>
        <v>-1214945.1100000001</v>
      </c>
      <c r="P55" s="60">
        <f>'EAST-EGM-GL'!P55+'EAST-LRC-GL'!P55</f>
        <v>0</v>
      </c>
      <c r="Q55" s="38">
        <f>'EAST-EGM-GL'!Q55+'EAST-LRC-GL'!Q55</f>
        <v>616077.02</v>
      </c>
      <c r="R55" s="60">
        <f>'EAST-EGM-GL'!R55+'EAST-LRC-GL'!R55</f>
        <v>0</v>
      </c>
      <c r="S55" s="38">
        <f>'EAST-EGM-GL'!S55+'EAST-LRC-GL'!S55</f>
        <v>358663.01</v>
      </c>
      <c r="T55" s="60">
        <f>'EAST-EGM-GL'!T55+'EAST-LRC-GL'!T55</f>
        <v>0</v>
      </c>
      <c r="U55" s="38">
        <f>'EAST-EGM-GL'!U55+'EAST-LRC-GL'!U55</f>
        <v>-288289.55</v>
      </c>
      <c r="V55" s="60">
        <f>'EAST-EGM-GL'!V55+'EAST-LRC-GL'!V55</f>
        <v>0</v>
      </c>
      <c r="W55" s="38">
        <f>'EAST-EGM-GL'!W55+'EAST-LRC-GL'!W55</f>
        <v>23.1</v>
      </c>
      <c r="X55" s="60">
        <f>'EAST-EGM-GL'!X55+'EAST-LRC-GL'!X55</f>
        <v>0</v>
      </c>
      <c r="Y55" s="38">
        <f>'EAST-EGM-GL'!Y55+'EAST-LRC-GL'!Y55</f>
        <v>-75628.11</v>
      </c>
      <c r="Z55" s="60">
        <f>'EAST-EGM-GL'!Z55+'EAST-LRC-GL'!Z55</f>
        <v>0</v>
      </c>
      <c r="AA55" s="38">
        <f>'EAST-EGM-GL'!AA55+'EAST-LRC-GL'!AA55</f>
        <v>-75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5">
      <c r="A56" s="9"/>
      <c r="B56" s="7" t="s">
        <v>58</v>
      </c>
      <c r="C56" s="6"/>
      <c r="D56" s="61">
        <f>SUM(D54:D55)</f>
        <v>-66307472</v>
      </c>
      <c r="E56" s="39">
        <f>SUM(E54:E55)</f>
        <v>-1749800.7700000014</v>
      </c>
      <c r="F56" s="61">
        <f t="shared" ref="F56:AD56" si="16">SUM(F54:F55)</f>
        <v>0</v>
      </c>
      <c r="G56" s="39">
        <f t="shared" si="16"/>
        <v>1857161</v>
      </c>
      <c r="H56" s="61">
        <f t="shared" si="16"/>
        <v>-47475581</v>
      </c>
      <c r="I56" s="39">
        <f t="shared" si="16"/>
        <v>-13717864.090000002</v>
      </c>
      <c r="J56" s="61">
        <f t="shared" si="16"/>
        <v>-18269340</v>
      </c>
      <c r="K56" s="39">
        <f t="shared" si="16"/>
        <v>6894274.7599999998</v>
      </c>
      <c r="L56" s="61">
        <f t="shared" si="16"/>
        <v>-3961686</v>
      </c>
      <c r="M56" s="39">
        <f t="shared" si="16"/>
        <v>299113.90000000002</v>
      </c>
      <c r="N56" s="61">
        <f t="shared" si="16"/>
        <v>-1229128</v>
      </c>
      <c r="O56" s="39">
        <f t="shared" si="16"/>
        <v>1320855.3</v>
      </c>
      <c r="P56" s="61">
        <f t="shared" si="16"/>
        <v>5277477</v>
      </c>
      <c r="Q56" s="39">
        <f t="shared" si="16"/>
        <v>1400321.07</v>
      </c>
      <c r="R56" s="61">
        <f>SUM(R54:R55)</f>
        <v>-961910</v>
      </c>
      <c r="S56" s="39">
        <f>SUM(S54:S55)</f>
        <v>303114.28000000003</v>
      </c>
      <c r="T56" s="61">
        <f t="shared" si="16"/>
        <v>407864</v>
      </c>
      <c r="U56" s="39">
        <f t="shared" si="16"/>
        <v>-298049.43</v>
      </c>
      <c r="V56" s="61">
        <f t="shared" ref="V56:AA56" si="17">SUM(V54:V55)</f>
        <v>97719</v>
      </c>
      <c r="W56" s="39">
        <f t="shared" si="17"/>
        <v>154030.37</v>
      </c>
      <c r="X56" s="61">
        <f t="shared" si="17"/>
        <v>-5271</v>
      </c>
      <c r="Y56" s="39">
        <f t="shared" si="17"/>
        <v>42948.429999999993</v>
      </c>
      <c r="Z56" s="61">
        <f t="shared" si="17"/>
        <v>-187616</v>
      </c>
      <c r="AA56" s="39">
        <f t="shared" si="17"/>
        <v>-5706.36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>SUM(AE54:AE55)</f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2441557</v>
      </c>
      <c r="E59" s="38">
        <f>SUM(G59,I59,K59,M59,O59,Q59,S59,U59,W59,Y59,AA59,AC59,AE59)</f>
        <v>118624.84000000001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2415039</v>
      </c>
      <c r="I59" s="38">
        <f>'EAST-EGM-GL'!I59+'EAST-LRC-GL'!I59</f>
        <v>130755.53</v>
      </c>
      <c r="J59" s="60">
        <f>'EAST-EGM-GL'!J59+'EAST-LRC-GL'!J59</f>
        <v>25233</v>
      </c>
      <c r="K59" s="38">
        <f>'EAST-EGM-GL'!K59+'EAST-LRC-GL'!K59</f>
        <v>-77955.759999999995</v>
      </c>
      <c r="L59" s="60">
        <f>'EAST-EGM-GL'!L59+'EAST-LRC-GL'!L59</f>
        <v>0</v>
      </c>
      <c r="M59" s="38">
        <f>'EAST-EGM-GL'!M59+'EAST-LRC-GL'!M59</f>
        <v>62980.9</v>
      </c>
      <c r="N59" s="60">
        <f>'EAST-EGM-GL'!N59+'EAST-LRC-GL'!N59</f>
        <v>0</v>
      </c>
      <c r="O59" s="38">
        <f>'EAST-EGM-GL'!O59+'EAST-LRC-GL'!O59</f>
        <v>61.12</v>
      </c>
      <c r="P59" s="60">
        <f>'EAST-EGM-GL'!P59+'EAST-LRC-GL'!P59</f>
        <v>0</v>
      </c>
      <c r="Q59" s="38">
        <f>'EAST-EGM-GL'!Q59+'EAST-LRC-GL'!Q59</f>
        <v>-0.05</v>
      </c>
      <c r="R59" s="60">
        <f>'EAST-EGM-GL'!R59+'EAST-LRC-GL'!R59</f>
        <v>1285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2783.1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5">
      <c r="A61" s="9"/>
      <c r="B61" s="62" t="s">
        <v>62</v>
      </c>
      <c r="C61" s="6"/>
      <c r="D61" s="61">
        <f>SUM(D59:D60)</f>
        <v>2441557</v>
      </c>
      <c r="E61" s="39">
        <f>SUM(E59:E60)</f>
        <v>118624.84000000001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2415039</v>
      </c>
      <c r="I61" s="39">
        <f t="shared" si="18"/>
        <v>130755.53</v>
      </c>
      <c r="J61" s="61">
        <f t="shared" si="18"/>
        <v>25233</v>
      </c>
      <c r="K61" s="39">
        <f t="shared" si="18"/>
        <v>-77955.759999999995</v>
      </c>
      <c r="L61" s="61">
        <f t="shared" si="18"/>
        <v>0</v>
      </c>
      <c r="M61" s="39">
        <f t="shared" si="18"/>
        <v>62980.9</v>
      </c>
      <c r="N61" s="61">
        <f t="shared" si="18"/>
        <v>0</v>
      </c>
      <c r="O61" s="39">
        <f t="shared" si="18"/>
        <v>61.12</v>
      </c>
      <c r="P61" s="61">
        <f t="shared" si="18"/>
        <v>0</v>
      </c>
      <c r="Q61" s="39">
        <f t="shared" si="18"/>
        <v>-0.05</v>
      </c>
      <c r="R61" s="61">
        <f>SUM(R59:R60)</f>
        <v>1285</v>
      </c>
      <c r="S61" s="39">
        <f>SUM(S59:S60)</f>
        <v>0</v>
      </c>
      <c r="T61" s="61">
        <f t="shared" si="18"/>
        <v>0</v>
      </c>
      <c r="U61" s="39">
        <f t="shared" si="18"/>
        <v>2783.1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-17773574</v>
      </c>
      <c r="E64" s="38">
        <f>SUM(G64,I64,K64,M64,O64,Q64,S64,U64,W64,Y64,AA64,AC64,AE64)</f>
        <v>-2177721.27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-11169425</v>
      </c>
      <c r="I64" s="38">
        <f>'EAST-EGM-GL'!I64+'EAST-LRC-GL'!I64</f>
        <v>-1985165.81</v>
      </c>
      <c r="J64" s="60">
        <f>'EAST-EGM-GL'!J64+'EAST-LRC-GL'!J64</f>
        <v>-6621163</v>
      </c>
      <c r="K64" s="38">
        <f>'EAST-EGM-GL'!K64+'EAST-LRC-GL'!K64</f>
        <v>-194511.12</v>
      </c>
      <c r="L64" s="60"/>
      <c r="M64" s="38"/>
      <c r="N64" s="60"/>
      <c r="O64" s="38"/>
      <c r="P64" s="60"/>
      <c r="Q64" s="38"/>
      <c r="R64" s="60">
        <f>'EAST-EGM-GL'!R64+'EAST-LRC-GL'!R64</f>
        <v>17014</v>
      </c>
      <c r="S64" s="38">
        <f>'EAST-EGM-GL'!S64+'EAST-LRC-GL'!S64</f>
        <v>1955.66</v>
      </c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17596706</v>
      </c>
      <c r="E65" s="38">
        <f>SUM(G65,I65,K65,M65,O65,Q65,S65,U65,W65,Y65,AA65,AC65,AE65)</f>
        <v>2177975.56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11165424</v>
      </c>
      <c r="I65" s="38">
        <f>'EAST-EGM-GL'!I65+'EAST-LRC-GL'!I65</f>
        <v>1993681.48</v>
      </c>
      <c r="J65" s="60">
        <f>'EAST-EGM-GL'!J65+'EAST-LRC-GL'!J65</f>
        <v>6448296</v>
      </c>
      <c r="K65" s="38">
        <f>'EAST-EGM-GL'!K65+'EAST-LRC-GL'!K65</f>
        <v>185995.47</v>
      </c>
      <c r="L65" s="60"/>
      <c r="M65" s="38"/>
      <c r="N65" s="60"/>
      <c r="O65" s="38"/>
      <c r="P65" s="60"/>
      <c r="Q65" s="38"/>
      <c r="R65" s="60">
        <f>'EAST-EGM-GL'!R65+'EAST-LRC-GL'!R65</f>
        <v>-17014</v>
      </c>
      <c r="S65" s="38">
        <f>'EAST-EGM-GL'!S65+'EAST-LRC-GL'!S65</f>
        <v>-1701.39</v>
      </c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65</v>
      </c>
      <c r="C66" s="6"/>
      <c r="D66" s="61">
        <f>SUM(D64:D65)</f>
        <v>-176868</v>
      </c>
      <c r="E66" s="39">
        <f>SUM(E64:E65)</f>
        <v>254.29000000003725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-4001</v>
      </c>
      <c r="I66" s="39">
        <f t="shared" si="20"/>
        <v>8515.6699999999255</v>
      </c>
      <c r="J66" s="61">
        <f t="shared" si="20"/>
        <v>-172867</v>
      </c>
      <c r="K66" s="39">
        <f t="shared" si="20"/>
        <v>-8515.6499999999942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>SUM(R64:R65)</f>
        <v>0</v>
      </c>
      <c r="S66" s="39">
        <f>SUM(S64:S65)</f>
        <v>254.26999999999998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3210854.25</v>
      </c>
      <c r="F70" s="64">
        <f>('TIE-OUT'!J70+'TIE-OUT'!H70)+(RECLASS!J70+RECLASS!H70)</f>
        <v>0</v>
      </c>
      <c r="G70" s="68">
        <f>('TIE-OUT'!K70+'TIE-OUT'!I70)+(RECLASS!K70+RECLASS!I70)</f>
        <v>3210854.25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-5679557.9500000002</v>
      </c>
      <c r="F71" s="81">
        <f>('TIE-OUT'!J71+'TIE-OUT'!H71)+(RECLASS!J71+RECLASS!H71)</f>
        <v>0</v>
      </c>
      <c r="G71" s="82">
        <f>('TIE-OUT'!K71+'TIE-OUT'!I71)+(RECLASS!K71+RECLASS!I71)</f>
        <v>-5679557.9500000002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-2468703.7000000002</v>
      </c>
      <c r="F72" s="61">
        <f t="shared" ref="F72:AD72" si="22">SUM(F70:F71)</f>
        <v>0</v>
      </c>
      <c r="G72" s="39">
        <f t="shared" si="22"/>
        <v>-2468703.7000000002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>SUM(R70:R71)</f>
        <v>0</v>
      </c>
      <c r="S72" s="39">
        <f>SUM(S70:S71)</f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3307294</v>
      </c>
      <c r="F74" s="60">
        <f>('TIE-OUT'!J74+'TIE-OUT'!H74)+(RECLASS!J74+RECLASS!H74)</f>
        <v>0</v>
      </c>
      <c r="G74" s="60">
        <f>('TIE-OUT'!K74+'TIE-OUT'!I74)+(RECLASS!K74+RECLASS!I74)</f>
        <v>3046194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213900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47200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274200</v>
      </c>
      <c r="F75" s="60">
        <f>('TIE-OUT'!J75+'TIE-OUT'!H75)+(RECLASS!J75+RECLASS!H75)</f>
        <v>0</v>
      </c>
      <c r="G75" s="60">
        <f>('TIE-OUT'!K75+'TIE-OUT'!I75)+(RECLASS!K75+RECLASS!I75)</f>
        <v>274200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-10196.349999999999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0</v>
      </c>
      <c r="J76" s="60">
        <f>'EAST-EGM-GL'!J76+'EAST-LRC-GL'!J76</f>
        <v>0</v>
      </c>
      <c r="K76" s="38">
        <f>'EAST-EGM-GL'!K76+'EAST-LRC-GL'!K76</f>
        <v>-30076.959999999999</v>
      </c>
      <c r="L76" s="60">
        <f>'EAST-EGM-GL'!L76+'EAST-LRC-GL'!L76</f>
        <v>0</v>
      </c>
      <c r="M76" s="38">
        <f>'EAST-EGM-GL'!M76+'EAST-LRC-GL'!M76</f>
        <v>16539.88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1778.14</v>
      </c>
      <c r="T76" s="60">
        <f>'EAST-EGM-GL'!T76+'EAST-LRC-GL'!T76</f>
        <v>0</v>
      </c>
      <c r="U76" s="38">
        <f>'EAST-EGM-GL'!U76+'EAST-LRC-GL'!U76</f>
        <v>816.99</v>
      </c>
      <c r="V76" s="60">
        <f>'EAST-EGM-GL'!V76+'EAST-LRC-GL'!V76</f>
        <v>0</v>
      </c>
      <c r="W76" s="38">
        <f>'EAST-EGM-GL'!W76+'EAST-LRC-GL'!W76</f>
        <v>10.15</v>
      </c>
      <c r="X76" s="60">
        <f>'EAST-EGM-GL'!X76+'EAST-LRC-GL'!X76</f>
        <v>0</v>
      </c>
      <c r="Y76" s="38">
        <f>'EAST-EGM-GL'!Y76+'EAST-LRC-GL'!Y76</f>
        <v>735.45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-3918809</v>
      </c>
      <c r="F77" s="60">
        <f>('TIE-OUT'!J77+'TIE-OUT'!H77)+(RECLASS!J77+RECLASS!H77)</f>
        <v>0</v>
      </c>
      <c r="G77" s="60">
        <f>('TIE-OUT'!K77+'TIE-OUT'!I77)+(RECLASS!K77+RECLASS!I77)</f>
        <v>-3918809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547512.44999999995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507921.76</v>
      </c>
      <c r="J81" s="60">
        <f>'EAST-EGM-GL'!J81+'EAST-LRC-GL'!J81</f>
        <v>0</v>
      </c>
      <c r="K81" s="38">
        <f>'EAST-EGM-GL'!K81+'EAST-LRC-GL'!K81</f>
        <v>39590.69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-1023984.5410000522</v>
      </c>
      <c r="F82" s="92">
        <f>F16+F24+F29+F36+F43+F45+F47+F49</f>
        <v>0</v>
      </c>
      <c r="G82" s="93">
        <f>SUM(G72:G81)+G16+G24+G29+G36+G43+G45+G47+G49+G51+G56+G61+G66</f>
        <v>577509.62000000011</v>
      </c>
      <c r="H82" s="92">
        <f>H16+H24+H29+H36+H43+H45+H47+H49</f>
        <v>0</v>
      </c>
      <c r="I82" s="93">
        <f>SUM(I72:I81)+I16+I24+I29+I36+I43+I45+I47+I49+I51+I56+I61+I66</f>
        <v>-12833166.314999975</v>
      </c>
      <c r="J82" s="92">
        <f>J16+J24+J29+J36+J43+J45+J47+J49</f>
        <v>0</v>
      </c>
      <c r="K82" s="93">
        <f>SUM(K72:K81)+K16+K24+K29+K36+K43+K45+K47+K49+K51+K56+K61+K66</f>
        <v>-13858040.732999997</v>
      </c>
      <c r="L82" s="92">
        <f>L16+L24+L29+L36+L43+L45+L47+L49</f>
        <v>0</v>
      </c>
      <c r="M82" s="93">
        <f>SUM(M72:M81)+M16+M24+M29+M36+M43+M45+M47+M49+M51+M56+M61+M66</f>
        <v>19271560.683999997</v>
      </c>
      <c r="N82" s="92">
        <f>N16+N24+N29+N36+N43+N45+N47+N49</f>
        <v>0</v>
      </c>
      <c r="O82" s="93">
        <f>SUM(O72:O81)+O16+O24+O29+O36+O43+O45+O47+O49+O51+O56+O61+O66</f>
        <v>7429778.1620000005</v>
      </c>
      <c r="P82" s="92">
        <f>P16+P24+P29+P36+P43+P45+P47+P49</f>
        <v>0</v>
      </c>
      <c r="Q82" s="93">
        <f>SUM(Q72:Q81)+Q16+Q24+Q29+Q36+Q43+Q45+Q47+Q49+Q51+Q56+Q61+Q66</f>
        <v>-3122662.9289999986</v>
      </c>
      <c r="R82" s="92">
        <f>R16+R24+R29+R36+R43+R45+R47+R49</f>
        <v>0</v>
      </c>
      <c r="S82" s="93">
        <f>SUM(S72:S81)+S16+S24+S29+S36+S43+S45+S47+S49+S51+S56+S61+S66</f>
        <v>-443634.17999999959</v>
      </c>
      <c r="T82" s="92">
        <f>T16+T24+T29+T36+T43+T45+T47+T49</f>
        <v>0</v>
      </c>
      <c r="U82" s="93">
        <f>SUM(U72:U81)+U16+U24+U29+U36+U43+U45+U47+U49+U51+U56+U61+U66</f>
        <v>405076.3999999988</v>
      </c>
      <c r="V82" s="92">
        <f>V16+V24+V29+V36+V43+V45+V47+V49</f>
        <v>0</v>
      </c>
      <c r="W82" s="93">
        <f>SUM(W72:W81)+W16+W24+W29+W36+W43+W45+W47+W49+W51+W56+W61+W66</f>
        <v>620417.20499999996</v>
      </c>
      <c r="X82" s="92">
        <f>X16+X24+X29+X36+X43+X45+X47+X49</f>
        <v>0</v>
      </c>
      <c r="Y82" s="93">
        <f>SUM(Y72:Y81)+Y16+Y24+Y29+Y36+Y43+Y45+Y47+Y49+Y51+Y56+Y61+Y66</f>
        <v>935013.3349999974</v>
      </c>
      <c r="Z82" s="92">
        <f>Z16+Z24+Z29+Z36+Z43+Z45+Z47+Z49</f>
        <v>0</v>
      </c>
      <c r="AA82" s="93">
        <f>SUM(AA72:AA81)+AA16+AA24+AA29+AA36+AA43+AA45+AA47+AA49+AA51+AA56+AA61+AA66</f>
        <v>-5835.7899999999927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8" thickTop="1" x14ac:dyDescent="0.25">
      <c r="A83" s="4"/>
      <c r="B83" s="3"/>
      <c r="AG83" s="45"/>
    </row>
    <row r="84" spans="1:67" x14ac:dyDescent="0.25">
      <c r="A84" s="4"/>
      <c r="B84" s="3"/>
      <c r="E84" s="14">
        <f>+'EAST-LRC-GL'!E82+'EAST-EGM-GL'!E82</f>
        <v>-1023984.5510000525</v>
      </c>
      <c r="G84" s="14">
        <f>+'EAST-LRC-GL'!G82+'EAST-EGM-GL'!G82</f>
        <v>577509.61999999988</v>
      </c>
      <c r="I84" s="14">
        <f>+'EAST-LRC-GL'!I82+'EAST-EGM-GL'!I82</f>
        <v>-12833166.31499999</v>
      </c>
      <c r="K84" s="14">
        <f>+'EAST-LRC-GL'!K82+'EAST-EGM-GL'!K82</f>
        <v>-13858040.733000003</v>
      </c>
      <c r="M84" s="14">
        <f>+'EAST-LRC-GL'!M82+'EAST-EGM-GL'!M82</f>
        <v>19271560.663999993</v>
      </c>
      <c r="O84" s="14">
        <f>+'EAST-LRC-GL'!O82+'EAST-EGM-GL'!O82</f>
        <v>7429778.1619999986</v>
      </c>
      <c r="Q84" s="14">
        <f>+'EAST-LRC-GL'!Q82+'EAST-EGM-GL'!Q82</f>
        <v>-3122662.918999996</v>
      </c>
      <c r="S84" s="14">
        <f>+'EAST-LRC-GL'!S82+'EAST-EGM-GL'!S82</f>
        <v>-443634.17999999819</v>
      </c>
    </row>
    <row r="85" spans="1:67" x14ac:dyDescent="0.25">
      <c r="A85" s="4" t="s">
        <v>180</v>
      </c>
      <c r="B85" s="3"/>
      <c r="F85" s="31"/>
      <c r="G85" s="31"/>
      <c r="H85" s="31"/>
      <c r="I85" s="31"/>
      <c r="L85" s="45"/>
    </row>
    <row r="86" spans="1:67" s="3" customFormat="1" x14ac:dyDescent="0.25">
      <c r="A86" s="173"/>
      <c r="C86" s="10" t="s">
        <v>173</v>
      </c>
      <c r="D86" s="174">
        <f t="shared" ref="D86:E88" si="25">SUM(F86,H86,J86,L86,N86,P86,R86,T86,V86,X86,Z86,AB86,AD86)</f>
        <v>0</v>
      </c>
      <c r="E86" s="174">
        <f t="shared" si="25"/>
        <v>-614051</v>
      </c>
      <c r="F86" s="174">
        <f>'EAST-EGM-GL'!F86+'EAST-LRC-GL'!F86</f>
        <v>0</v>
      </c>
      <c r="G86" s="174">
        <f>'EAST-EGM-GL'!G86+'EAST-LRC-GL'!G86</f>
        <v>-614051</v>
      </c>
      <c r="H86" s="174">
        <f>'EAST-EGM-GL'!H86+'EAST-LRC-GL'!H86</f>
        <v>0</v>
      </c>
      <c r="I86" s="174">
        <f>'EAST-EGM-GL'!I86+'EAST-LRC-GL'!I86</f>
        <v>0</v>
      </c>
      <c r="J86" s="174">
        <f>'EAST-EGM-GL'!J86+'EAST-LRC-GL'!J86</f>
        <v>0</v>
      </c>
      <c r="K86" s="174">
        <f>'EAST-EGM-GL'!K86+'EAST-LRC-GL'!K86</f>
        <v>0</v>
      </c>
      <c r="L86" s="174">
        <f>'EAST-EGM-GL'!L86+'EAST-LRC-GL'!L86</f>
        <v>0</v>
      </c>
      <c r="M86" s="174">
        <f>'EAST-EGM-GL'!M86+'EAST-LRC-GL'!M86</f>
        <v>0</v>
      </c>
      <c r="N86" s="174">
        <f>'EAST-EGM-GL'!N86+'EAST-LRC-GL'!N86</f>
        <v>0</v>
      </c>
      <c r="O86" s="174">
        <f>'EAST-EGM-GL'!O86+'EAST-LRC-GL'!O86</f>
        <v>0</v>
      </c>
      <c r="P86" s="174">
        <f>'EAST-EGM-GL'!P86+'EAST-LRC-GL'!P86</f>
        <v>0</v>
      </c>
      <c r="Q86" s="174">
        <f>'EAST-EGM-GL'!Q86+'EAST-LRC-GL'!Q86</f>
        <v>0</v>
      </c>
      <c r="R86" s="174">
        <f>'EAST-EGM-GL'!R86+'EAST-LRC-GL'!R86</f>
        <v>0</v>
      </c>
      <c r="S86" s="174">
        <f>'EAST-EGM-GL'!S86+'EAST-LRC-GL'!S86</f>
        <v>0</v>
      </c>
      <c r="T86" s="174">
        <f>'EAST-EGM-GL'!T86+'EAST-LRC-GL'!T86</f>
        <v>0</v>
      </c>
      <c r="U86" s="174">
        <f>'EAST-EGM-GL'!U86+'EAST-LRC-GL'!U86</f>
        <v>0</v>
      </c>
      <c r="V86" s="174">
        <f>'EAST-EGM-GL'!V86+'EAST-LRC-GL'!V86</f>
        <v>0</v>
      </c>
      <c r="W86" s="174">
        <f>'EAST-EGM-GL'!W86+'EAST-LRC-GL'!W86</f>
        <v>0</v>
      </c>
      <c r="X86" s="174">
        <f>'EAST-EGM-GL'!X86+'EAST-LRC-GL'!X86</f>
        <v>0</v>
      </c>
      <c r="Y86" s="174">
        <f>'EAST-EGM-GL'!Y86+'EAST-LRC-GL'!Y86</f>
        <v>0</v>
      </c>
      <c r="Z86" s="174">
        <f>'EAST-EGM-GL'!Z86+'EAST-LRC-GL'!Z86</f>
        <v>0</v>
      </c>
      <c r="AA86" s="174">
        <f>'EAST-EGM-GL'!AA86+'EAST-LRC-GL'!AA86</f>
        <v>0</v>
      </c>
      <c r="AB86" s="174">
        <f>'EAST-EGM-GL'!AB86+'EAST-LRC-GL'!AB86</f>
        <v>0</v>
      </c>
      <c r="AC86" s="174">
        <f>'EAST-EGM-GL'!AC86+'EAST-LRC-GL'!AC86</f>
        <v>0</v>
      </c>
      <c r="AD86" s="174">
        <f>'EAST-EGM-GL'!AD86+'EAST-LRC-GL'!AD86</f>
        <v>0</v>
      </c>
      <c r="AE86" s="174">
        <f>'EAST-EGM-GL'!AE86+'EAST-LRC-GL'!AE86</f>
        <v>0</v>
      </c>
    </row>
    <row r="87" spans="1:67" s="3" customFormat="1" x14ac:dyDescent="0.25">
      <c r="A87" s="173"/>
      <c r="C87" s="10" t="s">
        <v>72</v>
      </c>
      <c r="D87" s="175">
        <f t="shared" si="25"/>
        <v>0</v>
      </c>
      <c r="E87" s="175">
        <f t="shared" si="25"/>
        <v>0</v>
      </c>
      <c r="F87" s="175">
        <f>'EAST-EGM-GL'!F87+'EAST-LRC-GL'!F87</f>
        <v>0</v>
      </c>
      <c r="G87" s="175">
        <f>'EAST-EGM-GL'!G87+'EAST-LRC-GL'!G87</f>
        <v>0</v>
      </c>
      <c r="H87" s="175">
        <f>'EAST-EGM-GL'!H87+'EAST-LRC-GL'!H87</f>
        <v>0</v>
      </c>
      <c r="I87" s="175">
        <f>'EAST-EGM-GL'!I87+'EAST-LRC-GL'!I87</f>
        <v>0</v>
      </c>
      <c r="J87" s="175">
        <f>'EAST-EGM-GL'!J87+'EAST-LRC-GL'!J87</f>
        <v>0</v>
      </c>
      <c r="K87" s="175">
        <f>'EAST-EGM-GL'!K87+'EAST-LRC-GL'!K87</f>
        <v>0</v>
      </c>
      <c r="L87" s="175">
        <f>'EAST-EGM-GL'!L87+'EAST-LRC-GL'!L87</f>
        <v>0</v>
      </c>
      <c r="M87" s="175">
        <f>'EAST-EGM-GL'!M87+'EAST-LRC-GL'!M87</f>
        <v>0</v>
      </c>
      <c r="N87" s="175">
        <f>'EAST-EGM-GL'!N87+'EAST-LRC-GL'!N87</f>
        <v>0</v>
      </c>
      <c r="O87" s="175">
        <f>'EAST-EGM-GL'!O87+'EAST-LRC-GL'!O87</f>
        <v>0</v>
      </c>
      <c r="P87" s="175">
        <f>'EAST-EGM-GL'!P87+'EAST-LRC-GL'!P87</f>
        <v>0</v>
      </c>
      <c r="Q87" s="175">
        <f>'EAST-EGM-GL'!Q87+'EAST-LRC-GL'!Q87</f>
        <v>0</v>
      </c>
      <c r="R87" s="175">
        <f>'EAST-EGM-GL'!R87+'EAST-LRC-GL'!R87</f>
        <v>0</v>
      </c>
      <c r="S87" s="175">
        <f>'EAST-EGM-GL'!S87+'EAST-LRC-GL'!S87</f>
        <v>0</v>
      </c>
      <c r="T87" s="175">
        <f>'EAST-EGM-GL'!T87+'EAST-LRC-GL'!T87</f>
        <v>0</v>
      </c>
      <c r="U87" s="175">
        <f>'EAST-EGM-GL'!U87+'EAST-LRC-GL'!U87</f>
        <v>0</v>
      </c>
      <c r="V87" s="175">
        <f>'EAST-EGM-GL'!V87+'EAST-LRC-GL'!V87</f>
        <v>0</v>
      </c>
      <c r="W87" s="175">
        <f>'EAST-EGM-GL'!W87+'EAST-LRC-GL'!W87</f>
        <v>0</v>
      </c>
      <c r="X87" s="175">
        <f>'EAST-EGM-GL'!X87+'EAST-LRC-GL'!X87</f>
        <v>0</v>
      </c>
      <c r="Y87" s="175">
        <f>'EAST-EGM-GL'!Y87+'EAST-LRC-GL'!Y87</f>
        <v>0</v>
      </c>
      <c r="Z87" s="175">
        <f>'EAST-EGM-GL'!Z87+'EAST-LRC-GL'!Z87</f>
        <v>0</v>
      </c>
      <c r="AA87" s="175">
        <f>'EAST-EGM-GL'!AA87+'EAST-LRC-GL'!AA87</f>
        <v>0</v>
      </c>
      <c r="AB87" s="175">
        <f>'EAST-EGM-GL'!AB87+'EAST-LRC-GL'!AB87</f>
        <v>0</v>
      </c>
      <c r="AC87" s="175">
        <f>'EAST-EGM-GL'!AC87+'EAST-LRC-GL'!AC87</f>
        <v>0</v>
      </c>
      <c r="AD87" s="175">
        <f>'EAST-EGM-GL'!AD87+'EAST-LRC-GL'!AD87</f>
        <v>0</v>
      </c>
      <c r="AE87" s="175">
        <f>'EAST-EGM-GL'!AE87+'EAST-LRC-GL'!AE87</f>
        <v>0</v>
      </c>
    </row>
    <row r="88" spans="1:67" s="3" customFormat="1" x14ac:dyDescent="0.25">
      <c r="A88" s="173"/>
      <c r="C88" s="10" t="s">
        <v>73</v>
      </c>
      <c r="D88" s="176">
        <f t="shared" si="25"/>
        <v>0</v>
      </c>
      <c r="E88" s="176">
        <f t="shared" si="25"/>
        <v>0</v>
      </c>
      <c r="F88" s="176">
        <f>'EAST-EGM-GL'!F88+'EAST-LRC-GL'!F88</f>
        <v>0</v>
      </c>
      <c r="G88" s="176">
        <f>'EAST-EGM-GL'!G88+'EAST-LRC-GL'!G88</f>
        <v>0</v>
      </c>
      <c r="H88" s="176">
        <f>'EAST-EGM-GL'!H88+'EAST-LRC-GL'!H88</f>
        <v>0</v>
      </c>
      <c r="I88" s="176">
        <f>'EAST-EGM-GL'!I88+'EAST-LRC-GL'!I88</f>
        <v>0</v>
      </c>
      <c r="J88" s="176">
        <f>'EAST-EGM-GL'!J88+'EAST-LRC-GL'!J88</f>
        <v>0</v>
      </c>
      <c r="K88" s="176">
        <f>'EAST-EGM-GL'!K88+'EAST-LRC-GL'!K88</f>
        <v>0</v>
      </c>
      <c r="L88" s="176">
        <f>'EAST-EGM-GL'!L88+'EAST-LRC-GL'!L88</f>
        <v>0</v>
      </c>
      <c r="M88" s="176">
        <f>'EAST-EGM-GL'!M88+'EAST-LRC-GL'!M88</f>
        <v>0</v>
      </c>
      <c r="N88" s="176">
        <f>'EAST-EGM-GL'!N88+'EAST-LRC-GL'!N88</f>
        <v>0</v>
      </c>
      <c r="O88" s="176">
        <f>'EAST-EGM-GL'!O88+'EAST-LRC-GL'!O88</f>
        <v>0</v>
      </c>
      <c r="P88" s="176">
        <f>'EAST-EGM-GL'!P88+'EAST-LRC-GL'!P88</f>
        <v>0</v>
      </c>
      <c r="Q88" s="176">
        <f>'EAST-EGM-GL'!Q88+'EAST-LRC-GL'!Q88</f>
        <v>0</v>
      </c>
      <c r="R88" s="176">
        <f>'EAST-EGM-GL'!R88+'EAST-LRC-GL'!R88</f>
        <v>0</v>
      </c>
      <c r="S88" s="176">
        <f>'EAST-EGM-GL'!S88+'EAST-LRC-GL'!S88</f>
        <v>0</v>
      </c>
      <c r="T88" s="176">
        <f>'EAST-EGM-GL'!T88+'EAST-LRC-GL'!T88</f>
        <v>0</v>
      </c>
      <c r="U88" s="176">
        <f>'EAST-EGM-GL'!U88+'EAST-LRC-GL'!U88</f>
        <v>0</v>
      </c>
      <c r="V88" s="176">
        <f>'EAST-EGM-GL'!V88+'EAST-LRC-GL'!V88</f>
        <v>0</v>
      </c>
      <c r="W88" s="176">
        <f>'EAST-EGM-GL'!W88+'EAST-LRC-GL'!W88</f>
        <v>0</v>
      </c>
      <c r="X88" s="176">
        <f>'EAST-EGM-GL'!X88+'EAST-LRC-GL'!X88</f>
        <v>0</v>
      </c>
      <c r="Y88" s="176">
        <f>'EAST-EGM-GL'!Y88+'EAST-LRC-GL'!Y88</f>
        <v>0</v>
      </c>
      <c r="Z88" s="176">
        <f>'EAST-EGM-GL'!Z88+'EAST-LRC-GL'!Z88</f>
        <v>0</v>
      </c>
      <c r="AA88" s="176">
        <f>'EAST-EGM-GL'!AA88+'EAST-LRC-GL'!AA88</f>
        <v>0</v>
      </c>
      <c r="AB88" s="176">
        <f>'EAST-EGM-GL'!AB88+'EAST-LRC-GL'!AB88</f>
        <v>0</v>
      </c>
      <c r="AC88" s="176">
        <f>'EAST-EGM-GL'!AC88+'EAST-LRC-GL'!AC88</f>
        <v>0</v>
      </c>
      <c r="AD88" s="176">
        <f>'EAST-EGM-GL'!AD88+'EAST-LRC-GL'!AD88</f>
        <v>0</v>
      </c>
      <c r="AE88" s="176">
        <f>'EAST-EGM-GL'!AE88+'EAST-LRC-GL'!AE88</f>
        <v>0</v>
      </c>
    </row>
    <row r="89" spans="1:67" s="44" customFormat="1" ht="20.25" customHeight="1" x14ac:dyDescent="0.25">
      <c r="A89" s="180"/>
      <c r="B89" s="181"/>
      <c r="C89" s="186" t="s">
        <v>176</v>
      </c>
      <c r="D89" s="184">
        <f>SUM(D86:D88)</f>
        <v>0</v>
      </c>
      <c r="E89" s="184">
        <f t="shared" ref="E89:M89" si="26">SUM(E86:E88)</f>
        <v>-614051</v>
      </c>
      <c r="F89" s="184">
        <f t="shared" si="26"/>
        <v>0</v>
      </c>
      <c r="G89" s="184">
        <f t="shared" si="26"/>
        <v>-614051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0</v>
      </c>
      <c r="N89" s="184">
        <f t="shared" ref="N89:AE89" si="27">SUM(N86:N88)</f>
        <v>0</v>
      </c>
      <c r="O89" s="184">
        <f t="shared" si="27"/>
        <v>0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</row>
    <row r="91" spans="1:67" s="145" customFormat="1" ht="20.25" customHeight="1" x14ac:dyDescent="0.25">
      <c r="A91" s="187"/>
      <c r="B91" s="188"/>
      <c r="C91" s="186" t="s">
        <v>179</v>
      </c>
      <c r="D91" s="189">
        <f>+D82+D89</f>
        <v>0</v>
      </c>
      <c r="E91" s="189">
        <f t="shared" ref="E91:M91" si="28">+E82+E89</f>
        <v>-1638035.5410000524</v>
      </c>
      <c r="F91" s="189">
        <f t="shared" si="28"/>
        <v>0</v>
      </c>
      <c r="G91" s="189">
        <f t="shared" si="28"/>
        <v>-36541.379999999888</v>
      </c>
      <c r="H91" s="189">
        <f t="shared" si="28"/>
        <v>0</v>
      </c>
      <c r="I91" s="189">
        <f t="shared" si="28"/>
        <v>-12833166.314999975</v>
      </c>
      <c r="J91" s="189">
        <f t="shared" si="28"/>
        <v>0</v>
      </c>
      <c r="K91" s="189">
        <f t="shared" si="28"/>
        <v>-13858040.732999997</v>
      </c>
      <c r="L91" s="189">
        <f t="shared" si="28"/>
        <v>0</v>
      </c>
      <c r="M91" s="189">
        <f t="shared" si="28"/>
        <v>19271560.683999997</v>
      </c>
      <c r="N91" s="189">
        <f t="shared" ref="N91:AE91" si="29">+N82+N89</f>
        <v>0</v>
      </c>
      <c r="O91" s="189">
        <f t="shared" si="29"/>
        <v>7429778.1620000005</v>
      </c>
      <c r="P91" s="189">
        <f t="shared" si="29"/>
        <v>0</v>
      </c>
      <c r="Q91" s="189">
        <f t="shared" si="29"/>
        <v>-3122662.9289999986</v>
      </c>
      <c r="R91" s="189">
        <f t="shared" si="29"/>
        <v>0</v>
      </c>
      <c r="S91" s="189">
        <f t="shared" si="29"/>
        <v>-443634.17999999959</v>
      </c>
      <c r="T91" s="189">
        <f t="shared" si="29"/>
        <v>0</v>
      </c>
      <c r="U91" s="189">
        <f t="shared" si="29"/>
        <v>405076.3999999988</v>
      </c>
      <c r="V91" s="189">
        <f t="shared" si="29"/>
        <v>0</v>
      </c>
      <c r="W91" s="189">
        <f t="shared" si="29"/>
        <v>620417.20499999996</v>
      </c>
      <c r="X91" s="189">
        <f t="shared" si="29"/>
        <v>0</v>
      </c>
      <c r="Y91" s="189">
        <f t="shared" si="29"/>
        <v>935013.3349999974</v>
      </c>
      <c r="Z91" s="189">
        <f t="shared" si="29"/>
        <v>0</v>
      </c>
      <c r="AA91" s="189">
        <f t="shared" si="29"/>
        <v>-5835.7899999999927</v>
      </c>
      <c r="AB91" s="189">
        <f t="shared" si="29"/>
        <v>0</v>
      </c>
      <c r="AC91" s="189">
        <f t="shared" si="29"/>
        <v>0</v>
      </c>
      <c r="AD91" s="189">
        <f t="shared" si="29"/>
        <v>0</v>
      </c>
      <c r="AE91" s="189">
        <f t="shared" si="29"/>
        <v>0</v>
      </c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E75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'TIE-OUT'!L11+RECLASS!L11</f>
        <v>0</v>
      </c>
      <c r="G11" s="38">
        <f>'TIE-OUT'!M11+RECLASS!M11</f>
        <v>0</v>
      </c>
      <c r="H11" s="129">
        <f>+Actuals!E204</f>
        <v>0</v>
      </c>
      <c r="I11" s="130">
        <f>+Actuals!F204</f>
        <v>0</v>
      </c>
      <c r="J11" s="129">
        <f>+Actuals!G204</f>
        <v>0</v>
      </c>
      <c r="K11" s="130">
        <f>+Actuals!H204</f>
        <v>0</v>
      </c>
      <c r="L11" s="129">
        <f>+Actuals!I204</f>
        <v>0</v>
      </c>
      <c r="M11" s="130">
        <f>+Actuals!J204</f>
        <v>0</v>
      </c>
      <c r="N11" s="129">
        <f>+Actuals!K204</f>
        <v>0</v>
      </c>
      <c r="O11" s="130">
        <f>+Actuals!L204</f>
        <v>0</v>
      </c>
      <c r="P11" s="129">
        <f>+Actuals!M204</f>
        <v>0</v>
      </c>
      <c r="Q11" s="130">
        <f>+Actuals!N204</f>
        <v>0</v>
      </c>
      <c r="R11" s="129">
        <f>+Actuals!O204</f>
        <v>0</v>
      </c>
      <c r="S11" s="130">
        <f>+Actuals!P204</f>
        <v>0</v>
      </c>
      <c r="T11" s="129">
        <f>+Actuals!Q204</f>
        <v>0</v>
      </c>
      <c r="U11" s="130">
        <f>+Actuals!R204</f>
        <v>0</v>
      </c>
      <c r="V11" s="129">
        <f>+Actuals!S204</f>
        <v>0</v>
      </c>
      <c r="W11" s="130">
        <f>+Actuals!T204</f>
        <v>0</v>
      </c>
      <c r="X11" s="129">
        <f>+Actuals!U204</f>
        <v>0</v>
      </c>
      <c r="Y11" s="130">
        <f>+Actuals!V204</f>
        <v>0</v>
      </c>
      <c r="Z11" s="129">
        <f>+Actuals!W204</f>
        <v>0</v>
      </c>
      <c r="AA11" s="130">
        <f>+Actuals!X204</f>
        <v>0</v>
      </c>
      <c r="AB11" s="129">
        <f>+Actuals!Y204</f>
        <v>0</v>
      </c>
      <c r="AC11" s="130">
        <f>+Actuals!Z204</f>
        <v>0</v>
      </c>
      <c r="AD11" s="129">
        <f>+Actuals!AA204</f>
        <v>0</v>
      </c>
      <c r="AE11" s="130">
        <f>+Actuals!AB204</f>
        <v>0</v>
      </c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9">
        <f>+Actuals!E205</f>
        <v>0</v>
      </c>
      <c r="I12" s="130">
        <f>+Actuals!F205</f>
        <v>0</v>
      </c>
      <c r="J12" s="129">
        <f>+Actuals!G205</f>
        <v>0</v>
      </c>
      <c r="K12" s="130">
        <f>+Actuals!H205</f>
        <v>0</v>
      </c>
      <c r="L12" s="129">
        <f>+Actuals!I205</f>
        <v>0</v>
      </c>
      <c r="M12" s="130">
        <f>+Actuals!J205</f>
        <v>0</v>
      </c>
      <c r="N12" s="129">
        <f>+Actuals!K205</f>
        <v>0</v>
      </c>
      <c r="O12" s="130">
        <f>+Actuals!L205</f>
        <v>0</v>
      </c>
      <c r="P12" s="129">
        <f>+Actuals!M205</f>
        <v>0</v>
      </c>
      <c r="Q12" s="130">
        <f>+Actuals!N205</f>
        <v>0</v>
      </c>
      <c r="R12" s="129">
        <f>+Actuals!O205</f>
        <v>0</v>
      </c>
      <c r="S12" s="130">
        <f>+Actuals!P205</f>
        <v>0</v>
      </c>
      <c r="T12" s="129">
        <f>+Actuals!Q205</f>
        <v>0</v>
      </c>
      <c r="U12" s="130">
        <f>+Actuals!R205</f>
        <v>0</v>
      </c>
      <c r="V12" s="129">
        <f>+Actuals!S205</f>
        <v>0</v>
      </c>
      <c r="W12" s="130">
        <f>+Actuals!T205</f>
        <v>0</v>
      </c>
      <c r="X12" s="129">
        <f>+Actuals!U205</f>
        <v>0</v>
      </c>
      <c r="Y12" s="130">
        <f>+Actuals!V205</f>
        <v>0</v>
      </c>
      <c r="Z12" s="129">
        <f>+Actuals!W205</f>
        <v>0</v>
      </c>
      <c r="AA12" s="130">
        <f>+Actuals!X205</f>
        <v>0</v>
      </c>
      <c r="AB12" s="129">
        <f>+Actuals!Y205</f>
        <v>0</v>
      </c>
      <c r="AC12" s="130">
        <f>+Actuals!Z205</f>
        <v>0</v>
      </c>
      <c r="AD12" s="129">
        <f>+Actuals!AA205</f>
        <v>0</v>
      </c>
      <c r="AE12" s="130">
        <f>+Actuals!AB205</f>
        <v>0</v>
      </c>
    </row>
    <row r="13" spans="1:31" x14ac:dyDescent="0.25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9">
        <f>+Actuals!E206</f>
        <v>0</v>
      </c>
      <c r="I13" s="130">
        <f>+Actuals!F206</f>
        <v>0</v>
      </c>
      <c r="J13" s="129">
        <f>+Actuals!G206</f>
        <v>0</v>
      </c>
      <c r="K13" s="130">
        <f>+Actuals!H206</f>
        <v>0</v>
      </c>
      <c r="L13" s="129">
        <f>+Actuals!I206</f>
        <v>0</v>
      </c>
      <c r="M13" s="130">
        <f>+Actuals!J206</f>
        <v>0</v>
      </c>
      <c r="N13" s="129">
        <f>+Actuals!K206</f>
        <v>0</v>
      </c>
      <c r="O13" s="130">
        <f>+Actuals!L206</f>
        <v>0</v>
      </c>
      <c r="P13" s="129">
        <f>+Actuals!M206</f>
        <v>0</v>
      </c>
      <c r="Q13" s="130">
        <f>+Actuals!N206</f>
        <v>0</v>
      </c>
      <c r="R13" s="129">
        <f>+Actuals!O206</f>
        <v>0</v>
      </c>
      <c r="S13" s="130">
        <f>+Actuals!P206</f>
        <v>0</v>
      </c>
      <c r="T13" s="129">
        <f>+Actuals!Q206</f>
        <v>0</v>
      </c>
      <c r="U13" s="130">
        <f>+Actuals!R206</f>
        <v>0</v>
      </c>
      <c r="V13" s="129">
        <f>+Actuals!S206</f>
        <v>0</v>
      </c>
      <c r="W13" s="130">
        <f>+Actuals!T206</f>
        <v>0</v>
      </c>
      <c r="X13" s="129">
        <f>+Actuals!U206</f>
        <v>0</v>
      </c>
      <c r="Y13" s="130">
        <f>+Actuals!V206</f>
        <v>0</v>
      </c>
      <c r="Z13" s="129">
        <f>+Actuals!W206</f>
        <v>0</v>
      </c>
      <c r="AA13" s="130">
        <f>+Actuals!X206</f>
        <v>0</v>
      </c>
      <c r="AB13" s="129">
        <f>+Actuals!Y206</f>
        <v>0</v>
      </c>
      <c r="AC13" s="130">
        <f>+Actuals!Z206</f>
        <v>0</v>
      </c>
      <c r="AD13" s="129">
        <f>+Actuals!AA206</f>
        <v>0</v>
      </c>
      <c r="AE13" s="130">
        <f>+Actuals!AB206</f>
        <v>0</v>
      </c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9">
        <f>+Actuals!E207</f>
        <v>0</v>
      </c>
      <c r="I14" s="130">
        <f>+Actuals!F207</f>
        <v>0</v>
      </c>
      <c r="J14" s="129">
        <f>+Actuals!G207</f>
        <v>0</v>
      </c>
      <c r="K14" s="130">
        <f>+Actuals!H207</f>
        <v>0</v>
      </c>
      <c r="L14" s="129">
        <f>+Actuals!I207</f>
        <v>0</v>
      </c>
      <c r="M14" s="130">
        <f>+Actuals!J207</f>
        <v>0</v>
      </c>
      <c r="N14" s="129">
        <f>+Actuals!K207</f>
        <v>0</v>
      </c>
      <c r="O14" s="130">
        <f>+Actuals!L207</f>
        <v>0</v>
      </c>
      <c r="P14" s="129">
        <f>+Actuals!M207</f>
        <v>0</v>
      </c>
      <c r="Q14" s="130">
        <f>+Actuals!N207</f>
        <v>0</v>
      </c>
      <c r="R14" s="129">
        <f>+Actuals!O207</f>
        <v>0</v>
      </c>
      <c r="S14" s="130">
        <f>+Actuals!P207</f>
        <v>0</v>
      </c>
      <c r="T14" s="129">
        <f>+Actuals!Q207</f>
        <v>0</v>
      </c>
      <c r="U14" s="130">
        <f>+Actuals!R207</f>
        <v>0</v>
      </c>
      <c r="V14" s="129">
        <f>+Actuals!S207</f>
        <v>0</v>
      </c>
      <c r="W14" s="130">
        <f>+Actuals!T207</f>
        <v>0</v>
      </c>
      <c r="X14" s="129">
        <f>+Actuals!U207</f>
        <v>0</v>
      </c>
      <c r="Y14" s="130">
        <f>+Actuals!V207</f>
        <v>0</v>
      </c>
      <c r="Z14" s="129">
        <f>+Actuals!W207</f>
        <v>0</v>
      </c>
      <c r="AA14" s="130">
        <f>+Actuals!X207</f>
        <v>0</v>
      </c>
      <c r="AB14" s="129">
        <f>+Actuals!Y207</f>
        <v>0</v>
      </c>
      <c r="AC14" s="130">
        <f>+Actuals!Z207</f>
        <v>0</v>
      </c>
      <c r="AD14" s="129">
        <f>+Actuals!AA207</f>
        <v>0</v>
      </c>
      <c r="AE14" s="130">
        <f>+Actuals!AB207</f>
        <v>0</v>
      </c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9">
        <f>+Actuals!E208</f>
        <v>0</v>
      </c>
      <c r="I15" s="130">
        <f>+Actuals!F208</f>
        <v>0</v>
      </c>
      <c r="J15" s="129">
        <f>+Actuals!G208</f>
        <v>0</v>
      </c>
      <c r="K15" s="130">
        <f>+Actuals!H208</f>
        <v>0</v>
      </c>
      <c r="L15" s="129">
        <f>+Actuals!I208</f>
        <v>0</v>
      </c>
      <c r="M15" s="130">
        <f>+Actuals!J208</f>
        <v>0</v>
      </c>
      <c r="N15" s="129">
        <f>+Actuals!K208</f>
        <v>0</v>
      </c>
      <c r="O15" s="130">
        <f>+Actuals!L208</f>
        <v>0</v>
      </c>
      <c r="P15" s="129">
        <f>+Actuals!M208</f>
        <v>0</v>
      </c>
      <c r="Q15" s="130">
        <f>+Actuals!N208</f>
        <v>0</v>
      </c>
      <c r="R15" s="129">
        <f>+Actuals!O208</f>
        <v>0</v>
      </c>
      <c r="S15" s="130">
        <f>+Actuals!P208</f>
        <v>0</v>
      </c>
      <c r="T15" s="129">
        <f>+Actuals!Q208</f>
        <v>0</v>
      </c>
      <c r="U15" s="130">
        <f>+Actuals!R208</f>
        <v>0</v>
      </c>
      <c r="V15" s="129">
        <f>+Actuals!S208</f>
        <v>0</v>
      </c>
      <c r="W15" s="130">
        <f>+Actuals!T208</f>
        <v>0</v>
      </c>
      <c r="X15" s="129">
        <f>+Actuals!U208</f>
        <v>0</v>
      </c>
      <c r="Y15" s="130">
        <f>+Actuals!V208</f>
        <v>0</v>
      </c>
      <c r="Z15" s="129">
        <f>+Actuals!W208</f>
        <v>0</v>
      </c>
      <c r="AA15" s="130">
        <f>+Actuals!X208</f>
        <v>0</v>
      </c>
      <c r="AB15" s="129">
        <f>+Actuals!Y208</f>
        <v>0</v>
      </c>
      <c r="AC15" s="130">
        <f>+Actuals!Z208</f>
        <v>0</v>
      </c>
      <c r="AD15" s="129">
        <f>+Actuals!AA208</f>
        <v>0</v>
      </c>
      <c r="AE15" s="130">
        <f>+Actuals!AB208</f>
        <v>0</v>
      </c>
    </row>
    <row r="16" spans="1:31" x14ac:dyDescent="0.25">
      <c r="A16" s="9"/>
      <c r="B16" s="7" t="s">
        <v>31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9">
        <f>+Actuals!E209</f>
        <v>0</v>
      </c>
      <c r="I19" s="130">
        <f>+Actuals!F209</f>
        <v>0</v>
      </c>
      <c r="J19" s="129">
        <f>+Actuals!G209</f>
        <v>0</v>
      </c>
      <c r="K19" s="130">
        <f>+Actuals!H209</f>
        <v>0</v>
      </c>
      <c r="L19" s="129">
        <f>+Actuals!I209</f>
        <v>0</v>
      </c>
      <c r="M19" s="130">
        <f>+Actuals!J209</f>
        <v>0</v>
      </c>
      <c r="N19" s="129">
        <f>+Actuals!K209</f>
        <v>0</v>
      </c>
      <c r="O19" s="130">
        <f>+Actuals!L209</f>
        <v>0</v>
      </c>
      <c r="P19" s="129">
        <f>+Actuals!M209</f>
        <v>0</v>
      </c>
      <c r="Q19" s="130">
        <f>+Actuals!N209</f>
        <v>0</v>
      </c>
      <c r="R19" s="129">
        <f>+Actuals!O209</f>
        <v>0</v>
      </c>
      <c r="S19" s="130">
        <f>+Actuals!P209</f>
        <v>0</v>
      </c>
      <c r="T19" s="129">
        <f>+Actuals!Q209</f>
        <v>0</v>
      </c>
      <c r="U19" s="130">
        <f>+Actuals!R209</f>
        <v>0</v>
      </c>
      <c r="V19" s="129">
        <f>+Actuals!S209</f>
        <v>0</v>
      </c>
      <c r="W19" s="130">
        <f>+Actuals!T209</f>
        <v>0</v>
      </c>
      <c r="X19" s="129">
        <f>+Actuals!U209</f>
        <v>0</v>
      </c>
      <c r="Y19" s="130">
        <f>+Actuals!V209</f>
        <v>0</v>
      </c>
      <c r="Z19" s="129">
        <f>+Actuals!W209</f>
        <v>0</v>
      </c>
      <c r="AA19" s="130">
        <f>+Actuals!X209</f>
        <v>0</v>
      </c>
      <c r="AB19" s="129">
        <f>+Actuals!Y209</f>
        <v>0</v>
      </c>
      <c r="AC19" s="130">
        <f>+Actuals!Z209</f>
        <v>0</v>
      </c>
      <c r="AD19" s="129">
        <f>+Actuals!AA209</f>
        <v>0</v>
      </c>
      <c r="AE19" s="130">
        <f>+Actuals!AB209</f>
        <v>0</v>
      </c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9">
        <f>+Actuals!E210</f>
        <v>0</v>
      </c>
      <c r="I20" s="130">
        <f>+Actuals!F210</f>
        <v>0</v>
      </c>
      <c r="J20" s="129">
        <f>+Actuals!G210</f>
        <v>0</v>
      </c>
      <c r="K20" s="130">
        <f>+Actuals!H210</f>
        <v>0</v>
      </c>
      <c r="L20" s="129">
        <f>+Actuals!I210</f>
        <v>0</v>
      </c>
      <c r="M20" s="130">
        <f>+Actuals!J210</f>
        <v>0</v>
      </c>
      <c r="N20" s="129">
        <f>+Actuals!K210</f>
        <v>0</v>
      </c>
      <c r="O20" s="130">
        <f>+Actuals!L210</f>
        <v>0</v>
      </c>
      <c r="P20" s="129">
        <f>+Actuals!M210</f>
        <v>0</v>
      </c>
      <c r="Q20" s="130">
        <f>+Actuals!N210</f>
        <v>0</v>
      </c>
      <c r="R20" s="129">
        <f>+Actuals!O210</f>
        <v>0</v>
      </c>
      <c r="S20" s="130">
        <f>+Actuals!P210</f>
        <v>0</v>
      </c>
      <c r="T20" s="129">
        <f>+Actuals!Q210</f>
        <v>0</v>
      </c>
      <c r="U20" s="130">
        <f>+Actuals!R210</f>
        <v>0</v>
      </c>
      <c r="V20" s="129">
        <f>+Actuals!S210</f>
        <v>0</v>
      </c>
      <c r="W20" s="130">
        <f>+Actuals!T210</f>
        <v>0</v>
      </c>
      <c r="X20" s="129">
        <f>+Actuals!U210</f>
        <v>0</v>
      </c>
      <c r="Y20" s="130">
        <f>+Actuals!V210</f>
        <v>0</v>
      </c>
      <c r="Z20" s="129">
        <f>+Actuals!W210</f>
        <v>0</v>
      </c>
      <c r="AA20" s="130">
        <f>+Actuals!X210</f>
        <v>0</v>
      </c>
      <c r="AB20" s="129">
        <f>+Actuals!Y210</f>
        <v>0</v>
      </c>
      <c r="AC20" s="130">
        <f>+Actuals!Z210</f>
        <v>0</v>
      </c>
      <c r="AD20" s="129">
        <f>+Actuals!AA210</f>
        <v>0</v>
      </c>
      <c r="AE20" s="130">
        <f>+Actuals!AB210</f>
        <v>0</v>
      </c>
    </row>
    <row r="21" spans="1:31" x14ac:dyDescent="0.25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9">
        <f>+Actuals!E211</f>
        <v>0</v>
      </c>
      <c r="I21" s="130">
        <f>+Actuals!F211</f>
        <v>0</v>
      </c>
      <c r="J21" s="129">
        <f>+Actuals!G211</f>
        <v>0</v>
      </c>
      <c r="K21" s="130">
        <f>+Actuals!H211</f>
        <v>0</v>
      </c>
      <c r="L21" s="129">
        <f>+Actuals!I211</f>
        <v>0</v>
      </c>
      <c r="M21" s="130">
        <f>+Actuals!J211</f>
        <v>0</v>
      </c>
      <c r="N21" s="129">
        <f>+Actuals!K211</f>
        <v>0</v>
      </c>
      <c r="O21" s="130">
        <f>+Actuals!L211</f>
        <v>0</v>
      </c>
      <c r="P21" s="129">
        <f>+Actuals!M211</f>
        <v>0</v>
      </c>
      <c r="Q21" s="130">
        <f>+Actuals!N211</f>
        <v>0</v>
      </c>
      <c r="R21" s="129">
        <f>+Actuals!O211</f>
        <v>0</v>
      </c>
      <c r="S21" s="130">
        <f>+Actuals!P211</f>
        <v>0</v>
      </c>
      <c r="T21" s="129">
        <f>+Actuals!Q211</f>
        <v>0</v>
      </c>
      <c r="U21" s="130">
        <f>+Actuals!R211</f>
        <v>0</v>
      </c>
      <c r="V21" s="129">
        <f>+Actuals!S211</f>
        <v>0</v>
      </c>
      <c r="W21" s="130">
        <f>+Actuals!T211</f>
        <v>0</v>
      </c>
      <c r="X21" s="129">
        <f>+Actuals!U211</f>
        <v>0</v>
      </c>
      <c r="Y21" s="130">
        <f>+Actuals!V211</f>
        <v>0</v>
      </c>
      <c r="Z21" s="129">
        <f>+Actuals!W211</f>
        <v>0</v>
      </c>
      <c r="AA21" s="130">
        <f>+Actuals!X211</f>
        <v>0</v>
      </c>
      <c r="AB21" s="129">
        <f>+Actuals!Y211</f>
        <v>0</v>
      </c>
      <c r="AC21" s="130">
        <f>+Actuals!Z211</f>
        <v>0</v>
      </c>
      <c r="AD21" s="129">
        <f>+Actuals!AA211</f>
        <v>0</v>
      </c>
      <c r="AE21" s="130">
        <f>+Actuals!AB211</f>
        <v>0</v>
      </c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9">
        <f>+Actuals!E212</f>
        <v>0</v>
      </c>
      <c r="I22" s="130">
        <f>+Actuals!F212</f>
        <v>0</v>
      </c>
      <c r="J22" s="129">
        <f>+Actuals!G212</f>
        <v>0</v>
      </c>
      <c r="K22" s="130">
        <f>+Actuals!H212</f>
        <v>0</v>
      </c>
      <c r="L22" s="129">
        <f>+Actuals!I212</f>
        <v>0</v>
      </c>
      <c r="M22" s="130">
        <f>+Actuals!J212</f>
        <v>0</v>
      </c>
      <c r="N22" s="129">
        <f>+Actuals!K212</f>
        <v>0</v>
      </c>
      <c r="O22" s="130">
        <f>+Actuals!L212</f>
        <v>0</v>
      </c>
      <c r="P22" s="129">
        <f>+Actuals!M212</f>
        <v>0</v>
      </c>
      <c r="Q22" s="130">
        <f>+Actuals!N212</f>
        <v>0</v>
      </c>
      <c r="R22" s="129">
        <f>+Actuals!O212</f>
        <v>0</v>
      </c>
      <c r="S22" s="130">
        <f>+Actuals!P212</f>
        <v>0</v>
      </c>
      <c r="T22" s="129">
        <f>+Actuals!Q212</f>
        <v>0</v>
      </c>
      <c r="U22" s="130">
        <f>+Actuals!R212</f>
        <v>0</v>
      </c>
      <c r="V22" s="129">
        <f>+Actuals!S212</f>
        <v>0</v>
      </c>
      <c r="W22" s="130">
        <f>+Actuals!T212</f>
        <v>0</v>
      </c>
      <c r="X22" s="129">
        <f>+Actuals!U212</f>
        <v>0</v>
      </c>
      <c r="Y22" s="130">
        <f>+Actuals!V212</f>
        <v>0</v>
      </c>
      <c r="Z22" s="129">
        <f>+Actuals!W212</f>
        <v>0</v>
      </c>
      <c r="AA22" s="130">
        <f>+Actuals!X212</f>
        <v>0</v>
      </c>
      <c r="AB22" s="129">
        <f>+Actuals!Y212</f>
        <v>0</v>
      </c>
      <c r="AC22" s="130">
        <f>+Actuals!Z212</f>
        <v>0</v>
      </c>
      <c r="AD22" s="129">
        <f>+Actuals!AA212</f>
        <v>0</v>
      </c>
      <c r="AE22" s="130">
        <f>+Actuals!AB212</f>
        <v>0</v>
      </c>
    </row>
    <row r="23" spans="1:31" x14ac:dyDescent="0.25">
      <c r="A23" s="9">
        <v>10</v>
      </c>
      <c r="B23" s="7"/>
      <c r="C23" s="18" t="s">
        <v>33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9">
        <f>+Actuals!E213</f>
        <v>0</v>
      </c>
      <c r="I23" s="130">
        <f>+Actuals!F213</f>
        <v>0</v>
      </c>
      <c r="J23" s="129">
        <f>+Actuals!G213</f>
        <v>0</v>
      </c>
      <c r="K23" s="130">
        <f>+Actuals!H213</f>
        <v>0</v>
      </c>
      <c r="L23" s="129">
        <f>+Actuals!I213</f>
        <v>0</v>
      </c>
      <c r="M23" s="130">
        <f>+Actuals!J213</f>
        <v>0</v>
      </c>
      <c r="N23" s="129">
        <f>+Actuals!K213</f>
        <v>0</v>
      </c>
      <c r="O23" s="130">
        <f>+Actuals!L213</f>
        <v>0</v>
      </c>
      <c r="P23" s="129">
        <f>+Actuals!M213</f>
        <v>0</v>
      </c>
      <c r="Q23" s="130">
        <f>+Actuals!N213</f>
        <v>0</v>
      </c>
      <c r="R23" s="129">
        <f>+Actuals!O213</f>
        <v>0</v>
      </c>
      <c r="S23" s="130">
        <f>+Actuals!P213</f>
        <v>0</v>
      </c>
      <c r="T23" s="129">
        <f>+Actuals!Q213</f>
        <v>0</v>
      </c>
      <c r="U23" s="130">
        <f>+Actuals!R213</f>
        <v>0</v>
      </c>
      <c r="V23" s="129">
        <f>+Actuals!S213</f>
        <v>0</v>
      </c>
      <c r="W23" s="130">
        <f>+Actuals!T213</f>
        <v>0</v>
      </c>
      <c r="X23" s="129">
        <f>+Actuals!U213</f>
        <v>0</v>
      </c>
      <c r="Y23" s="130">
        <f>+Actuals!V213</f>
        <v>0</v>
      </c>
      <c r="Z23" s="129">
        <f>+Actuals!W213</f>
        <v>0</v>
      </c>
      <c r="AA23" s="130">
        <f>+Actuals!X213</f>
        <v>0</v>
      </c>
      <c r="AB23" s="129">
        <f>+Actuals!Y213</f>
        <v>0</v>
      </c>
      <c r="AC23" s="130">
        <f>+Actuals!Z213</f>
        <v>0</v>
      </c>
      <c r="AD23" s="129">
        <f>+Actuals!AA213</f>
        <v>0</v>
      </c>
      <c r="AE23" s="130">
        <f>+Actuals!AB213</f>
        <v>0</v>
      </c>
    </row>
    <row r="24" spans="1:31" x14ac:dyDescent="0.25">
      <c r="A24" s="9"/>
      <c r="B24" s="7" t="s">
        <v>34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'TIE-OUT'!L27+RECLASS!L27</f>
        <v>0</v>
      </c>
      <c r="G27" s="68">
        <f>'TIE-OUT'!M27+RECLASS!M27</f>
        <v>0</v>
      </c>
      <c r="H27" s="129">
        <f>+Actuals!E214</f>
        <v>0</v>
      </c>
      <c r="I27" s="130">
        <f>+Actuals!F214</f>
        <v>0</v>
      </c>
      <c r="J27" s="129">
        <f>+Actuals!G214</f>
        <v>0</v>
      </c>
      <c r="K27" s="130">
        <f>+Actuals!H214</f>
        <v>0</v>
      </c>
      <c r="L27" s="129">
        <f>+Actuals!I214</f>
        <v>0</v>
      </c>
      <c r="M27" s="130">
        <f>+Actuals!J214</f>
        <v>0</v>
      </c>
      <c r="N27" s="129">
        <f>+Actuals!K214</f>
        <v>0</v>
      </c>
      <c r="O27" s="130">
        <f>+Actuals!L214</f>
        <v>0</v>
      </c>
      <c r="P27" s="129">
        <f>+Actuals!M214</f>
        <v>0</v>
      </c>
      <c r="Q27" s="130">
        <f>+Actuals!N214</f>
        <v>0</v>
      </c>
      <c r="R27" s="129">
        <f>+Actuals!O214</f>
        <v>0</v>
      </c>
      <c r="S27" s="130">
        <f>+Actuals!P214</f>
        <v>0</v>
      </c>
      <c r="T27" s="129">
        <f>+Actuals!Q214</f>
        <v>0</v>
      </c>
      <c r="U27" s="130">
        <f>+Actuals!R214</f>
        <v>0</v>
      </c>
      <c r="V27" s="129">
        <f>+Actuals!S214</f>
        <v>0</v>
      </c>
      <c r="W27" s="130">
        <f>+Actuals!T214</f>
        <v>0</v>
      </c>
      <c r="X27" s="129">
        <f>+Actuals!U214</f>
        <v>0</v>
      </c>
      <c r="Y27" s="130">
        <f>+Actuals!V214</f>
        <v>0</v>
      </c>
      <c r="Z27" s="129">
        <f>+Actuals!W214</f>
        <v>0</v>
      </c>
      <c r="AA27" s="130">
        <f>+Actuals!X214</f>
        <v>0</v>
      </c>
      <c r="AB27" s="129">
        <f>+Actuals!Y214</f>
        <v>0</v>
      </c>
      <c r="AC27" s="130">
        <f>+Actuals!Z214</f>
        <v>0</v>
      </c>
      <c r="AD27" s="129">
        <f>+Actuals!AA214</f>
        <v>0</v>
      </c>
      <c r="AE27" s="130">
        <f>+Actuals!AB214</f>
        <v>0</v>
      </c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'TIE-OUT'!L28+RECLASS!L28</f>
        <v>0</v>
      </c>
      <c r="G28" s="82">
        <f>'TIE-OUT'!M28+RECLASS!M28</f>
        <v>0</v>
      </c>
      <c r="H28" s="129">
        <f>+Actuals!E215</f>
        <v>0</v>
      </c>
      <c r="I28" s="130">
        <f>+Actuals!F215</f>
        <v>0</v>
      </c>
      <c r="J28" s="129">
        <f>+Actuals!G215</f>
        <v>0</v>
      </c>
      <c r="K28" s="130">
        <f>+Actuals!H215</f>
        <v>0</v>
      </c>
      <c r="L28" s="129">
        <f>+Actuals!I215</f>
        <v>0</v>
      </c>
      <c r="M28" s="130">
        <f>+Actuals!J215</f>
        <v>0</v>
      </c>
      <c r="N28" s="129">
        <f>+Actuals!K215</f>
        <v>0</v>
      </c>
      <c r="O28" s="130">
        <f>+Actuals!L215</f>
        <v>0</v>
      </c>
      <c r="P28" s="129">
        <f>+Actuals!M215</f>
        <v>0</v>
      </c>
      <c r="Q28" s="130">
        <f>+Actuals!N215</f>
        <v>0</v>
      </c>
      <c r="R28" s="129">
        <f>+Actuals!O215</f>
        <v>0</v>
      </c>
      <c r="S28" s="130">
        <f>+Actuals!P215</f>
        <v>0</v>
      </c>
      <c r="T28" s="129">
        <f>+Actuals!Q215</f>
        <v>0</v>
      </c>
      <c r="U28" s="130">
        <f>+Actuals!R215</f>
        <v>0</v>
      </c>
      <c r="V28" s="129">
        <f>+Actuals!S215</f>
        <v>0</v>
      </c>
      <c r="W28" s="130">
        <f>+Actuals!T215</f>
        <v>0</v>
      </c>
      <c r="X28" s="129">
        <f>+Actuals!U215</f>
        <v>0</v>
      </c>
      <c r="Y28" s="130">
        <f>+Actuals!V215</f>
        <v>0</v>
      </c>
      <c r="Z28" s="129">
        <f>+Actuals!W215</f>
        <v>0</v>
      </c>
      <c r="AA28" s="130">
        <f>+Actuals!X215</f>
        <v>0</v>
      </c>
      <c r="AB28" s="129">
        <f>+Actuals!Y215</f>
        <v>0</v>
      </c>
      <c r="AC28" s="130">
        <f>+Actuals!Z215</f>
        <v>0</v>
      </c>
      <c r="AD28" s="129">
        <f>+Actuals!AA215</f>
        <v>0</v>
      </c>
      <c r="AE28" s="130">
        <f>+Actuals!AB215</f>
        <v>0</v>
      </c>
    </row>
    <row r="29" spans="1:31" x14ac:dyDescent="0.25">
      <c r="A29" s="9"/>
      <c r="B29" s="7" t="s">
        <v>38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9">
        <f>+Actuals!E216</f>
        <v>0</v>
      </c>
      <c r="I32" s="130">
        <f>+Actuals!F216</f>
        <v>0</v>
      </c>
      <c r="J32" s="129">
        <f>+Actuals!G216</f>
        <v>0</v>
      </c>
      <c r="K32" s="130">
        <f>+Actuals!H216</f>
        <v>0</v>
      </c>
      <c r="L32" s="129">
        <f>+Actuals!I216</f>
        <v>0</v>
      </c>
      <c r="M32" s="130">
        <f>+Actuals!J216</f>
        <v>0</v>
      </c>
      <c r="N32" s="129">
        <f>+Actuals!K216</f>
        <v>0</v>
      </c>
      <c r="O32" s="130">
        <f>+Actuals!L216</f>
        <v>0</v>
      </c>
      <c r="P32" s="129">
        <f>+Actuals!M216</f>
        <v>0</v>
      </c>
      <c r="Q32" s="130">
        <f>+Actuals!N216</f>
        <v>0</v>
      </c>
      <c r="R32" s="129">
        <f>+Actuals!O216</f>
        <v>0</v>
      </c>
      <c r="S32" s="130">
        <f>+Actuals!P216</f>
        <v>0</v>
      </c>
      <c r="T32" s="129">
        <f>+Actuals!Q216</f>
        <v>0</v>
      </c>
      <c r="U32" s="130">
        <f>+Actuals!R216</f>
        <v>0</v>
      </c>
      <c r="V32" s="129">
        <f>+Actuals!S216</f>
        <v>0</v>
      </c>
      <c r="W32" s="130">
        <f>+Actuals!T216</f>
        <v>0</v>
      </c>
      <c r="X32" s="129">
        <f>+Actuals!U216</f>
        <v>0</v>
      </c>
      <c r="Y32" s="130">
        <f>+Actuals!V216</f>
        <v>0</v>
      </c>
      <c r="Z32" s="129">
        <f>+Actuals!W216</f>
        <v>0</v>
      </c>
      <c r="AA32" s="130">
        <f>+Actuals!X216</f>
        <v>0</v>
      </c>
      <c r="AB32" s="129">
        <f>+Actuals!Y216</f>
        <v>0</v>
      </c>
      <c r="AC32" s="130">
        <f>+Actuals!Z216</f>
        <v>0</v>
      </c>
      <c r="AD32" s="129">
        <f>+Actuals!AA216</f>
        <v>0</v>
      </c>
      <c r="AE32" s="130">
        <f>+Actuals!AB216</f>
        <v>0</v>
      </c>
    </row>
    <row r="33" spans="1:31" x14ac:dyDescent="0.25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9">
        <f>+Actuals!E217</f>
        <v>0</v>
      </c>
      <c r="I33" s="130">
        <f>+Actuals!F217</f>
        <v>0</v>
      </c>
      <c r="J33" s="129">
        <f>+Actuals!G217</f>
        <v>0</v>
      </c>
      <c r="K33" s="130">
        <f>+Actuals!H217</f>
        <v>0</v>
      </c>
      <c r="L33" s="129">
        <f>+Actuals!I217</f>
        <v>0</v>
      </c>
      <c r="M33" s="130">
        <f>+Actuals!J217</f>
        <v>0</v>
      </c>
      <c r="N33" s="129">
        <f>+Actuals!K217</f>
        <v>0</v>
      </c>
      <c r="O33" s="130">
        <f>+Actuals!L217</f>
        <v>0</v>
      </c>
      <c r="P33" s="129">
        <f>+Actuals!M217</f>
        <v>0</v>
      </c>
      <c r="Q33" s="130">
        <f>+Actuals!N217</f>
        <v>0</v>
      </c>
      <c r="R33" s="129">
        <f>+Actuals!O217</f>
        <v>0</v>
      </c>
      <c r="S33" s="130">
        <f>+Actuals!P217</f>
        <v>0</v>
      </c>
      <c r="T33" s="129">
        <f>+Actuals!Q217</f>
        <v>0</v>
      </c>
      <c r="U33" s="130">
        <f>+Actuals!R217</f>
        <v>0</v>
      </c>
      <c r="V33" s="129">
        <f>+Actuals!S217</f>
        <v>0</v>
      </c>
      <c r="W33" s="130">
        <f>+Actuals!T217</f>
        <v>0</v>
      </c>
      <c r="X33" s="129">
        <f>+Actuals!U217</f>
        <v>0</v>
      </c>
      <c r="Y33" s="130">
        <f>+Actuals!V217</f>
        <v>0</v>
      </c>
      <c r="Z33" s="129">
        <f>+Actuals!W217</f>
        <v>0</v>
      </c>
      <c r="AA33" s="130">
        <f>+Actuals!X217</f>
        <v>0</v>
      </c>
      <c r="AB33" s="129">
        <f>+Actuals!Y217</f>
        <v>0</v>
      </c>
      <c r="AC33" s="130">
        <f>+Actuals!Z217</f>
        <v>0</v>
      </c>
      <c r="AD33" s="129">
        <f>+Actuals!AA217</f>
        <v>0</v>
      </c>
      <c r="AE33" s="130">
        <f>+Actuals!AB217</f>
        <v>0</v>
      </c>
    </row>
    <row r="34" spans="1:31" x14ac:dyDescent="0.25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9">
        <f>+Actuals!E218</f>
        <v>0</v>
      </c>
      <c r="I34" s="130">
        <f>+Actuals!F218</f>
        <v>0</v>
      </c>
      <c r="J34" s="129">
        <f>+Actuals!G218</f>
        <v>0</v>
      </c>
      <c r="K34" s="130">
        <f>+Actuals!H218</f>
        <v>0</v>
      </c>
      <c r="L34" s="129">
        <f>+Actuals!I218</f>
        <v>0</v>
      </c>
      <c r="M34" s="130">
        <f>+Actuals!J218</f>
        <v>0</v>
      </c>
      <c r="N34" s="129">
        <f>+Actuals!K218</f>
        <v>0</v>
      </c>
      <c r="O34" s="130">
        <f>+Actuals!L218</f>
        <v>0</v>
      </c>
      <c r="P34" s="129">
        <f>+Actuals!M218</f>
        <v>0</v>
      </c>
      <c r="Q34" s="130">
        <f>+Actuals!N218</f>
        <v>0</v>
      </c>
      <c r="R34" s="129">
        <f>+Actuals!O218</f>
        <v>0</v>
      </c>
      <c r="S34" s="130">
        <f>+Actuals!P218</f>
        <v>0</v>
      </c>
      <c r="T34" s="129">
        <f>+Actuals!Q218</f>
        <v>0</v>
      </c>
      <c r="U34" s="130">
        <f>+Actuals!R218</f>
        <v>0</v>
      </c>
      <c r="V34" s="129">
        <f>+Actuals!S218</f>
        <v>0</v>
      </c>
      <c r="W34" s="130">
        <f>+Actuals!T218</f>
        <v>0</v>
      </c>
      <c r="X34" s="129">
        <f>+Actuals!U218</f>
        <v>0</v>
      </c>
      <c r="Y34" s="130">
        <f>+Actuals!V218</f>
        <v>0</v>
      </c>
      <c r="Z34" s="129">
        <f>+Actuals!W218</f>
        <v>0</v>
      </c>
      <c r="AA34" s="130">
        <f>+Actuals!X218</f>
        <v>0</v>
      </c>
      <c r="AB34" s="129">
        <f>+Actuals!Y218</f>
        <v>0</v>
      </c>
      <c r="AC34" s="130">
        <f>+Actuals!Z218</f>
        <v>0</v>
      </c>
      <c r="AD34" s="129">
        <f>+Actuals!AA218</f>
        <v>0</v>
      </c>
      <c r="AE34" s="130">
        <f>+Actuals!AB218</f>
        <v>0</v>
      </c>
    </row>
    <row r="35" spans="1:31" x14ac:dyDescent="0.25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9">
        <f>+Actuals!E219</f>
        <v>0</v>
      </c>
      <c r="I35" s="130">
        <f>+Actuals!F219</f>
        <v>0</v>
      </c>
      <c r="J35" s="129">
        <f>+Actuals!G219</f>
        <v>0</v>
      </c>
      <c r="K35" s="130">
        <f>+Actuals!H219</f>
        <v>0</v>
      </c>
      <c r="L35" s="129">
        <f>+Actuals!I219</f>
        <v>0</v>
      </c>
      <c r="M35" s="130">
        <f>+Actuals!J219</f>
        <v>0</v>
      </c>
      <c r="N35" s="129">
        <f>+Actuals!K219</f>
        <v>0</v>
      </c>
      <c r="O35" s="130">
        <f>+Actuals!L219</f>
        <v>0</v>
      </c>
      <c r="P35" s="129">
        <f>+Actuals!M219</f>
        <v>0</v>
      </c>
      <c r="Q35" s="130">
        <f>+Actuals!N219</f>
        <v>0</v>
      </c>
      <c r="R35" s="129">
        <f>+Actuals!O219</f>
        <v>0</v>
      </c>
      <c r="S35" s="130">
        <f>+Actuals!P219</f>
        <v>0</v>
      </c>
      <c r="T35" s="129">
        <f>+Actuals!Q219</f>
        <v>0</v>
      </c>
      <c r="U35" s="130">
        <f>+Actuals!R219</f>
        <v>0</v>
      </c>
      <c r="V35" s="129">
        <f>+Actuals!S219</f>
        <v>0</v>
      </c>
      <c r="W35" s="130">
        <f>+Actuals!T219</f>
        <v>0</v>
      </c>
      <c r="X35" s="129">
        <f>+Actuals!U219</f>
        <v>0</v>
      </c>
      <c r="Y35" s="130">
        <f>+Actuals!V219</f>
        <v>0</v>
      </c>
      <c r="Z35" s="129">
        <f>+Actuals!W219</f>
        <v>0</v>
      </c>
      <c r="AA35" s="130">
        <f>+Actuals!X219</f>
        <v>0</v>
      </c>
      <c r="AB35" s="129">
        <f>+Actuals!Y219</f>
        <v>0</v>
      </c>
      <c r="AC35" s="130">
        <f>+Actuals!Z219</f>
        <v>0</v>
      </c>
      <c r="AD35" s="129">
        <f>+Actuals!AA219</f>
        <v>0</v>
      </c>
      <c r="AE35" s="130">
        <f>+Actuals!AB219</f>
        <v>0</v>
      </c>
    </row>
    <row r="36" spans="1:31" x14ac:dyDescent="0.25">
      <c r="A36" s="9"/>
      <c r="B36" s="7" t="s">
        <v>44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9">
        <f>+Actuals!E220</f>
        <v>0</v>
      </c>
      <c r="I39" s="130">
        <f>+Actuals!F220</f>
        <v>0</v>
      </c>
      <c r="J39" s="129">
        <f>+Actuals!G220</f>
        <v>0</v>
      </c>
      <c r="K39" s="130">
        <f>+Actuals!H220</f>
        <v>0</v>
      </c>
      <c r="L39" s="129">
        <f>+Actuals!I220</f>
        <v>0</v>
      </c>
      <c r="M39" s="130">
        <f>+Actuals!J220</f>
        <v>0</v>
      </c>
      <c r="N39" s="129">
        <f>+Actuals!K220</f>
        <v>0</v>
      </c>
      <c r="O39" s="130">
        <f>+Actuals!L220</f>
        <v>0</v>
      </c>
      <c r="P39" s="129">
        <f>+Actuals!M220</f>
        <v>0</v>
      </c>
      <c r="Q39" s="130">
        <f>+Actuals!N220</f>
        <v>0</v>
      </c>
      <c r="R39" s="129">
        <f>+Actuals!O220</f>
        <v>0</v>
      </c>
      <c r="S39" s="130">
        <f>+Actuals!P220</f>
        <v>0</v>
      </c>
      <c r="T39" s="129">
        <f>+Actuals!Q220</f>
        <v>0</v>
      </c>
      <c r="U39" s="130">
        <f>+Actuals!R220</f>
        <v>0</v>
      </c>
      <c r="V39" s="129">
        <f>+Actuals!S220</f>
        <v>0</v>
      </c>
      <c r="W39" s="130">
        <f>+Actuals!T220</f>
        <v>0</v>
      </c>
      <c r="X39" s="129">
        <f>+Actuals!U220</f>
        <v>0</v>
      </c>
      <c r="Y39" s="130">
        <f>+Actuals!V220</f>
        <v>0</v>
      </c>
      <c r="Z39" s="129">
        <f>+Actuals!W220</f>
        <v>0</v>
      </c>
      <c r="AA39" s="130">
        <f>+Actuals!X220</f>
        <v>0</v>
      </c>
      <c r="AB39" s="129">
        <f>+Actuals!Y220</f>
        <v>0</v>
      </c>
      <c r="AC39" s="130">
        <f>+Actuals!Z220</f>
        <v>0</v>
      </c>
      <c r="AD39" s="129">
        <f>+Actuals!AA220</f>
        <v>0</v>
      </c>
      <c r="AE39" s="130">
        <f>+Actuals!AB220</f>
        <v>0</v>
      </c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9">
        <f>+Actuals!E221</f>
        <v>0</v>
      </c>
      <c r="I40" s="130">
        <f>+Actuals!F221</f>
        <v>0</v>
      </c>
      <c r="J40" s="129">
        <f>+Actuals!G221</f>
        <v>0</v>
      </c>
      <c r="K40" s="130">
        <f>+Actuals!H221</f>
        <v>0</v>
      </c>
      <c r="L40" s="129">
        <f>+Actuals!I221</f>
        <v>0</v>
      </c>
      <c r="M40" s="130">
        <f>+Actuals!J221</f>
        <v>0</v>
      </c>
      <c r="N40" s="129">
        <f>+Actuals!K221</f>
        <v>0</v>
      </c>
      <c r="O40" s="130">
        <f>+Actuals!L221</f>
        <v>0</v>
      </c>
      <c r="P40" s="129">
        <f>+Actuals!M221</f>
        <v>0</v>
      </c>
      <c r="Q40" s="130">
        <f>+Actuals!N221</f>
        <v>0</v>
      </c>
      <c r="R40" s="129">
        <f>+Actuals!O221</f>
        <v>0</v>
      </c>
      <c r="S40" s="130">
        <f>+Actuals!P221</f>
        <v>0</v>
      </c>
      <c r="T40" s="129">
        <f>+Actuals!Q221</f>
        <v>0</v>
      </c>
      <c r="U40" s="130">
        <f>+Actuals!R221</f>
        <v>0</v>
      </c>
      <c r="V40" s="129">
        <f>+Actuals!S221</f>
        <v>0</v>
      </c>
      <c r="W40" s="130">
        <f>+Actuals!T221</f>
        <v>0</v>
      </c>
      <c r="X40" s="129">
        <f>+Actuals!U221</f>
        <v>0</v>
      </c>
      <c r="Y40" s="130">
        <f>+Actuals!V221</f>
        <v>0</v>
      </c>
      <c r="Z40" s="129">
        <f>+Actuals!W221</f>
        <v>0</v>
      </c>
      <c r="AA40" s="130">
        <f>+Actuals!X221</f>
        <v>0</v>
      </c>
      <c r="AB40" s="129">
        <f>+Actuals!Y221</f>
        <v>0</v>
      </c>
      <c r="AC40" s="130">
        <f>+Actuals!Z221</f>
        <v>0</v>
      </c>
      <c r="AD40" s="129">
        <f>+Actuals!AA221</f>
        <v>0</v>
      </c>
      <c r="AE40" s="130">
        <f>+Actuals!AB221</f>
        <v>0</v>
      </c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9">
        <f>+Actuals!E222</f>
        <v>0</v>
      </c>
      <c r="I41" s="130">
        <f>+Actuals!F222</f>
        <v>0</v>
      </c>
      <c r="J41" s="129">
        <f>+Actuals!G222</f>
        <v>0</v>
      </c>
      <c r="K41" s="130">
        <f>+Actuals!H222</f>
        <v>0</v>
      </c>
      <c r="L41" s="129">
        <f>+Actuals!I222</f>
        <v>0</v>
      </c>
      <c r="M41" s="130">
        <f>+Actuals!J222</f>
        <v>0</v>
      </c>
      <c r="N41" s="129">
        <f>+Actuals!K222</f>
        <v>0</v>
      </c>
      <c r="O41" s="130">
        <f>+Actuals!L222</f>
        <v>0</v>
      </c>
      <c r="P41" s="129">
        <f>+Actuals!M222</f>
        <v>0</v>
      </c>
      <c r="Q41" s="130">
        <f>+Actuals!N222</f>
        <v>0</v>
      </c>
      <c r="R41" s="129">
        <f>+Actuals!O222</f>
        <v>0</v>
      </c>
      <c r="S41" s="130">
        <f>+Actuals!P222</f>
        <v>0</v>
      </c>
      <c r="T41" s="129">
        <f>+Actuals!Q222</f>
        <v>0</v>
      </c>
      <c r="U41" s="130">
        <f>+Actuals!R222</f>
        <v>0</v>
      </c>
      <c r="V41" s="129">
        <f>+Actuals!S222</f>
        <v>0</v>
      </c>
      <c r="W41" s="130">
        <f>+Actuals!T222</f>
        <v>0</v>
      </c>
      <c r="X41" s="129">
        <f>+Actuals!U222</f>
        <v>0</v>
      </c>
      <c r="Y41" s="130">
        <f>+Actuals!V222</f>
        <v>0</v>
      </c>
      <c r="Z41" s="129">
        <f>+Actuals!W222</f>
        <v>0</v>
      </c>
      <c r="AA41" s="130">
        <f>+Actuals!X222</f>
        <v>0</v>
      </c>
      <c r="AB41" s="129">
        <f>+Actuals!Y222</f>
        <v>0</v>
      </c>
      <c r="AC41" s="130">
        <f>+Actuals!Z222</f>
        <v>0</v>
      </c>
      <c r="AD41" s="129">
        <f>+Actuals!AA222</f>
        <v>0</v>
      </c>
      <c r="AE41" s="130">
        <f>+Actuals!AB222</f>
        <v>0</v>
      </c>
    </row>
    <row r="42" spans="1:31" x14ac:dyDescent="0.25">
      <c r="A42" s="9"/>
      <c r="B42" s="7"/>
      <c r="C42" s="53" t="s">
        <v>49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50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'TIE-OUT'!L45+RECLASS!L45</f>
        <v>0</v>
      </c>
      <c r="G45" s="68">
        <f>'TIE-OUT'!M45+RECLASS!M45</f>
        <v>0</v>
      </c>
      <c r="H45" s="129">
        <f>+Actuals!E223</f>
        <v>0</v>
      </c>
      <c r="I45" s="130">
        <f>+Actuals!F223</f>
        <v>0</v>
      </c>
      <c r="J45" s="129">
        <f>+Actuals!G223</f>
        <v>0</v>
      </c>
      <c r="K45" s="130">
        <f>+Actuals!H223</f>
        <v>0</v>
      </c>
      <c r="L45" s="129">
        <f>+Actuals!I223</f>
        <v>0</v>
      </c>
      <c r="M45" s="130">
        <f>+Actuals!J223</f>
        <v>0</v>
      </c>
      <c r="N45" s="129">
        <f>+Actuals!K223</f>
        <v>0</v>
      </c>
      <c r="O45" s="130">
        <f>+Actuals!L223</f>
        <v>0</v>
      </c>
      <c r="P45" s="129">
        <f>+Actuals!M223</f>
        <v>0</v>
      </c>
      <c r="Q45" s="130">
        <f>+Actuals!N223</f>
        <v>0</v>
      </c>
      <c r="R45" s="129">
        <f>+Actuals!O223</f>
        <v>0</v>
      </c>
      <c r="S45" s="130">
        <f>+Actuals!P223</f>
        <v>0</v>
      </c>
      <c r="T45" s="129">
        <f>+Actuals!Q223</f>
        <v>0</v>
      </c>
      <c r="U45" s="130">
        <f>+Actuals!R223</f>
        <v>0</v>
      </c>
      <c r="V45" s="129">
        <f>+Actuals!S223</f>
        <v>0</v>
      </c>
      <c r="W45" s="130">
        <f>+Actuals!T223</f>
        <v>0</v>
      </c>
      <c r="X45" s="129">
        <f>+Actuals!U223</f>
        <v>0</v>
      </c>
      <c r="Y45" s="130">
        <f>+Actuals!V223</f>
        <v>0</v>
      </c>
      <c r="Z45" s="129">
        <f>+Actuals!W223</f>
        <v>0</v>
      </c>
      <c r="AA45" s="130">
        <f>+Actuals!X223</f>
        <v>0</v>
      </c>
      <c r="AB45" s="129">
        <f>+Actuals!Y223</f>
        <v>0</v>
      </c>
      <c r="AC45" s="130">
        <f>+Actuals!Z223</f>
        <v>0</v>
      </c>
      <c r="AD45" s="129">
        <f>+Actuals!AA223</f>
        <v>0</v>
      </c>
      <c r="AE45" s="130">
        <f>+Actuals!AB223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'TIE-OUT'!L47+RECLASS!L47</f>
        <v>0</v>
      </c>
      <c r="G47" s="38">
        <f>'TIE-OUT'!M47+RECLASS!M47</f>
        <v>0</v>
      </c>
      <c r="H47" s="129">
        <f>+Actuals!E224</f>
        <v>0</v>
      </c>
      <c r="I47" s="130">
        <f>+Actuals!F224</f>
        <v>0</v>
      </c>
      <c r="J47" s="129">
        <f>+Actuals!G224</f>
        <v>0</v>
      </c>
      <c r="K47" s="130">
        <f>+Actuals!H224</f>
        <v>0</v>
      </c>
      <c r="L47" s="129">
        <f>+Actuals!I224</f>
        <v>0</v>
      </c>
      <c r="M47" s="130">
        <f>+Actuals!J224</f>
        <v>0</v>
      </c>
      <c r="N47" s="129">
        <f>+Actuals!K224</f>
        <v>0</v>
      </c>
      <c r="O47" s="130">
        <f>+Actuals!L224</f>
        <v>0</v>
      </c>
      <c r="P47" s="129">
        <f>+Actuals!M224</f>
        <v>0</v>
      </c>
      <c r="Q47" s="130">
        <f>+Actuals!N224</f>
        <v>0</v>
      </c>
      <c r="R47" s="129">
        <f>+Actuals!O224</f>
        <v>0</v>
      </c>
      <c r="S47" s="130">
        <f>+Actuals!P224</f>
        <v>0</v>
      </c>
      <c r="T47" s="129">
        <f>+Actuals!Q224</f>
        <v>0</v>
      </c>
      <c r="U47" s="130">
        <f>+Actuals!R224</f>
        <v>0</v>
      </c>
      <c r="V47" s="129">
        <f>+Actuals!S224</f>
        <v>0</v>
      </c>
      <c r="W47" s="130">
        <f>+Actuals!T224</f>
        <v>0</v>
      </c>
      <c r="X47" s="129">
        <f>+Actuals!U224</f>
        <v>0</v>
      </c>
      <c r="Y47" s="130">
        <f>+Actuals!V224</f>
        <v>0</v>
      </c>
      <c r="Z47" s="129">
        <f>+Actuals!W224</f>
        <v>0</v>
      </c>
      <c r="AA47" s="130">
        <f>+Actuals!X224</f>
        <v>0</v>
      </c>
      <c r="AB47" s="129">
        <f>+Actuals!Y224</f>
        <v>0</v>
      </c>
      <c r="AC47" s="130">
        <f>+Actuals!Z224</f>
        <v>0</v>
      </c>
      <c r="AD47" s="129">
        <f>+Actuals!AA224</f>
        <v>0</v>
      </c>
      <c r="AE47" s="130">
        <f>+Actuals!AB224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'TIE-OUT'!L49+RECLASS!L49</f>
        <v>0</v>
      </c>
      <c r="G49" s="38">
        <f>'TIE-OUT'!M49+RECLASS!M49</f>
        <v>0</v>
      </c>
      <c r="H49" s="129">
        <f>+Actuals!E225</f>
        <v>0</v>
      </c>
      <c r="I49" s="130">
        <f>+Actuals!F225</f>
        <v>0</v>
      </c>
      <c r="J49" s="129">
        <f>+Actuals!G225</f>
        <v>0</v>
      </c>
      <c r="K49" s="130">
        <f>+Actuals!H225</f>
        <v>0</v>
      </c>
      <c r="L49" s="129">
        <f>+Actuals!I225</f>
        <v>0</v>
      </c>
      <c r="M49" s="130">
        <f>+Actuals!J225</f>
        <v>0</v>
      </c>
      <c r="N49" s="129">
        <f>+Actuals!K225</f>
        <v>0</v>
      </c>
      <c r="O49" s="130">
        <f>+Actuals!L225</f>
        <v>0</v>
      </c>
      <c r="P49" s="129">
        <f>+Actuals!M225</f>
        <v>0</v>
      </c>
      <c r="Q49" s="130">
        <f>+Actuals!N225</f>
        <v>0</v>
      </c>
      <c r="R49" s="129">
        <f>+Actuals!O225</f>
        <v>0</v>
      </c>
      <c r="S49" s="130">
        <f>+Actuals!P225</f>
        <v>0</v>
      </c>
      <c r="T49" s="129">
        <f>+Actuals!Q225</f>
        <v>0</v>
      </c>
      <c r="U49" s="130">
        <f>+Actuals!R225</f>
        <v>0</v>
      </c>
      <c r="V49" s="129">
        <f>+Actuals!S225</f>
        <v>0</v>
      </c>
      <c r="W49" s="130">
        <f>+Actuals!T225</f>
        <v>0</v>
      </c>
      <c r="X49" s="129">
        <f>+Actuals!U225</f>
        <v>0</v>
      </c>
      <c r="Y49" s="130">
        <f>+Actuals!V225</f>
        <v>0</v>
      </c>
      <c r="Z49" s="129">
        <f>+Actuals!W225</f>
        <v>0</v>
      </c>
      <c r="AA49" s="130">
        <f>+Actuals!X225</f>
        <v>0</v>
      </c>
      <c r="AB49" s="129">
        <f>+Actuals!Y225</f>
        <v>0</v>
      </c>
      <c r="AC49" s="130">
        <f>+Actuals!Z225</f>
        <v>0</v>
      </c>
      <c r="AD49" s="129">
        <f>+Actuals!AA225</f>
        <v>0</v>
      </c>
      <c r="AE49" s="130">
        <f>+Actuals!AB225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'TIE-OUT'!L51+RECLASS!L51</f>
        <v>0</v>
      </c>
      <c r="G51" s="38">
        <f>'TIE-OUT'!M51+RECLASS!M51</f>
        <v>0</v>
      </c>
      <c r="H51" s="129">
        <f>+Actuals!E226</f>
        <v>0</v>
      </c>
      <c r="I51" s="130">
        <f>+Actuals!F226</f>
        <v>0</v>
      </c>
      <c r="J51" s="129">
        <f>+Actuals!G226</f>
        <v>0</v>
      </c>
      <c r="K51" s="130">
        <f>+Actuals!H226</f>
        <v>0</v>
      </c>
      <c r="L51" s="129">
        <f>+Actuals!I226</f>
        <v>0</v>
      </c>
      <c r="M51" s="130">
        <f>+Actuals!J226</f>
        <v>0</v>
      </c>
      <c r="N51" s="129">
        <f>+Actuals!K226</f>
        <v>0</v>
      </c>
      <c r="O51" s="130">
        <f>+Actuals!L226</f>
        <v>0</v>
      </c>
      <c r="P51" s="129">
        <f>+Actuals!M226</f>
        <v>0</v>
      </c>
      <c r="Q51" s="130">
        <f>+Actuals!N226</f>
        <v>0</v>
      </c>
      <c r="R51" s="129">
        <f>+Actuals!O226</f>
        <v>0</v>
      </c>
      <c r="S51" s="130">
        <f>+Actuals!P226</f>
        <v>0</v>
      </c>
      <c r="T51" s="129">
        <f>+Actuals!Q226</f>
        <v>0</v>
      </c>
      <c r="U51" s="130">
        <f>+Actuals!R226</f>
        <v>0</v>
      </c>
      <c r="V51" s="129">
        <f>+Actuals!S226</f>
        <v>0</v>
      </c>
      <c r="W51" s="130">
        <f>+Actuals!T226</f>
        <v>0</v>
      </c>
      <c r="X51" s="129">
        <f>+Actuals!U226</f>
        <v>0</v>
      </c>
      <c r="Y51" s="130">
        <f>+Actuals!V226</f>
        <v>0</v>
      </c>
      <c r="Z51" s="129">
        <f>+Actuals!W226</f>
        <v>0</v>
      </c>
      <c r="AA51" s="130">
        <f>+Actuals!X226</f>
        <v>0</v>
      </c>
      <c r="AB51" s="129">
        <f>+Actuals!Y226</f>
        <v>0</v>
      </c>
      <c r="AC51" s="130">
        <f>+Actuals!Z226</f>
        <v>0</v>
      </c>
      <c r="AD51" s="129">
        <f>+Actuals!AA226</f>
        <v>0</v>
      </c>
      <c r="AE51" s="130">
        <f>+Actuals!AB226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'TIE-OUT'!L54+RECLASS!L54</f>
        <v>0</v>
      </c>
      <c r="G54" s="68">
        <f>'TIE-OUT'!M54+RECLASS!M54</f>
        <v>0</v>
      </c>
      <c r="H54" s="129">
        <f>+Actuals!E227</f>
        <v>0</v>
      </c>
      <c r="I54" s="130">
        <f>+Actuals!F227</f>
        <v>0</v>
      </c>
      <c r="J54" s="129">
        <f>+Actuals!G227</f>
        <v>0</v>
      </c>
      <c r="K54" s="130">
        <f>+Actuals!H227</f>
        <v>0</v>
      </c>
      <c r="L54" s="129">
        <f>+Actuals!I227</f>
        <v>0</v>
      </c>
      <c r="M54" s="130">
        <f>+Actuals!J227</f>
        <v>0</v>
      </c>
      <c r="N54" s="129">
        <f>+Actuals!K227</f>
        <v>0</v>
      </c>
      <c r="O54" s="130">
        <f>+Actuals!L227</f>
        <v>0</v>
      </c>
      <c r="P54" s="129">
        <f>+Actuals!M227</f>
        <v>0</v>
      </c>
      <c r="Q54" s="130">
        <f>+Actuals!N227</f>
        <v>0</v>
      </c>
      <c r="R54" s="129">
        <f>+Actuals!O227</f>
        <v>0</v>
      </c>
      <c r="S54" s="130">
        <f>+Actuals!P227</f>
        <v>0</v>
      </c>
      <c r="T54" s="129">
        <f>+Actuals!Q227</f>
        <v>0</v>
      </c>
      <c r="U54" s="130">
        <f>+Actuals!R227</f>
        <v>0</v>
      </c>
      <c r="V54" s="129">
        <f>+Actuals!S227</f>
        <v>0</v>
      </c>
      <c r="W54" s="130">
        <f>+Actuals!T227</f>
        <v>0</v>
      </c>
      <c r="X54" s="129">
        <f>+Actuals!U227</f>
        <v>0</v>
      </c>
      <c r="Y54" s="130">
        <f>+Actuals!V227</f>
        <v>0</v>
      </c>
      <c r="Z54" s="129">
        <f>+Actuals!W227</f>
        <v>0</v>
      </c>
      <c r="AA54" s="130">
        <f>+Actuals!X227</f>
        <v>0</v>
      </c>
      <c r="AB54" s="129">
        <f>+Actuals!Y227</f>
        <v>0</v>
      </c>
      <c r="AC54" s="130">
        <f>+Actuals!Z227</f>
        <v>0</v>
      </c>
      <c r="AD54" s="129">
        <f>+Actuals!AA227</f>
        <v>0</v>
      </c>
      <c r="AE54" s="130">
        <f>+Actuals!AB227</f>
        <v>0</v>
      </c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'TIE-OUT'!L55+RECLASS!L55</f>
        <v>0</v>
      </c>
      <c r="G55" s="82">
        <f>'TIE-OUT'!M55+RECLASS!M55</f>
        <v>0</v>
      </c>
      <c r="H55" s="129">
        <f>+Actuals!E228</f>
        <v>0</v>
      </c>
      <c r="I55" s="130">
        <f>+Actuals!F228</f>
        <v>0</v>
      </c>
      <c r="J55" s="129">
        <f>+Actuals!G228</f>
        <v>0</v>
      </c>
      <c r="K55" s="130">
        <f>+Actuals!H228</f>
        <v>0</v>
      </c>
      <c r="L55" s="129">
        <f>+Actuals!I228</f>
        <v>0</v>
      </c>
      <c r="M55" s="130">
        <f>+Actuals!J228</f>
        <v>0</v>
      </c>
      <c r="N55" s="129">
        <f>+Actuals!K228</f>
        <v>0</v>
      </c>
      <c r="O55" s="130">
        <f>+Actuals!L228</f>
        <v>0</v>
      </c>
      <c r="P55" s="129">
        <f>+Actuals!M228</f>
        <v>0</v>
      </c>
      <c r="Q55" s="130">
        <f>+Actuals!N228</f>
        <v>0</v>
      </c>
      <c r="R55" s="129">
        <f>+Actuals!O228</f>
        <v>0</v>
      </c>
      <c r="S55" s="130">
        <f>+Actuals!P228</f>
        <v>0</v>
      </c>
      <c r="T55" s="129">
        <f>+Actuals!Q228</f>
        <v>0</v>
      </c>
      <c r="U55" s="130">
        <f>+Actuals!R228</f>
        <v>0</v>
      </c>
      <c r="V55" s="129">
        <f>+Actuals!S228</f>
        <v>0</v>
      </c>
      <c r="W55" s="130">
        <f>+Actuals!T228</f>
        <v>0</v>
      </c>
      <c r="X55" s="129">
        <f>+Actuals!U228</f>
        <v>0</v>
      </c>
      <c r="Y55" s="130">
        <f>+Actuals!V228</f>
        <v>0</v>
      </c>
      <c r="Z55" s="129">
        <f>+Actuals!W228</f>
        <v>0</v>
      </c>
      <c r="AA55" s="130">
        <f>+Actuals!X228</f>
        <v>0</v>
      </c>
      <c r="AB55" s="129">
        <f>+Actuals!Y228</f>
        <v>0</v>
      </c>
      <c r="AC55" s="130">
        <f>+Actuals!Z228</f>
        <v>0</v>
      </c>
      <c r="AD55" s="129">
        <f>+Actuals!AA228</f>
        <v>0</v>
      </c>
      <c r="AE55" s="130">
        <f>+Actuals!AB228</f>
        <v>0</v>
      </c>
    </row>
    <row r="56" spans="1:31" x14ac:dyDescent="0.25">
      <c r="A56" s="9"/>
      <c r="B56" s="7" t="s">
        <v>58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ref="V56:AA56" si="17">SUM(V54:V55)</f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'TIE-OUT'!L59+RECLASS!L59</f>
        <v>0</v>
      </c>
      <c r="G59" s="68">
        <f>'TIE-OUT'!M59+RECLASS!M59</f>
        <v>0</v>
      </c>
      <c r="H59" s="129">
        <f>+Actuals!E229</f>
        <v>0</v>
      </c>
      <c r="I59" s="130">
        <f>+Actuals!F229</f>
        <v>0</v>
      </c>
      <c r="J59" s="129">
        <f>+Actuals!G229</f>
        <v>0</v>
      </c>
      <c r="K59" s="130">
        <f>+Actuals!H229</f>
        <v>0</v>
      </c>
      <c r="L59" s="129">
        <f>+Actuals!I229</f>
        <v>0</v>
      </c>
      <c r="M59" s="130">
        <f>+Actuals!J229</f>
        <v>0</v>
      </c>
      <c r="N59" s="129">
        <f>+Actuals!K229</f>
        <v>0</v>
      </c>
      <c r="O59" s="130">
        <f>+Actuals!L229</f>
        <v>0</v>
      </c>
      <c r="P59" s="129">
        <f>+Actuals!M229</f>
        <v>0</v>
      </c>
      <c r="Q59" s="130">
        <f>+Actuals!N229</f>
        <v>0</v>
      </c>
      <c r="R59" s="129">
        <f>+Actuals!O229</f>
        <v>0</v>
      </c>
      <c r="S59" s="130">
        <f>+Actuals!P229</f>
        <v>0</v>
      </c>
      <c r="T59" s="129">
        <f>+Actuals!Q229</f>
        <v>0</v>
      </c>
      <c r="U59" s="130">
        <f>+Actuals!R229</f>
        <v>0</v>
      </c>
      <c r="V59" s="129">
        <f>+Actuals!S229</f>
        <v>0</v>
      </c>
      <c r="W59" s="130">
        <f>+Actuals!T229</f>
        <v>0</v>
      </c>
      <c r="X59" s="129">
        <f>+Actuals!U229</f>
        <v>0</v>
      </c>
      <c r="Y59" s="130">
        <f>+Actuals!V229</f>
        <v>0</v>
      </c>
      <c r="Z59" s="129">
        <f>+Actuals!W229</f>
        <v>0</v>
      </c>
      <c r="AA59" s="130">
        <f>+Actuals!X229</f>
        <v>0</v>
      </c>
      <c r="AB59" s="129">
        <f>+Actuals!Y229</f>
        <v>0</v>
      </c>
      <c r="AC59" s="130">
        <f>+Actuals!Z229</f>
        <v>0</v>
      </c>
      <c r="AD59" s="129">
        <f>+Actuals!AA229</f>
        <v>0</v>
      </c>
      <c r="AE59" s="130">
        <f>+Actuals!AB229</f>
        <v>0</v>
      </c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'TIE-OUT'!L60+RECLASS!L60</f>
        <v>0</v>
      </c>
      <c r="G60" s="82">
        <f>'TIE-OUT'!M60+RECLASS!M60</f>
        <v>0</v>
      </c>
      <c r="H60" s="129">
        <f>+Actuals!E230</f>
        <v>0</v>
      </c>
      <c r="I60" s="130">
        <f>+Actuals!F230</f>
        <v>0</v>
      </c>
      <c r="J60" s="129">
        <f>+Actuals!G230</f>
        <v>0</v>
      </c>
      <c r="K60" s="130">
        <f>+Actuals!H230</f>
        <v>0</v>
      </c>
      <c r="L60" s="129">
        <f>+Actuals!I230</f>
        <v>0</v>
      </c>
      <c r="M60" s="130">
        <f>+Actuals!J230</f>
        <v>0</v>
      </c>
      <c r="N60" s="129">
        <f>+Actuals!K230</f>
        <v>0</v>
      </c>
      <c r="O60" s="130">
        <f>+Actuals!L230</f>
        <v>0</v>
      </c>
      <c r="P60" s="129">
        <f>+Actuals!M230</f>
        <v>0</v>
      </c>
      <c r="Q60" s="130">
        <f>+Actuals!N230</f>
        <v>0</v>
      </c>
      <c r="R60" s="129">
        <f>+Actuals!O230</f>
        <v>0</v>
      </c>
      <c r="S60" s="130">
        <f>+Actuals!P230</f>
        <v>0</v>
      </c>
      <c r="T60" s="129">
        <f>+Actuals!Q230</f>
        <v>0</v>
      </c>
      <c r="U60" s="130">
        <f>+Actuals!R230</f>
        <v>0</v>
      </c>
      <c r="V60" s="129">
        <f>+Actuals!S230</f>
        <v>0</v>
      </c>
      <c r="W60" s="130">
        <f>+Actuals!T230</f>
        <v>0</v>
      </c>
      <c r="X60" s="129">
        <f>+Actuals!U230</f>
        <v>0</v>
      </c>
      <c r="Y60" s="130">
        <f>+Actuals!V230</f>
        <v>0</v>
      </c>
      <c r="Z60" s="129">
        <f>+Actuals!W230</f>
        <v>0</v>
      </c>
      <c r="AA60" s="130">
        <f>+Actuals!X230</f>
        <v>0</v>
      </c>
      <c r="AB60" s="129">
        <f>+Actuals!Y230</f>
        <v>0</v>
      </c>
      <c r="AC60" s="130">
        <f>+Actuals!Z230</f>
        <v>0</v>
      </c>
      <c r="AD60" s="129">
        <f>+Actuals!AA230</f>
        <v>0</v>
      </c>
      <c r="AE60" s="130">
        <f>+Actuals!AB230</f>
        <v>0</v>
      </c>
    </row>
    <row r="61" spans="1:31" x14ac:dyDescent="0.25">
      <c r="A61" s="9"/>
      <c r="B61" s="62" t="s">
        <v>62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'TIE-OUT'!L64+RECLASS!L64</f>
        <v>0</v>
      </c>
      <c r="G64" s="68">
        <f>'TIE-OUT'!M64+RECLASS!M64</f>
        <v>0</v>
      </c>
      <c r="H64" s="129">
        <f>+Actuals!E231</f>
        <v>0</v>
      </c>
      <c r="I64" s="130">
        <f>+Actuals!F231</f>
        <v>0</v>
      </c>
      <c r="J64" s="129">
        <f>+Actuals!G231</f>
        <v>0</v>
      </c>
      <c r="K64" s="130">
        <f>+Actuals!H231</f>
        <v>0</v>
      </c>
      <c r="L64" s="129">
        <f>+Actuals!I231</f>
        <v>0</v>
      </c>
      <c r="M64" s="130">
        <f>+Actuals!J231</f>
        <v>0</v>
      </c>
      <c r="N64" s="129">
        <f>+Actuals!K231</f>
        <v>0</v>
      </c>
      <c r="O64" s="130">
        <f>+Actuals!L231</f>
        <v>0</v>
      </c>
      <c r="P64" s="129">
        <f>+Actuals!M231</f>
        <v>0</v>
      </c>
      <c r="Q64" s="130">
        <f>+Actuals!N231</f>
        <v>0</v>
      </c>
      <c r="R64" s="129">
        <f>+Actuals!O231</f>
        <v>0</v>
      </c>
      <c r="S64" s="130">
        <f>+Actuals!P231</f>
        <v>0</v>
      </c>
      <c r="T64" s="129">
        <f>+Actuals!Q231</f>
        <v>0</v>
      </c>
      <c r="U64" s="130">
        <f>+Actuals!R231</f>
        <v>0</v>
      </c>
      <c r="V64" s="129">
        <f>+Actuals!S231</f>
        <v>0</v>
      </c>
      <c r="W64" s="130">
        <f>+Actuals!T231</f>
        <v>0</v>
      </c>
      <c r="X64" s="129">
        <f>+Actuals!U231</f>
        <v>0</v>
      </c>
      <c r="Y64" s="130">
        <f>+Actuals!V231</f>
        <v>0</v>
      </c>
      <c r="Z64" s="129">
        <f>+Actuals!W231</f>
        <v>0</v>
      </c>
      <c r="AA64" s="130">
        <f>+Actuals!X231</f>
        <v>0</v>
      </c>
      <c r="AB64" s="129">
        <f>+Actuals!Y231</f>
        <v>0</v>
      </c>
      <c r="AC64" s="130">
        <f>+Actuals!Z231</f>
        <v>0</v>
      </c>
      <c r="AD64" s="129">
        <f>+Actuals!AA231</f>
        <v>0</v>
      </c>
      <c r="AE64" s="130">
        <f>+Actuals!AB231</f>
        <v>0</v>
      </c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'TIE-OUT'!L65+RECLASS!L65</f>
        <v>0</v>
      </c>
      <c r="G65" s="82">
        <f>'TIE-OUT'!M65+RECLASS!M65</f>
        <v>0</v>
      </c>
      <c r="H65" s="129">
        <f>+Actuals!E232</f>
        <v>0</v>
      </c>
      <c r="I65" s="130">
        <f>+Actuals!F232</f>
        <v>0</v>
      </c>
      <c r="J65" s="129">
        <f>+Actuals!G232</f>
        <v>0</v>
      </c>
      <c r="K65" s="130">
        <f>+Actuals!H232</f>
        <v>0</v>
      </c>
      <c r="L65" s="129">
        <f>+Actuals!I232</f>
        <v>0</v>
      </c>
      <c r="M65" s="130">
        <f>+Actuals!J232</f>
        <v>0</v>
      </c>
      <c r="N65" s="129">
        <f>+Actuals!K232</f>
        <v>0</v>
      </c>
      <c r="O65" s="130">
        <f>+Actuals!L232</f>
        <v>0</v>
      </c>
      <c r="P65" s="129">
        <f>+Actuals!M232</f>
        <v>0</v>
      </c>
      <c r="Q65" s="130">
        <f>+Actuals!N232</f>
        <v>0</v>
      </c>
      <c r="R65" s="129">
        <f>+Actuals!O232</f>
        <v>0</v>
      </c>
      <c r="S65" s="130">
        <f>+Actuals!P232</f>
        <v>0</v>
      </c>
      <c r="T65" s="129">
        <f>+Actuals!Q232</f>
        <v>0</v>
      </c>
      <c r="U65" s="130">
        <f>+Actuals!R232</f>
        <v>0</v>
      </c>
      <c r="V65" s="129">
        <f>+Actuals!S232</f>
        <v>0</v>
      </c>
      <c r="W65" s="130">
        <f>+Actuals!T232</f>
        <v>0</v>
      </c>
      <c r="X65" s="129">
        <f>+Actuals!U232</f>
        <v>0</v>
      </c>
      <c r="Y65" s="130">
        <f>+Actuals!V232</f>
        <v>0</v>
      </c>
      <c r="Z65" s="129">
        <f>+Actuals!W232</f>
        <v>0</v>
      </c>
      <c r="AA65" s="130">
        <f>+Actuals!X232</f>
        <v>0</v>
      </c>
      <c r="AB65" s="129">
        <f>+Actuals!Y232</f>
        <v>0</v>
      </c>
      <c r="AC65" s="130">
        <f>+Actuals!Z232</f>
        <v>0</v>
      </c>
      <c r="AD65" s="129">
        <f>+Actuals!AA232</f>
        <v>0</v>
      </c>
      <c r="AE65" s="130">
        <f>+Actuals!AB232</f>
        <v>0</v>
      </c>
    </row>
    <row r="66" spans="1:31" x14ac:dyDescent="0.25">
      <c r="A66" s="9"/>
      <c r="B66" s="7" t="s">
        <v>65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'TIE-OUT'!L70+RECLASS!L70</f>
        <v>0</v>
      </c>
      <c r="G70" s="68">
        <f>'TIE-OUT'!M70+RECLASS!M70</f>
        <v>0</v>
      </c>
      <c r="H70" s="129">
        <f>+Actuals!E233</f>
        <v>0</v>
      </c>
      <c r="I70" s="130">
        <f>+Actuals!F233</f>
        <v>0</v>
      </c>
      <c r="J70" s="129">
        <f>+Actuals!G233</f>
        <v>0</v>
      </c>
      <c r="K70" s="130">
        <f>+Actuals!H233</f>
        <v>0</v>
      </c>
      <c r="L70" s="129">
        <f>+Actuals!I233</f>
        <v>0</v>
      </c>
      <c r="M70" s="130">
        <f>+Actuals!J233</f>
        <v>0</v>
      </c>
      <c r="N70" s="129">
        <f>+Actuals!K233</f>
        <v>0</v>
      </c>
      <c r="O70" s="130">
        <f>+Actuals!L233</f>
        <v>0</v>
      </c>
      <c r="P70" s="129">
        <f>+Actuals!M233</f>
        <v>0</v>
      </c>
      <c r="Q70" s="130">
        <f>+Actuals!N233</f>
        <v>0</v>
      </c>
      <c r="R70" s="129">
        <f>+Actuals!O233</f>
        <v>0</v>
      </c>
      <c r="S70" s="130">
        <f>+Actuals!P233</f>
        <v>0</v>
      </c>
      <c r="T70" s="129">
        <f>+Actuals!Q233</f>
        <v>0</v>
      </c>
      <c r="U70" s="130">
        <f>+Actuals!R233</f>
        <v>0</v>
      </c>
      <c r="V70" s="129">
        <f>+Actuals!S233</f>
        <v>0</v>
      </c>
      <c r="W70" s="130">
        <f>+Actuals!T233</f>
        <v>0</v>
      </c>
      <c r="X70" s="129">
        <f>+Actuals!U233</f>
        <v>0</v>
      </c>
      <c r="Y70" s="130">
        <f>+Actuals!V233</f>
        <v>0</v>
      </c>
      <c r="Z70" s="129">
        <f>+Actuals!W233</f>
        <v>0</v>
      </c>
      <c r="AA70" s="130">
        <f>+Actuals!X233</f>
        <v>0</v>
      </c>
      <c r="AB70" s="129">
        <f>+Actuals!Y233</f>
        <v>0</v>
      </c>
      <c r="AC70" s="130">
        <f>+Actuals!Z233</f>
        <v>0</v>
      </c>
      <c r="AD70" s="129">
        <f>+Actuals!AA233</f>
        <v>0</v>
      </c>
      <c r="AE70" s="130">
        <f>+Actuals!AB233</f>
        <v>0</v>
      </c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'TIE-OUT'!L71+RECLASS!L71</f>
        <v>0</v>
      </c>
      <c r="G71" s="82">
        <f>'TIE-OUT'!M71+RECLASS!M71</f>
        <v>0</v>
      </c>
      <c r="H71" s="129">
        <f>+Actuals!E234</f>
        <v>0</v>
      </c>
      <c r="I71" s="130">
        <f>+Actuals!F234</f>
        <v>0</v>
      </c>
      <c r="J71" s="129">
        <f>+Actuals!G234</f>
        <v>0</v>
      </c>
      <c r="K71" s="130">
        <f>+Actuals!H234</f>
        <v>0</v>
      </c>
      <c r="L71" s="129">
        <f>+Actuals!I234</f>
        <v>0</v>
      </c>
      <c r="M71" s="130">
        <f>+Actuals!J234</f>
        <v>0</v>
      </c>
      <c r="N71" s="129">
        <f>+Actuals!K234</f>
        <v>0</v>
      </c>
      <c r="O71" s="130">
        <f>+Actuals!L234</f>
        <v>0</v>
      </c>
      <c r="P71" s="129">
        <f>+Actuals!M234</f>
        <v>0</v>
      </c>
      <c r="Q71" s="130">
        <f>+Actuals!N234</f>
        <v>0</v>
      </c>
      <c r="R71" s="129">
        <f>+Actuals!O234</f>
        <v>0</v>
      </c>
      <c r="S71" s="130">
        <f>+Actuals!P234</f>
        <v>0</v>
      </c>
      <c r="T71" s="129">
        <f>+Actuals!Q234</f>
        <v>0</v>
      </c>
      <c r="U71" s="130">
        <f>+Actuals!R234</f>
        <v>0</v>
      </c>
      <c r="V71" s="129">
        <f>+Actuals!S234</f>
        <v>0</v>
      </c>
      <c r="W71" s="130">
        <f>+Actuals!T234</f>
        <v>0</v>
      </c>
      <c r="X71" s="129">
        <f>+Actuals!U234</f>
        <v>0</v>
      </c>
      <c r="Y71" s="130">
        <f>+Actuals!V234</f>
        <v>0</v>
      </c>
      <c r="Z71" s="129">
        <f>+Actuals!W234</f>
        <v>0</v>
      </c>
      <c r="AA71" s="130">
        <f>+Actuals!X234</f>
        <v>0</v>
      </c>
      <c r="AB71" s="129">
        <f>+Actuals!Y234</f>
        <v>0</v>
      </c>
      <c r="AC71" s="130">
        <f>+Actuals!Z234</f>
        <v>0</v>
      </c>
      <c r="AD71" s="129">
        <f>+Actuals!AA234</f>
        <v>0</v>
      </c>
      <c r="AE71" s="130">
        <f>+Actuals!AB234</f>
        <v>0</v>
      </c>
    </row>
    <row r="72" spans="1:31" x14ac:dyDescent="0.25">
      <c r="A72" s="9"/>
      <c r="B72" s="3"/>
      <c r="C72" s="55" t="s">
        <v>70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'TIE-OUT'!L73+RECLASS!L73</f>
        <v>0</v>
      </c>
      <c r="G73" s="60">
        <f>'TIE-OUT'!M73+RECLASS!M73</f>
        <v>0</v>
      </c>
      <c r="H73" s="129">
        <f>+Actuals!E235</f>
        <v>0</v>
      </c>
      <c r="I73" s="130">
        <f>+Actuals!F235</f>
        <v>0</v>
      </c>
      <c r="J73" s="129">
        <f>+Actuals!G235</f>
        <v>0</v>
      </c>
      <c r="K73" s="130">
        <f>+Actuals!H235</f>
        <v>0</v>
      </c>
      <c r="L73" s="129">
        <f>+Actuals!I235</f>
        <v>0</v>
      </c>
      <c r="M73" s="130">
        <f>+Actuals!J235</f>
        <v>0</v>
      </c>
      <c r="N73" s="129">
        <f>+Actuals!K235</f>
        <v>0</v>
      </c>
      <c r="O73" s="130">
        <f>+Actuals!L235</f>
        <v>0</v>
      </c>
      <c r="P73" s="129">
        <f>+Actuals!M235</f>
        <v>0</v>
      </c>
      <c r="Q73" s="130">
        <f>+Actuals!N235</f>
        <v>0</v>
      </c>
      <c r="R73" s="129">
        <f>+Actuals!O235</f>
        <v>0</v>
      </c>
      <c r="S73" s="130">
        <f>+Actuals!P235</f>
        <v>0</v>
      </c>
      <c r="T73" s="129">
        <f>+Actuals!Q235</f>
        <v>0</v>
      </c>
      <c r="U73" s="130">
        <f>+Actuals!R235</f>
        <v>0</v>
      </c>
      <c r="V73" s="129">
        <f>+Actuals!S235</f>
        <v>0</v>
      </c>
      <c r="W73" s="130">
        <f>+Actuals!T235</f>
        <v>0</v>
      </c>
      <c r="X73" s="129">
        <f>+Actuals!U235</f>
        <v>0</v>
      </c>
      <c r="Y73" s="130">
        <f>+Actuals!V235</f>
        <v>0</v>
      </c>
      <c r="Z73" s="129">
        <f>+Actuals!W235</f>
        <v>0</v>
      </c>
      <c r="AA73" s="130">
        <f>+Actuals!X235</f>
        <v>0</v>
      </c>
      <c r="AB73" s="129">
        <f>+Actuals!Y235</f>
        <v>0</v>
      </c>
      <c r="AC73" s="130">
        <f>+Actuals!Z235</f>
        <v>0</v>
      </c>
      <c r="AD73" s="129">
        <f>+Actuals!AA235</f>
        <v>0</v>
      </c>
      <c r="AE73" s="130">
        <f>+Actuals!AB235</f>
        <v>0</v>
      </c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0</v>
      </c>
      <c r="F74" s="60">
        <f>'TIE-OUT'!L74+RECLASS!L74</f>
        <v>0</v>
      </c>
      <c r="G74" s="60">
        <f>'TIE-OUT'!M74+RECLASS!M74</f>
        <v>0</v>
      </c>
      <c r="H74" s="129">
        <f>+Actuals!E236</f>
        <v>0</v>
      </c>
      <c r="I74" s="130">
        <f>+Actuals!F236</f>
        <v>0</v>
      </c>
      <c r="J74" s="129">
        <f>+Actuals!G236</f>
        <v>0</v>
      </c>
      <c r="K74" s="130">
        <f>+Actuals!H236</f>
        <v>0</v>
      </c>
      <c r="L74" s="129">
        <f>+Actuals!I236</f>
        <v>0</v>
      </c>
      <c r="M74" s="130">
        <f>+Actuals!J236</f>
        <v>0</v>
      </c>
      <c r="N74" s="129">
        <f>+Actuals!K236</f>
        <v>0</v>
      </c>
      <c r="O74" s="130">
        <f>+Actuals!L236</f>
        <v>0</v>
      </c>
      <c r="P74" s="129">
        <f>+Actuals!M236</f>
        <v>0</v>
      </c>
      <c r="Q74" s="130">
        <f>+Actuals!N236</f>
        <v>0</v>
      </c>
      <c r="R74" s="129">
        <f>+Actuals!O236</f>
        <v>0</v>
      </c>
      <c r="S74" s="130">
        <f>+Actuals!P236</f>
        <v>0</v>
      </c>
      <c r="T74" s="129">
        <f>+Actuals!Q236</f>
        <v>0</v>
      </c>
      <c r="U74" s="130">
        <f>+Actuals!R236</f>
        <v>0</v>
      </c>
      <c r="V74" s="129">
        <f>+Actuals!S236</f>
        <v>0</v>
      </c>
      <c r="W74" s="130">
        <f>+Actuals!T236</f>
        <v>0</v>
      </c>
      <c r="X74" s="129">
        <f>+Actuals!U236</f>
        <v>0</v>
      </c>
      <c r="Y74" s="130">
        <f>+Actuals!V236</f>
        <v>0</v>
      </c>
      <c r="Z74" s="129">
        <f>+Actuals!W236</f>
        <v>0</v>
      </c>
      <c r="AA74" s="130">
        <f>+Actuals!X236</f>
        <v>0</v>
      </c>
      <c r="AB74" s="129">
        <f>+Actuals!Y236</f>
        <v>0</v>
      </c>
      <c r="AC74" s="130">
        <f>+Actuals!Z236</f>
        <v>0</v>
      </c>
      <c r="AD74" s="129">
        <f>+Actuals!AA236</f>
        <v>0</v>
      </c>
      <c r="AE74" s="130">
        <f>+Actuals!AB236</f>
        <v>0</v>
      </c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'TIE-OUT'!L75+RECLASS!L75</f>
        <v>0</v>
      </c>
      <c r="G75" s="60">
        <f>'TIE-OUT'!M75+RECLASS!M75</f>
        <v>0</v>
      </c>
      <c r="H75" s="129">
        <f>+Actuals!E237</f>
        <v>0</v>
      </c>
      <c r="I75" s="130">
        <f>+Actuals!F237</f>
        <v>0</v>
      </c>
      <c r="J75" s="129">
        <f>+Actuals!G237</f>
        <v>0</v>
      </c>
      <c r="K75" s="130">
        <f>+Actuals!H237</f>
        <v>0</v>
      </c>
      <c r="L75" s="129">
        <f>+Actuals!I237</f>
        <v>0</v>
      </c>
      <c r="M75" s="130">
        <f>+Actuals!J237</f>
        <v>0</v>
      </c>
      <c r="N75" s="129">
        <f>+Actuals!K237</f>
        <v>0</v>
      </c>
      <c r="O75" s="130">
        <f>+Actuals!L237</f>
        <v>0</v>
      </c>
      <c r="P75" s="129">
        <f>+Actuals!M237</f>
        <v>0</v>
      </c>
      <c r="Q75" s="130">
        <f>+Actuals!N237</f>
        <v>0</v>
      </c>
      <c r="R75" s="129">
        <f>+Actuals!O237</f>
        <v>0</v>
      </c>
      <c r="S75" s="130">
        <f>+Actuals!P237</f>
        <v>0</v>
      </c>
      <c r="T75" s="129">
        <f>+Actuals!Q237</f>
        <v>0</v>
      </c>
      <c r="U75" s="130">
        <f>+Actuals!R237</f>
        <v>0</v>
      </c>
      <c r="V75" s="129">
        <f>+Actuals!S237</f>
        <v>0</v>
      </c>
      <c r="W75" s="130">
        <f>+Actuals!T237</f>
        <v>0</v>
      </c>
      <c r="X75" s="129">
        <f>+Actuals!U237</f>
        <v>0</v>
      </c>
      <c r="Y75" s="130">
        <f>+Actuals!V237</f>
        <v>0</v>
      </c>
      <c r="Z75" s="129">
        <f>+Actuals!W237</f>
        <v>0</v>
      </c>
      <c r="AA75" s="130">
        <f>+Actuals!X237</f>
        <v>0</v>
      </c>
      <c r="AB75" s="129">
        <f>+Actuals!Y237</f>
        <v>0</v>
      </c>
      <c r="AC75" s="130">
        <f>+Actuals!Z237</f>
        <v>0</v>
      </c>
      <c r="AD75" s="129">
        <f>+Actuals!AA237</f>
        <v>0</v>
      </c>
      <c r="AE75" s="130">
        <f>+Actuals!AB237</f>
        <v>0</v>
      </c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60">
        <f>'TIE-OUT'!L76+RECLASS!L76</f>
        <v>0</v>
      </c>
      <c r="G76" s="60">
        <f>'TIE-OUT'!M76+RECLASS!M76</f>
        <v>0</v>
      </c>
      <c r="H76" s="129">
        <f>+Actuals!E238</f>
        <v>0</v>
      </c>
      <c r="I76" s="130">
        <f>+Actuals!F238</f>
        <v>0</v>
      </c>
      <c r="J76" s="129">
        <f>+Actuals!G238</f>
        <v>0</v>
      </c>
      <c r="K76" s="130">
        <f>+Actuals!H238</f>
        <v>0</v>
      </c>
      <c r="L76" s="129">
        <f>+Actuals!I238</f>
        <v>0</v>
      </c>
      <c r="M76" s="130">
        <f>+Actuals!J238</f>
        <v>0</v>
      </c>
      <c r="N76" s="129">
        <f>+Actuals!K238</f>
        <v>0</v>
      </c>
      <c r="O76" s="130">
        <f>+Actuals!L238</f>
        <v>0</v>
      </c>
      <c r="P76" s="129">
        <f>+Actuals!M238</f>
        <v>0</v>
      </c>
      <c r="Q76" s="130">
        <f>+Actuals!N238</f>
        <v>0</v>
      </c>
      <c r="R76" s="129">
        <f>+Actuals!O238</f>
        <v>0</v>
      </c>
      <c r="S76" s="130">
        <f>+Actuals!P238</f>
        <v>0</v>
      </c>
      <c r="T76" s="129">
        <f>+Actuals!Q238</f>
        <v>0</v>
      </c>
      <c r="U76" s="130">
        <f>+Actuals!R238</f>
        <v>0</v>
      </c>
      <c r="V76" s="129">
        <f>+Actuals!S238</f>
        <v>0</v>
      </c>
      <c r="W76" s="130">
        <f>+Actuals!T238</f>
        <v>0</v>
      </c>
      <c r="X76" s="129">
        <f>+Actuals!U238</f>
        <v>0</v>
      </c>
      <c r="Y76" s="130">
        <f>+Actuals!V238</f>
        <v>0</v>
      </c>
      <c r="Z76" s="129">
        <f>+Actuals!W238</f>
        <v>0</v>
      </c>
      <c r="AA76" s="130">
        <f>+Actuals!X238</f>
        <v>0</v>
      </c>
      <c r="AB76" s="129">
        <f>+Actuals!Y238</f>
        <v>0</v>
      </c>
      <c r="AC76" s="130">
        <f>+Actuals!Z238</f>
        <v>0</v>
      </c>
      <c r="AD76" s="129">
        <f>+Actuals!AA238</f>
        <v>0</v>
      </c>
      <c r="AE76" s="130">
        <f>+Actuals!AB238</f>
        <v>0</v>
      </c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'TIE-OUT'!L77+RECLASS!L77</f>
        <v>0</v>
      </c>
      <c r="G77" s="60">
        <f>'TIE-OUT'!M77+RECLASS!M77</f>
        <v>0</v>
      </c>
      <c r="H77" s="129">
        <f>+Actuals!E239</f>
        <v>0</v>
      </c>
      <c r="I77" s="130">
        <f>+Actuals!F239</f>
        <v>0</v>
      </c>
      <c r="J77" s="129">
        <f>+Actuals!G239</f>
        <v>0</v>
      </c>
      <c r="K77" s="130">
        <f>+Actuals!H239</f>
        <v>0</v>
      </c>
      <c r="L77" s="129">
        <f>+Actuals!I239</f>
        <v>0</v>
      </c>
      <c r="M77" s="130">
        <f>+Actuals!J239</f>
        <v>0</v>
      </c>
      <c r="N77" s="129">
        <f>+Actuals!K239</f>
        <v>0</v>
      </c>
      <c r="O77" s="130">
        <f>+Actuals!L239</f>
        <v>0</v>
      </c>
      <c r="P77" s="129">
        <f>+Actuals!M239</f>
        <v>0</v>
      </c>
      <c r="Q77" s="130">
        <f>+Actuals!N239</f>
        <v>0</v>
      </c>
      <c r="R77" s="129">
        <f>+Actuals!O239</f>
        <v>0</v>
      </c>
      <c r="S77" s="130">
        <f>+Actuals!P239</f>
        <v>0</v>
      </c>
      <c r="T77" s="129">
        <f>+Actuals!Q239</f>
        <v>0</v>
      </c>
      <c r="U77" s="130">
        <f>+Actuals!R239</f>
        <v>0</v>
      </c>
      <c r="V77" s="129">
        <f>+Actuals!S239</f>
        <v>0</v>
      </c>
      <c r="W77" s="130">
        <f>+Actuals!T239</f>
        <v>0</v>
      </c>
      <c r="X77" s="129">
        <f>+Actuals!U239</f>
        <v>0</v>
      </c>
      <c r="Y77" s="130">
        <f>+Actuals!V239</f>
        <v>0</v>
      </c>
      <c r="Z77" s="129">
        <f>+Actuals!W239</f>
        <v>0</v>
      </c>
      <c r="AA77" s="130">
        <f>+Actuals!X239</f>
        <v>0</v>
      </c>
      <c r="AB77" s="129">
        <f>+Actuals!Y239</f>
        <v>0</v>
      </c>
      <c r="AC77" s="130">
        <f>+Actuals!Z239</f>
        <v>0</v>
      </c>
      <c r="AD77" s="129">
        <f>+Actuals!AA239</f>
        <v>0</v>
      </c>
      <c r="AE77" s="130">
        <f>+Actuals!AB239</f>
        <v>0</v>
      </c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'TIE-OUT'!L78+RECLASS!L78</f>
        <v>0</v>
      </c>
      <c r="G78" s="60">
        <f>'TIE-OUT'!M78+RECLASS!M78</f>
        <v>0</v>
      </c>
      <c r="H78" s="129">
        <f>+Actuals!E240</f>
        <v>0</v>
      </c>
      <c r="I78" s="130">
        <f>+Actuals!F240</f>
        <v>0</v>
      </c>
      <c r="J78" s="129">
        <f>+Actuals!G240</f>
        <v>0</v>
      </c>
      <c r="K78" s="130">
        <f>+Actuals!H240</f>
        <v>0</v>
      </c>
      <c r="L78" s="129">
        <f>+Actuals!I240</f>
        <v>0</v>
      </c>
      <c r="M78" s="130">
        <f>+Actuals!J240</f>
        <v>0</v>
      </c>
      <c r="N78" s="129">
        <f>+Actuals!K240</f>
        <v>0</v>
      </c>
      <c r="O78" s="130">
        <f>+Actuals!L240</f>
        <v>0</v>
      </c>
      <c r="P78" s="129">
        <f>+Actuals!M240</f>
        <v>0</v>
      </c>
      <c r="Q78" s="130">
        <f>+Actuals!N240</f>
        <v>0</v>
      </c>
      <c r="R78" s="129">
        <f>+Actuals!O240</f>
        <v>0</v>
      </c>
      <c r="S78" s="130">
        <f>+Actuals!P240</f>
        <v>0</v>
      </c>
      <c r="T78" s="129">
        <f>+Actuals!Q240</f>
        <v>0</v>
      </c>
      <c r="U78" s="130">
        <f>+Actuals!R240</f>
        <v>0</v>
      </c>
      <c r="V78" s="129">
        <f>+Actuals!S240</f>
        <v>0</v>
      </c>
      <c r="W78" s="130">
        <f>+Actuals!T240</f>
        <v>0</v>
      </c>
      <c r="X78" s="129">
        <f>+Actuals!U240</f>
        <v>0</v>
      </c>
      <c r="Y78" s="130">
        <f>+Actuals!V240</f>
        <v>0</v>
      </c>
      <c r="Z78" s="129">
        <f>+Actuals!W240</f>
        <v>0</v>
      </c>
      <c r="AA78" s="130">
        <f>+Actuals!X240</f>
        <v>0</v>
      </c>
      <c r="AB78" s="129">
        <f>+Actuals!Y240</f>
        <v>0</v>
      </c>
      <c r="AC78" s="130">
        <f>+Actuals!Z240</f>
        <v>0</v>
      </c>
      <c r="AD78" s="129">
        <f>+Actuals!AA240</f>
        <v>0</v>
      </c>
      <c r="AE78" s="130">
        <f>+Actuals!AB240</f>
        <v>0</v>
      </c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'TIE-OUT'!L79+RECLASS!L79</f>
        <v>0</v>
      </c>
      <c r="G79" s="60">
        <f>'TIE-OUT'!M79+RECLASS!M79</f>
        <v>0</v>
      </c>
      <c r="H79" s="129">
        <f>+Actuals!E241</f>
        <v>0</v>
      </c>
      <c r="I79" s="130">
        <f>+Actuals!F241</f>
        <v>0</v>
      </c>
      <c r="J79" s="129">
        <f>+Actuals!G241</f>
        <v>0</v>
      </c>
      <c r="K79" s="130">
        <f>+Actuals!H241</f>
        <v>0</v>
      </c>
      <c r="L79" s="129">
        <f>+Actuals!I241</f>
        <v>0</v>
      </c>
      <c r="M79" s="130">
        <f>+Actuals!J241</f>
        <v>0</v>
      </c>
      <c r="N79" s="129">
        <f>+Actuals!K241</f>
        <v>0</v>
      </c>
      <c r="O79" s="130">
        <f>+Actuals!L241</f>
        <v>0</v>
      </c>
      <c r="P79" s="129">
        <f>+Actuals!M241</f>
        <v>0</v>
      </c>
      <c r="Q79" s="130">
        <f>+Actuals!N241</f>
        <v>0</v>
      </c>
      <c r="R79" s="129">
        <f>+Actuals!O241</f>
        <v>0</v>
      </c>
      <c r="S79" s="130">
        <f>+Actuals!P241</f>
        <v>0</v>
      </c>
      <c r="T79" s="129">
        <f>+Actuals!Q241</f>
        <v>0</v>
      </c>
      <c r="U79" s="130">
        <f>+Actuals!R241</f>
        <v>0</v>
      </c>
      <c r="V79" s="129">
        <f>+Actuals!S241</f>
        <v>0</v>
      </c>
      <c r="W79" s="130">
        <f>+Actuals!T241</f>
        <v>0</v>
      </c>
      <c r="X79" s="129">
        <f>+Actuals!U241</f>
        <v>0</v>
      </c>
      <c r="Y79" s="130">
        <f>+Actuals!V241</f>
        <v>0</v>
      </c>
      <c r="Z79" s="129">
        <f>+Actuals!W241</f>
        <v>0</v>
      </c>
      <c r="AA79" s="130">
        <f>+Actuals!X241</f>
        <v>0</v>
      </c>
      <c r="AB79" s="129">
        <f>+Actuals!Y241</f>
        <v>0</v>
      </c>
      <c r="AC79" s="130">
        <f>+Actuals!Z241</f>
        <v>0</v>
      </c>
      <c r="AD79" s="129">
        <f>+Actuals!AA241</f>
        <v>0</v>
      </c>
      <c r="AE79" s="130">
        <f>+Actuals!AB241</f>
        <v>0</v>
      </c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'TIE-OUT'!L80+RECLASS!L80</f>
        <v>0</v>
      </c>
      <c r="G80" s="60">
        <f>'TIE-OUT'!M80+RECLASS!M80</f>
        <v>0</v>
      </c>
      <c r="H80" s="129">
        <f>+Actuals!E242</f>
        <v>0</v>
      </c>
      <c r="I80" s="130">
        <f>+Actuals!F242</f>
        <v>0</v>
      </c>
      <c r="J80" s="129">
        <f>+Actuals!G242</f>
        <v>0</v>
      </c>
      <c r="K80" s="130">
        <f>+Actuals!H242</f>
        <v>0</v>
      </c>
      <c r="L80" s="129">
        <f>+Actuals!I242</f>
        <v>0</v>
      </c>
      <c r="M80" s="130">
        <f>+Actuals!J242</f>
        <v>0</v>
      </c>
      <c r="N80" s="129">
        <f>+Actuals!K242</f>
        <v>0</v>
      </c>
      <c r="O80" s="130">
        <f>+Actuals!L242</f>
        <v>0</v>
      </c>
      <c r="P80" s="129">
        <f>+Actuals!M242</f>
        <v>0</v>
      </c>
      <c r="Q80" s="130">
        <f>+Actuals!N242</f>
        <v>0</v>
      </c>
      <c r="R80" s="129">
        <f>+Actuals!O242</f>
        <v>0</v>
      </c>
      <c r="S80" s="130">
        <f>+Actuals!P242</f>
        <v>0</v>
      </c>
      <c r="T80" s="129">
        <f>+Actuals!Q242</f>
        <v>0</v>
      </c>
      <c r="U80" s="130">
        <f>+Actuals!R242</f>
        <v>0</v>
      </c>
      <c r="V80" s="129">
        <f>+Actuals!S242</f>
        <v>0</v>
      </c>
      <c r="W80" s="130">
        <f>+Actuals!T242</f>
        <v>0</v>
      </c>
      <c r="X80" s="129">
        <f>+Actuals!U242</f>
        <v>0</v>
      </c>
      <c r="Y80" s="130">
        <f>+Actuals!V242</f>
        <v>0</v>
      </c>
      <c r="Z80" s="129">
        <f>+Actuals!W242</f>
        <v>0</v>
      </c>
      <c r="AA80" s="130">
        <f>+Actuals!X242</f>
        <v>0</v>
      </c>
      <c r="AB80" s="129">
        <f>+Actuals!Y242</f>
        <v>0</v>
      </c>
      <c r="AC80" s="130">
        <f>+Actuals!Z242</f>
        <v>0</v>
      </c>
      <c r="AD80" s="129">
        <f>+Actuals!AA242</f>
        <v>0</v>
      </c>
      <c r="AE80" s="130">
        <f>+Actuals!AB242</f>
        <v>0</v>
      </c>
    </row>
    <row r="81" spans="1:31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60">
        <f>'TIE-OUT'!L81+RECLASS!L81</f>
        <v>0</v>
      </c>
      <c r="G81" s="60">
        <f>'TIE-OUT'!M81+RECLASS!M81</f>
        <v>0</v>
      </c>
      <c r="H81" s="129">
        <f>+Actuals!E243</f>
        <v>0</v>
      </c>
      <c r="I81" s="130">
        <f>+Actuals!F243</f>
        <v>0</v>
      </c>
      <c r="J81" s="129">
        <f>+Actuals!G243</f>
        <v>0</v>
      </c>
      <c r="K81" s="130">
        <f>+Actuals!H243</f>
        <v>0</v>
      </c>
      <c r="L81" s="129">
        <f>+Actuals!I243</f>
        <v>0</v>
      </c>
      <c r="M81" s="130">
        <f>+Actuals!J243</f>
        <v>0</v>
      </c>
      <c r="N81" s="129">
        <f>+Actuals!K243</f>
        <v>0</v>
      </c>
      <c r="O81" s="130">
        <f>+Actuals!L243</f>
        <v>0</v>
      </c>
      <c r="P81" s="129">
        <f>+Actuals!M243</f>
        <v>0</v>
      </c>
      <c r="Q81" s="130">
        <f>+Actuals!N243</f>
        <v>0</v>
      </c>
      <c r="R81" s="129">
        <f>+Actuals!O243</f>
        <v>0</v>
      </c>
      <c r="S81" s="130">
        <f>+Actuals!P243</f>
        <v>0</v>
      </c>
      <c r="T81" s="129">
        <f>+Actuals!Q243</f>
        <v>0</v>
      </c>
      <c r="U81" s="130">
        <f>+Actuals!R243</f>
        <v>0</v>
      </c>
      <c r="V81" s="129">
        <f>+Actuals!S243</f>
        <v>0</v>
      </c>
      <c r="W81" s="130">
        <f>+Actuals!T243</f>
        <v>0</v>
      </c>
      <c r="X81" s="129">
        <f>+Actuals!U243</f>
        <v>0</v>
      </c>
      <c r="Y81" s="130">
        <f>+Actuals!V243</f>
        <v>0</v>
      </c>
      <c r="Z81" s="129">
        <f>+Actuals!W243</f>
        <v>0</v>
      </c>
      <c r="AA81" s="130">
        <f>+Actuals!X243</f>
        <v>0</v>
      </c>
      <c r="AB81" s="129">
        <f>+Actuals!Y243</f>
        <v>0</v>
      </c>
      <c r="AC81" s="130">
        <f>+Actuals!Z243</f>
        <v>0</v>
      </c>
      <c r="AD81" s="129">
        <f>+Actuals!AA243</f>
        <v>0</v>
      </c>
      <c r="AE81" s="130">
        <f>+Actuals!AB243</f>
        <v>0</v>
      </c>
    </row>
    <row r="82" spans="1:3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Q48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5" customWidth="1"/>
    <col min="12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11376818</v>
      </c>
      <c r="E11" s="38">
        <f>SUM(G11,I11,K11,M11,O11,Q11,S11,U11,W11,Y11,AA11,AC11,AE11)</f>
        <v>28803941.789999999</v>
      </c>
      <c r="F11" s="60">
        <f>'TIE-OUT'!R11+RECLASS!R11</f>
        <v>0</v>
      </c>
      <c r="G11" s="38">
        <f>'TIE-OUT'!S11+RECLASS!S11</f>
        <v>0</v>
      </c>
      <c r="H11" s="129">
        <f>+Actuals!E244</f>
        <v>11818765</v>
      </c>
      <c r="I11" s="130">
        <f>+Actuals!F244</f>
        <v>30845646</v>
      </c>
      <c r="J11" s="129">
        <f>+Actuals!G244</f>
        <v>-457767</v>
      </c>
      <c r="K11" s="149">
        <f>+Actuals!H244</f>
        <v>-1031567.89</v>
      </c>
      <c r="L11" s="129">
        <f>+Actuals!I244</f>
        <v>7448</v>
      </c>
      <c r="M11" s="130">
        <f>+Actuals!J244</f>
        <v>-1220345.3</v>
      </c>
      <c r="N11" s="129">
        <f>+Actuals!K244</f>
        <v>0</v>
      </c>
      <c r="O11" s="130">
        <f>+Actuals!L244</f>
        <v>187797.81</v>
      </c>
      <c r="P11" s="129">
        <f>+Actuals!M244</f>
        <v>15674</v>
      </c>
      <c r="Q11" s="130">
        <f>+Actuals!N244</f>
        <v>28400.85</v>
      </c>
      <c r="R11" s="129">
        <f>+Actuals!O244</f>
        <v>0</v>
      </c>
      <c r="S11" s="130">
        <f>+Actuals!P244</f>
        <v>0</v>
      </c>
      <c r="T11" s="129">
        <f>+Actuals!Q444</f>
        <v>0</v>
      </c>
      <c r="U11" s="130">
        <f>+Actuals!R444</f>
        <v>0</v>
      </c>
      <c r="V11" s="129">
        <f>+Actuals!S444</f>
        <v>0</v>
      </c>
      <c r="W11" s="130">
        <f>+Actuals!T444</f>
        <v>0</v>
      </c>
      <c r="X11" s="129">
        <f>+Actuals!U444</f>
        <v>15000</v>
      </c>
      <c r="Y11" s="130">
        <f>+Actuals!V444</f>
        <v>49969.56</v>
      </c>
      <c r="Z11" s="129">
        <f>+Actuals!W444</f>
        <v>-22302</v>
      </c>
      <c r="AA11" s="130">
        <f>+Actuals!X444</f>
        <v>-55959.24</v>
      </c>
      <c r="AB11" s="129">
        <f>+Actuals!Y244</f>
        <v>0</v>
      </c>
      <c r="AC11" s="130">
        <f>+Actuals!Z244</f>
        <v>0</v>
      </c>
      <c r="AD11" s="129">
        <f>+Actuals!AA244</f>
        <v>0</v>
      </c>
      <c r="AE11" s="130">
        <f>+Actuals!AB244</f>
        <v>0</v>
      </c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-873727.1</v>
      </c>
      <c r="F12" s="60">
        <f>'TIE-OUT'!R12+RECLASS!R12</f>
        <v>0</v>
      </c>
      <c r="G12" s="38">
        <f>'TIE-OUT'!S12+RECLASS!S12</f>
        <v>-873243.75</v>
      </c>
      <c r="H12" s="129">
        <f>+Actuals!E245</f>
        <v>0</v>
      </c>
      <c r="I12" s="130">
        <f>+Actuals!F245</f>
        <v>0</v>
      </c>
      <c r="J12" s="129">
        <f>+Actuals!G245</f>
        <v>0</v>
      </c>
      <c r="K12" s="162">
        <f>-5232.55+4749.2</f>
        <v>-483.35000000000036</v>
      </c>
      <c r="L12" s="129">
        <f>+Actuals!I245</f>
        <v>0</v>
      </c>
      <c r="M12" s="130">
        <f>+Actuals!J245</f>
        <v>0</v>
      </c>
      <c r="N12" s="129">
        <f>+Actuals!K245</f>
        <v>0</v>
      </c>
      <c r="O12" s="130">
        <f>+Actuals!L245</f>
        <v>0</v>
      </c>
      <c r="P12" s="129">
        <f>+Actuals!M245</f>
        <v>0</v>
      </c>
      <c r="Q12" s="130">
        <f>+Actuals!N245</f>
        <v>0</v>
      </c>
      <c r="R12" s="129">
        <f>+Actuals!O245</f>
        <v>0</v>
      </c>
      <c r="S12" s="130">
        <f>+Actuals!P245</f>
        <v>0</v>
      </c>
      <c r="T12" s="129">
        <f>+Actuals!Q445</f>
        <v>0</v>
      </c>
      <c r="U12" s="130">
        <f>+Actuals!R445</f>
        <v>0</v>
      </c>
      <c r="V12" s="129">
        <f>+Actuals!S445</f>
        <v>0</v>
      </c>
      <c r="W12" s="130">
        <f>+Actuals!T445</f>
        <v>0</v>
      </c>
      <c r="X12" s="129">
        <f>+Actuals!U445</f>
        <v>0</v>
      </c>
      <c r="Y12" s="130">
        <f>+Actuals!V445</f>
        <v>0</v>
      </c>
      <c r="Z12" s="129">
        <f>+Actuals!W445</f>
        <v>0</v>
      </c>
      <c r="AA12" s="130">
        <f>+Actuals!X445</f>
        <v>0</v>
      </c>
      <c r="AB12" s="129">
        <f>+Actuals!Y245</f>
        <v>0</v>
      </c>
      <c r="AC12" s="130">
        <f>+Actuals!Z245</f>
        <v>0</v>
      </c>
      <c r="AD12" s="129">
        <f>+Actuals!AA245</f>
        <v>0</v>
      </c>
      <c r="AE12" s="130">
        <f>+Actuals!AB245</f>
        <v>0</v>
      </c>
    </row>
    <row r="13" spans="1:31" x14ac:dyDescent="0.25">
      <c r="A13" s="9">
        <v>3</v>
      </c>
      <c r="B13" s="7"/>
      <c r="C13" s="18" t="s">
        <v>28</v>
      </c>
      <c r="D13" s="60">
        <f t="shared" si="0"/>
        <v>2987342</v>
      </c>
      <c r="E13" s="38">
        <f t="shared" si="0"/>
        <v>6773411</v>
      </c>
      <c r="F13" s="60">
        <f>'TIE-OUT'!R13+RECLASS!R13</f>
        <v>0</v>
      </c>
      <c r="G13" s="38">
        <f>'TIE-OUT'!S13+RECLASS!S13</f>
        <v>0</v>
      </c>
      <c r="H13" s="129">
        <f>+Actuals!E246</f>
        <v>2987342</v>
      </c>
      <c r="I13" s="130">
        <f>+Actuals!F246</f>
        <v>6773411</v>
      </c>
      <c r="J13" s="129">
        <f>+Actuals!G246</f>
        <v>-316045</v>
      </c>
      <c r="K13" s="149">
        <f>+Actuals!H246</f>
        <v>-734878</v>
      </c>
      <c r="L13" s="129">
        <f>+Actuals!I246</f>
        <v>0</v>
      </c>
      <c r="M13" s="130">
        <f>+Actuals!J246</f>
        <v>0</v>
      </c>
      <c r="N13" s="129">
        <f>+Actuals!K246</f>
        <v>38000</v>
      </c>
      <c r="O13" s="130">
        <f>+Actuals!L246</f>
        <v>87540</v>
      </c>
      <c r="P13" s="129">
        <f>+Actuals!M246</f>
        <v>38000</v>
      </c>
      <c r="Q13" s="130">
        <f>+Actuals!N246</f>
        <v>87540</v>
      </c>
      <c r="R13" s="129">
        <f>+Actuals!O246</f>
        <v>240045</v>
      </c>
      <c r="S13" s="130">
        <f>+Actuals!P246</f>
        <v>559798</v>
      </c>
      <c r="T13" s="129">
        <f>+Actuals!Q446</f>
        <v>-240045</v>
      </c>
      <c r="U13" s="130">
        <f>+Actuals!R446</f>
        <v>-559798</v>
      </c>
      <c r="V13" s="129">
        <f>+Actuals!S446</f>
        <v>0</v>
      </c>
      <c r="W13" s="130">
        <f>+Actuals!T446</f>
        <v>0</v>
      </c>
      <c r="X13" s="129">
        <f>+Actuals!U446</f>
        <v>240045</v>
      </c>
      <c r="Y13" s="130">
        <f>+Actuals!V446</f>
        <v>559798</v>
      </c>
      <c r="Z13" s="129">
        <f>+Actuals!W446</f>
        <v>0</v>
      </c>
      <c r="AA13" s="130">
        <f>+Actuals!X446</f>
        <v>0</v>
      </c>
      <c r="AB13" s="129">
        <f>+Actuals!Y246</f>
        <v>0</v>
      </c>
      <c r="AC13" s="130">
        <f>+Actuals!Z246</f>
        <v>0</v>
      </c>
      <c r="AD13" s="129">
        <f>+Actuals!AA246</f>
        <v>0</v>
      </c>
      <c r="AE13" s="130">
        <f>+Actuals!AB246</f>
        <v>0</v>
      </c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9">
        <f>+Actuals!E247</f>
        <v>0</v>
      </c>
      <c r="I14" s="130">
        <f>+Actuals!F247</f>
        <v>0</v>
      </c>
      <c r="J14" s="129">
        <f>+Actuals!G247</f>
        <v>0</v>
      </c>
      <c r="K14" s="149">
        <f>+Actuals!H247</f>
        <v>0</v>
      </c>
      <c r="L14" s="129">
        <f>+Actuals!I247</f>
        <v>0</v>
      </c>
      <c r="M14" s="130">
        <f>+Actuals!J247</f>
        <v>0</v>
      </c>
      <c r="N14" s="129">
        <f>+Actuals!K247</f>
        <v>0</v>
      </c>
      <c r="O14" s="130">
        <f>+Actuals!L247</f>
        <v>0</v>
      </c>
      <c r="P14" s="129">
        <f>+Actuals!M247</f>
        <v>0</v>
      </c>
      <c r="Q14" s="130">
        <f>+Actuals!N247</f>
        <v>0</v>
      </c>
      <c r="R14" s="129">
        <f>+Actuals!O247</f>
        <v>0</v>
      </c>
      <c r="S14" s="130">
        <f>+Actuals!P247</f>
        <v>0</v>
      </c>
      <c r="T14" s="129">
        <f>+Actuals!Q447</f>
        <v>0</v>
      </c>
      <c r="U14" s="130">
        <f>+Actuals!R447</f>
        <v>0</v>
      </c>
      <c r="V14" s="129">
        <f>+Actuals!S447</f>
        <v>0</v>
      </c>
      <c r="W14" s="130">
        <f>+Actuals!T447</f>
        <v>0</v>
      </c>
      <c r="X14" s="129">
        <f>+Actuals!U447</f>
        <v>0</v>
      </c>
      <c r="Y14" s="130">
        <f>+Actuals!V447</f>
        <v>0</v>
      </c>
      <c r="Z14" s="129">
        <f>+Actuals!W447</f>
        <v>0</v>
      </c>
      <c r="AA14" s="130">
        <f>+Actuals!X447</f>
        <v>0</v>
      </c>
      <c r="AB14" s="129">
        <f>+Actuals!Y247</f>
        <v>0</v>
      </c>
      <c r="AC14" s="130">
        <f>+Actuals!Z247</f>
        <v>0</v>
      </c>
      <c r="AD14" s="129">
        <f>+Actuals!AA247</f>
        <v>0</v>
      </c>
      <c r="AE14" s="130">
        <f>+Actuals!AB247</f>
        <v>0</v>
      </c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9">
        <f>+Actuals!E248</f>
        <v>0</v>
      </c>
      <c r="I15" s="130">
        <f>+Actuals!F248</f>
        <v>0</v>
      </c>
      <c r="J15" s="129">
        <f>+Actuals!G248</f>
        <v>0</v>
      </c>
      <c r="K15" s="149">
        <f>+Actuals!H248</f>
        <v>0</v>
      </c>
      <c r="L15" s="129">
        <f>+Actuals!I248</f>
        <v>0</v>
      </c>
      <c r="M15" s="130">
        <f>+Actuals!J248</f>
        <v>0</v>
      </c>
      <c r="N15" s="129">
        <f>+Actuals!K248</f>
        <v>0</v>
      </c>
      <c r="O15" s="130">
        <f>+Actuals!L248</f>
        <v>0</v>
      </c>
      <c r="P15" s="129">
        <f>+Actuals!M248</f>
        <v>0</v>
      </c>
      <c r="Q15" s="130">
        <f>+Actuals!N248</f>
        <v>0</v>
      </c>
      <c r="R15" s="129">
        <f>+Actuals!O248</f>
        <v>0</v>
      </c>
      <c r="S15" s="130">
        <f>+Actuals!P248</f>
        <v>0</v>
      </c>
      <c r="T15" s="129">
        <f>+Actuals!Q448</f>
        <v>0</v>
      </c>
      <c r="U15" s="130">
        <f>+Actuals!R448</f>
        <v>0</v>
      </c>
      <c r="V15" s="129">
        <f>+Actuals!S448</f>
        <v>0</v>
      </c>
      <c r="W15" s="130">
        <f>+Actuals!T448</f>
        <v>0</v>
      </c>
      <c r="X15" s="129">
        <f>+Actuals!U448</f>
        <v>0</v>
      </c>
      <c r="Y15" s="130">
        <f>+Actuals!V448</f>
        <v>0</v>
      </c>
      <c r="Z15" s="129">
        <f>+Actuals!W448</f>
        <v>0</v>
      </c>
      <c r="AA15" s="130">
        <f>+Actuals!X448</f>
        <v>0</v>
      </c>
      <c r="AB15" s="129">
        <f>+Actuals!Y248</f>
        <v>0</v>
      </c>
      <c r="AC15" s="130">
        <f>+Actuals!Z248</f>
        <v>0</v>
      </c>
      <c r="AD15" s="129">
        <f>+Actuals!AA248</f>
        <v>0</v>
      </c>
      <c r="AE15" s="130">
        <f>+Actuals!AB248</f>
        <v>0</v>
      </c>
    </row>
    <row r="16" spans="1:31" x14ac:dyDescent="0.25">
      <c r="A16" s="9"/>
      <c r="B16" s="7" t="s">
        <v>31</v>
      </c>
      <c r="C16" s="6"/>
      <c r="D16" s="61">
        <f t="shared" ref="D16:AE16" si="1">SUM(D11:D15)</f>
        <v>14364160</v>
      </c>
      <c r="E16" s="39">
        <f t="shared" si="1"/>
        <v>34703625.689999998</v>
      </c>
      <c r="F16" s="61">
        <f t="shared" si="1"/>
        <v>0</v>
      </c>
      <c r="G16" s="39">
        <f t="shared" si="1"/>
        <v>-873243.75</v>
      </c>
      <c r="H16" s="61">
        <f t="shared" si="1"/>
        <v>14806107</v>
      </c>
      <c r="I16" s="39">
        <f t="shared" si="1"/>
        <v>37619057</v>
      </c>
      <c r="J16" s="61">
        <f t="shared" si="1"/>
        <v>-773812</v>
      </c>
      <c r="K16" s="150">
        <f t="shared" si="1"/>
        <v>-1766929.24</v>
      </c>
      <c r="L16" s="61">
        <f t="shared" si="1"/>
        <v>7448</v>
      </c>
      <c r="M16" s="39">
        <f t="shared" si="1"/>
        <v>-1220345.3</v>
      </c>
      <c r="N16" s="61">
        <f t="shared" si="1"/>
        <v>38000</v>
      </c>
      <c r="O16" s="39">
        <f t="shared" si="1"/>
        <v>275337.81</v>
      </c>
      <c r="P16" s="61">
        <f t="shared" si="1"/>
        <v>53674</v>
      </c>
      <c r="Q16" s="39">
        <f t="shared" si="1"/>
        <v>115940.85</v>
      </c>
      <c r="R16" s="61">
        <f t="shared" si="1"/>
        <v>240045</v>
      </c>
      <c r="S16" s="39">
        <f t="shared" si="1"/>
        <v>559798</v>
      </c>
      <c r="T16" s="61">
        <f t="shared" si="1"/>
        <v>-240045</v>
      </c>
      <c r="U16" s="39">
        <f t="shared" si="1"/>
        <v>-559798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255045</v>
      </c>
      <c r="Y16" s="39">
        <f t="shared" si="2"/>
        <v>609767.56000000006</v>
      </c>
      <c r="Z16" s="61">
        <f t="shared" si="2"/>
        <v>-22302</v>
      </c>
      <c r="AA16" s="39">
        <f t="shared" si="2"/>
        <v>-55959.24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-2717997</v>
      </c>
      <c r="E19" s="38">
        <f t="shared" si="3"/>
        <v>-5995834.3999999994</v>
      </c>
      <c r="F19" s="64">
        <f>'TIE-OUT'!R19+RECLASS!R19</f>
        <v>0</v>
      </c>
      <c r="G19" s="68">
        <f>'TIE-OUT'!S19+RECLASS!S19</f>
        <v>0</v>
      </c>
      <c r="H19" s="129">
        <f>+Actuals!E249</f>
        <v>-2658416</v>
      </c>
      <c r="I19" s="130">
        <f>+Actuals!F249</f>
        <v>-5638941</v>
      </c>
      <c r="J19" s="129">
        <f>+Actuals!G249</f>
        <v>-26117</v>
      </c>
      <c r="K19" s="149">
        <f>+Actuals!H249</f>
        <v>-276381</v>
      </c>
      <c r="L19" s="129">
        <f>+Actuals!I249</f>
        <v>-17838</v>
      </c>
      <c r="M19" s="130">
        <f>+Actuals!J249</f>
        <v>-39215.06</v>
      </c>
      <c r="N19" s="129">
        <f>+Actuals!K249</f>
        <v>0</v>
      </c>
      <c r="O19" s="130">
        <f>+Actuals!L249</f>
        <v>0</v>
      </c>
      <c r="P19" s="129">
        <f>+Actuals!M249</f>
        <v>-15626</v>
      </c>
      <c r="Q19" s="130">
        <f>+Actuals!N249</f>
        <v>-37212.78</v>
      </c>
      <c r="R19" s="129">
        <f>+Actuals!O249</f>
        <v>0</v>
      </c>
      <c r="S19" s="130">
        <f>+Actuals!P249</f>
        <v>0</v>
      </c>
      <c r="T19" s="129">
        <f>+Actuals!Q449</f>
        <v>0</v>
      </c>
      <c r="U19" s="130">
        <f>+Actuals!R449</f>
        <v>0</v>
      </c>
      <c r="V19" s="129">
        <f>+Actuals!S449</f>
        <v>0</v>
      </c>
      <c r="W19" s="130">
        <f>+Actuals!T449</f>
        <v>0</v>
      </c>
      <c r="X19" s="129">
        <f>+Actuals!U449</f>
        <v>0</v>
      </c>
      <c r="Y19" s="130">
        <f>+Actuals!V449</f>
        <v>-4084.56</v>
      </c>
      <c r="Z19" s="129">
        <f>+Actuals!W449</f>
        <v>0</v>
      </c>
      <c r="AA19" s="130">
        <f>+Actuals!X449</f>
        <v>0</v>
      </c>
      <c r="AB19" s="129">
        <f>+Actuals!Y249</f>
        <v>0</v>
      </c>
      <c r="AC19" s="130">
        <f>+Actuals!Z249</f>
        <v>0</v>
      </c>
      <c r="AD19" s="129">
        <f>+Actuals!AA249</f>
        <v>0</v>
      </c>
      <c r="AE19" s="130">
        <f>+Actuals!AB249</f>
        <v>0</v>
      </c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-367328.82</v>
      </c>
      <c r="F20" s="60">
        <f>'TIE-OUT'!R20+RECLASS!R20</f>
        <v>0</v>
      </c>
      <c r="G20" s="38">
        <f>'TIE-OUT'!S20+RECLASS!S20</f>
        <v>-367328.82</v>
      </c>
      <c r="H20" s="129">
        <f>+Actuals!E250</f>
        <v>0</v>
      </c>
      <c r="I20" s="130">
        <f>+Actuals!F250</f>
        <v>0</v>
      </c>
      <c r="J20" s="129">
        <f>+Actuals!G250</f>
        <v>0</v>
      </c>
      <c r="K20" s="149">
        <f>+Actuals!H250</f>
        <v>0</v>
      </c>
      <c r="L20" s="129">
        <f>+Actuals!I250</f>
        <v>0</v>
      </c>
      <c r="M20" s="130">
        <f>+Actuals!J250</f>
        <v>0</v>
      </c>
      <c r="N20" s="129">
        <f>+Actuals!K250</f>
        <v>0</v>
      </c>
      <c r="O20" s="130">
        <f>+Actuals!L250</f>
        <v>0</v>
      </c>
      <c r="P20" s="129">
        <f>+Actuals!M250</f>
        <v>0</v>
      </c>
      <c r="Q20" s="130">
        <f>+Actuals!N250</f>
        <v>0</v>
      </c>
      <c r="R20" s="129">
        <f>+Actuals!O250</f>
        <v>0</v>
      </c>
      <c r="S20" s="130">
        <f>+Actuals!P250</f>
        <v>0</v>
      </c>
      <c r="T20" s="129">
        <f>+Actuals!Q450</f>
        <v>0</v>
      </c>
      <c r="U20" s="159">
        <v>0</v>
      </c>
      <c r="V20" s="129">
        <f>+Actuals!S450</f>
        <v>0</v>
      </c>
      <c r="W20" s="130">
        <v>0</v>
      </c>
      <c r="X20" s="129">
        <f>+Actuals!U450</f>
        <v>0</v>
      </c>
      <c r="Y20" s="130">
        <v>0</v>
      </c>
      <c r="Z20" s="129">
        <f>+Actuals!W450</f>
        <v>0</v>
      </c>
      <c r="AA20" s="130">
        <v>0</v>
      </c>
      <c r="AB20" s="129">
        <f>+Actuals!Y250</f>
        <v>0</v>
      </c>
      <c r="AC20" s="130">
        <f>+Actuals!Z250</f>
        <v>0</v>
      </c>
      <c r="AD20" s="129">
        <f>+Actuals!AA250</f>
        <v>0</v>
      </c>
      <c r="AE20" s="130">
        <f>+Actuals!AB250</f>
        <v>0</v>
      </c>
    </row>
    <row r="21" spans="1:31" x14ac:dyDescent="0.25">
      <c r="A21" s="9">
        <v>8</v>
      </c>
      <c r="B21" s="7"/>
      <c r="C21" s="18" t="s">
        <v>28</v>
      </c>
      <c r="D21" s="60">
        <f t="shared" si="3"/>
        <v>-3320661</v>
      </c>
      <c r="E21" s="38">
        <f t="shared" si="3"/>
        <v>-7525079</v>
      </c>
      <c r="F21" s="60">
        <f>'TIE-OUT'!R21+RECLASS!R21</f>
        <v>0</v>
      </c>
      <c r="G21" s="38">
        <f>'TIE-OUT'!S21+RECLASS!S21</f>
        <v>0</v>
      </c>
      <c r="H21" s="129">
        <f>+Actuals!E251</f>
        <v>-3320661</v>
      </c>
      <c r="I21" s="130">
        <f>+Actuals!F251</f>
        <v>-7525079</v>
      </c>
      <c r="J21" s="129">
        <f>+Actuals!G251</f>
        <v>121986</v>
      </c>
      <c r="K21" s="149">
        <f>+Actuals!H251</f>
        <v>249831</v>
      </c>
      <c r="L21" s="129">
        <f>+Actuals!I251</f>
        <v>0</v>
      </c>
      <c r="M21" s="130">
        <f>+Actuals!J251</f>
        <v>0</v>
      </c>
      <c r="N21" s="129">
        <f>+Actuals!K251</f>
        <v>-38000</v>
      </c>
      <c r="O21" s="130">
        <f>+Actuals!L251</f>
        <v>-87540</v>
      </c>
      <c r="P21" s="129">
        <f>+Actuals!M251</f>
        <v>-38000</v>
      </c>
      <c r="Q21" s="130">
        <f>+Actuals!N251</f>
        <v>-87540</v>
      </c>
      <c r="R21" s="129">
        <f>+Actuals!O251</f>
        <v>-45986</v>
      </c>
      <c r="S21" s="130">
        <f>+Actuals!P251</f>
        <v>-74751</v>
      </c>
      <c r="T21" s="129">
        <f>+Actuals!Q451</f>
        <v>45986</v>
      </c>
      <c r="U21" s="130">
        <f>+Actuals!R451</f>
        <v>74751</v>
      </c>
      <c r="V21" s="129">
        <f>+Actuals!S451</f>
        <v>0</v>
      </c>
      <c r="W21" s="130">
        <f>+Actuals!T451</f>
        <v>0</v>
      </c>
      <c r="X21" s="129">
        <f>+Actuals!U451</f>
        <v>-45986</v>
      </c>
      <c r="Y21" s="130">
        <f>+Actuals!V451</f>
        <v>-74751</v>
      </c>
      <c r="Z21" s="129">
        <f>+Actuals!W451</f>
        <v>0</v>
      </c>
      <c r="AA21" s="130">
        <f>+Actuals!X451</f>
        <v>0</v>
      </c>
      <c r="AB21" s="129">
        <f>+Actuals!Y251</f>
        <v>0</v>
      </c>
      <c r="AC21" s="130">
        <f>+Actuals!Z251</f>
        <v>0</v>
      </c>
      <c r="AD21" s="129">
        <f>+Actuals!AA251</f>
        <v>0</v>
      </c>
      <c r="AE21" s="130">
        <f>+Actuals!AB251</f>
        <v>0</v>
      </c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9">
        <f>+Actuals!E252</f>
        <v>0</v>
      </c>
      <c r="I22" s="130">
        <f>+Actuals!F252</f>
        <v>0</v>
      </c>
      <c r="J22" s="129">
        <f>+Actuals!G252</f>
        <v>0</v>
      </c>
      <c r="K22" s="149">
        <f>+Actuals!H252</f>
        <v>0</v>
      </c>
      <c r="L22" s="129">
        <f>+Actuals!I252</f>
        <v>0</v>
      </c>
      <c r="M22" s="130">
        <f>+Actuals!J252</f>
        <v>0</v>
      </c>
      <c r="N22" s="129">
        <f>+Actuals!K252</f>
        <v>0</v>
      </c>
      <c r="O22" s="130">
        <f>+Actuals!L252</f>
        <v>0</v>
      </c>
      <c r="P22" s="129">
        <f>+Actuals!M252</f>
        <v>0</v>
      </c>
      <c r="Q22" s="130">
        <f>+Actuals!N252</f>
        <v>0</v>
      </c>
      <c r="R22" s="129">
        <f>+Actuals!O252</f>
        <v>0</v>
      </c>
      <c r="S22" s="130">
        <f>+Actuals!P252</f>
        <v>0</v>
      </c>
      <c r="T22" s="129">
        <f>+Actuals!Q452</f>
        <v>0</v>
      </c>
      <c r="U22" s="130">
        <f>+Actuals!R452</f>
        <v>0</v>
      </c>
      <c r="V22" s="129">
        <f>+Actuals!S452</f>
        <v>0</v>
      </c>
      <c r="W22" s="130">
        <f>+Actuals!T452</f>
        <v>0</v>
      </c>
      <c r="X22" s="129">
        <f>+Actuals!U452</f>
        <v>0</v>
      </c>
      <c r="Y22" s="130">
        <f>+Actuals!V452</f>
        <v>0</v>
      </c>
      <c r="Z22" s="129">
        <f>+Actuals!W452</f>
        <v>0</v>
      </c>
      <c r="AA22" s="130">
        <f>+Actuals!X452</f>
        <v>0</v>
      </c>
      <c r="AB22" s="129">
        <f>+Actuals!Y252</f>
        <v>0</v>
      </c>
      <c r="AC22" s="130">
        <f>+Actuals!Z252</f>
        <v>0</v>
      </c>
      <c r="AD22" s="129">
        <f>+Actuals!AA252</f>
        <v>0</v>
      </c>
      <c r="AE22" s="130">
        <f>+Actuals!AB252</f>
        <v>0</v>
      </c>
    </row>
    <row r="23" spans="1:31" x14ac:dyDescent="0.25">
      <c r="A23" s="9">
        <v>10</v>
      </c>
      <c r="B23" s="7"/>
      <c r="C23" s="18" t="s">
        <v>33</v>
      </c>
      <c r="D23" s="60">
        <f t="shared" si="3"/>
        <v>3705</v>
      </c>
      <c r="E23" s="38">
        <f t="shared" si="3"/>
        <v>8336.25</v>
      </c>
      <c r="F23" s="81">
        <f>'TIE-OUT'!R23+RECLASS!R23</f>
        <v>0</v>
      </c>
      <c r="G23" s="82">
        <f>'TIE-OUT'!S23+RECLASS!S23</f>
        <v>0</v>
      </c>
      <c r="H23" s="129">
        <f>+Actuals!E253</f>
        <v>108</v>
      </c>
      <c r="I23" s="130">
        <f>+Actuals!F253</f>
        <v>243</v>
      </c>
      <c r="J23" s="129">
        <f>+Actuals!G253</f>
        <v>3597</v>
      </c>
      <c r="K23" s="149">
        <f>+Actuals!H253</f>
        <v>8093.25</v>
      </c>
      <c r="L23" s="129">
        <f>+Actuals!I253</f>
        <v>0</v>
      </c>
      <c r="M23" s="130">
        <f>+Actuals!J253</f>
        <v>0</v>
      </c>
      <c r="N23" s="129">
        <f>+Actuals!K253</f>
        <v>0</v>
      </c>
      <c r="O23" s="130">
        <f>+Actuals!L253</f>
        <v>0</v>
      </c>
      <c r="P23" s="129">
        <f>+Actuals!M253</f>
        <v>171</v>
      </c>
      <c r="Q23" s="130">
        <f>+Actuals!N253</f>
        <v>384.75</v>
      </c>
      <c r="R23" s="129">
        <f>+Actuals!O253</f>
        <v>-423493</v>
      </c>
      <c r="S23" s="130">
        <f>+Actuals!P253</f>
        <v>-952859.25</v>
      </c>
      <c r="T23" s="129">
        <f>+Actuals!Q453</f>
        <v>423322</v>
      </c>
      <c r="U23" s="130">
        <f>+Actuals!R453</f>
        <v>952474.5</v>
      </c>
      <c r="V23" s="129">
        <f>+Actuals!S453</f>
        <v>0</v>
      </c>
      <c r="W23" s="130">
        <f>+Actuals!T453</f>
        <v>0</v>
      </c>
      <c r="X23" s="129">
        <f>+Actuals!U453</f>
        <v>0</v>
      </c>
      <c r="Y23" s="130">
        <f>+Actuals!V453</f>
        <v>0</v>
      </c>
      <c r="Z23" s="129">
        <f>+Actuals!W453</f>
        <v>0</v>
      </c>
      <c r="AA23" s="130">
        <f>+Actuals!X453</f>
        <v>0</v>
      </c>
      <c r="AB23" s="129">
        <f>+Actuals!Y253</f>
        <v>0</v>
      </c>
      <c r="AC23" s="130">
        <f>+Actuals!Z253</f>
        <v>0</v>
      </c>
      <c r="AD23" s="129">
        <f>+Actuals!AA253</f>
        <v>0</v>
      </c>
      <c r="AE23" s="130">
        <f>+Actuals!AB253</f>
        <v>0</v>
      </c>
    </row>
    <row r="24" spans="1:31" x14ac:dyDescent="0.25">
      <c r="A24" s="9"/>
      <c r="B24" s="7" t="s">
        <v>34</v>
      </c>
      <c r="C24" s="6"/>
      <c r="D24" s="61">
        <f t="shared" ref="D24:AE24" si="4">SUM(D19:D23)</f>
        <v>-6034953</v>
      </c>
      <c r="E24" s="39">
        <f t="shared" si="4"/>
        <v>-13879905.969999999</v>
      </c>
      <c r="F24" s="61">
        <f t="shared" si="4"/>
        <v>0</v>
      </c>
      <c r="G24" s="39">
        <f t="shared" si="4"/>
        <v>-367328.82</v>
      </c>
      <c r="H24" s="61">
        <f t="shared" si="4"/>
        <v>-5978969</v>
      </c>
      <c r="I24" s="39">
        <f t="shared" si="4"/>
        <v>-13163777</v>
      </c>
      <c r="J24" s="61">
        <f t="shared" si="4"/>
        <v>99466</v>
      </c>
      <c r="K24" s="150">
        <f t="shared" si="4"/>
        <v>-18456.75</v>
      </c>
      <c r="L24" s="61">
        <f t="shared" si="4"/>
        <v>-17838</v>
      </c>
      <c r="M24" s="39">
        <f t="shared" si="4"/>
        <v>-39215.06</v>
      </c>
      <c r="N24" s="61">
        <f t="shared" si="4"/>
        <v>-38000</v>
      </c>
      <c r="O24" s="39">
        <f t="shared" si="4"/>
        <v>-87540</v>
      </c>
      <c r="P24" s="61">
        <f t="shared" si="4"/>
        <v>-53455</v>
      </c>
      <c r="Q24" s="39">
        <f t="shared" si="4"/>
        <v>-124368.03</v>
      </c>
      <c r="R24" s="61">
        <f t="shared" si="4"/>
        <v>-469479</v>
      </c>
      <c r="S24" s="39">
        <f t="shared" si="4"/>
        <v>-1027610.25</v>
      </c>
      <c r="T24" s="61">
        <f t="shared" si="4"/>
        <v>469308</v>
      </c>
      <c r="U24" s="39">
        <f t="shared" si="4"/>
        <v>1027225.5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-45986</v>
      </c>
      <c r="Y24" s="39">
        <f t="shared" si="5"/>
        <v>-78835.56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3243402</v>
      </c>
      <c r="E27" s="38">
        <f>SUM(G27,I27,K27,M27,O27,Q27,S27,U27,W27,Y27,AA27,AC27,AE27)</f>
        <v>7437229.0800000001</v>
      </c>
      <c r="F27" s="64">
        <f>'TIE-OUT'!R27+RECLASS!R27</f>
        <v>0</v>
      </c>
      <c r="G27" s="68">
        <f>'TIE-OUT'!S27+RECLASS!S27</f>
        <v>0</v>
      </c>
      <c r="H27" s="129">
        <f>+Actuals!E254</f>
        <v>3214148</v>
      </c>
      <c r="I27" s="130">
        <f>+Actuals!F254</f>
        <v>7375112</v>
      </c>
      <c r="J27" s="129">
        <f>+Actuals!G254</f>
        <v>28630</v>
      </c>
      <c r="K27" s="149">
        <f>+Actuals!H254</f>
        <v>60763</v>
      </c>
      <c r="L27" s="129">
        <f>+Actuals!I254</f>
        <v>-30000</v>
      </c>
      <c r="M27" s="130">
        <f>+Actuals!J254</f>
        <v>-65100</v>
      </c>
      <c r="N27" s="129">
        <f>+Actuals!K254</f>
        <v>29345</v>
      </c>
      <c r="O27" s="130">
        <f>+Actuals!L254</f>
        <v>63525.17</v>
      </c>
      <c r="P27" s="129">
        <f>+Actuals!M254</f>
        <v>0</v>
      </c>
      <c r="Q27" s="130">
        <f>+Actuals!N254</f>
        <v>0</v>
      </c>
      <c r="R27" s="129">
        <f>+Actuals!O254</f>
        <v>0</v>
      </c>
      <c r="S27" s="130">
        <f>+Actuals!P254</f>
        <v>0</v>
      </c>
      <c r="T27" s="129">
        <f>+Actuals!Q454</f>
        <v>0</v>
      </c>
      <c r="U27" s="130">
        <f>+Actuals!R454</f>
        <v>0</v>
      </c>
      <c r="V27" s="129">
        <f>+Actuals!S454</f>
        <v>1279</v>
      </c>
      <c r="W27" s="130">
        <f>+Actuals!T454</f>
        <v>2928.91</v>
      </c>
      <c r="X27" s="129">
        <f>+Actuals!U454</f>
        <v>0</v>
      </c>
      <c r="Y27" s="130">
        <f>+Actuals!V454</f>
        <v>0</v>
      </c>
      <c r="Z27" s="129">
        <f>+Actuals!W454</f>
        <v>0</v>
      </c>
      <c r="AA27" s="130">
        <f>+Actuals!X454</f>
        <v>0</v>
      </c>
      <c r="AB27" s="129">
        <f>+Actuals!Y254</f>
        <v>0</v>
      </c>
      <c r="AC27" s="130">
        <f>+Actuals!Z254</f>
        <v>0</v>
      </c>
      <c r="AD27" s="129">
        <f>+Actuals!AA254</f>
        <v>0</v>
      </c>
      <c r="AE27" s="130">
        <f>+Actuals!AB254</f>
        <v>0</v>
      </c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-8406097</v>
      </c>
      <c r="E28" s="38">
        <f>SUM(G28,I28,K28,M28,O28,Q28,S28,U28,W28,Y28,AA28,AC28,AE28)</f>
        <v>-19348337.84</v>
      </c>
      <c r="F28" s="81">
        <f>'TIE-OUT'!R28+RECLASS!R28</f>
        <v>0</v>
      </c>
      <c r="G28" s="82">
        <f>'TIE-OUT'!S28+RECLASS!S28</f>
        <v>0</v>
      </c>
      <c r="H28" s="129">
        <f>+Actuals!E255</f>
        <v>-10661925</v>
      </c>
      <c r="I28" s="130">
        <f>+Actuals!F255</f>
        <v>-24252504</v>
      </c>
      <c r="J28" s="129">
        <f>+Actuals!G255</f>
        <v>2243592</v>
      </c>
      <c r="K28" s="149">
        <f>+Actuals!H255</f>
        <v>4876966</v>
      </c>
      <c r="L28" s="129">
        <f>+Actuals!I255</f>
        <v>42563</v>
      </c>
      <c r="M28" s="130">
        <f>+Actuals!J255</f>
        <v>97593.87</v>
      </c>
      <c r="N28" s="129">
        <f>+Actuals!K255</f>
        <v>0</v>
      </c>
      <c r="O28" s="130">
        <f>+Actuals!L255</f>
        <v>0</v>
      </c>
      <c r="P28" s="129">
        <f>+Actuals!M255</f>
        <v>-14638</v>
      </c>
      <c r="Q28" s="130">
        <f>+Actuals!N255</f>
        <v>-33584.639999999999</v>
      </c>
      <c r="R28" s="129">
        <f>+Actuals!O255</f>
        <v>0</v>
      </c>
      <c r="S28" s="130">
        <f>+Actuals!P255</f>
        <v>0</v>
      </c>
      <c r="T28" s="129">
        <f>+Actuals!Q455</f>
        <v>0</v>
      </c>
      <c r="U28" s="130">
        <f>+Actuals!R455</f>
        <v>0</v>
      </c>
      <c r="V28" s="129">
        <f>+Actuals!S455</f>
        <v>0</v>
      </c>
      <c r="W28" s="130">
        <f>+Actuals!T455</f>
        <v>0</v>
      </c>
      <c r="X28" s="129">
        <f>+Actuals!U455</f>
        <v>-15689</v>
      </c>
      <c r="Y28" s="130">
        <f>+Actuals!V455</f>
        <v>-36809.07</v>
      </c>
      <c r="Z28" s="129">
        <f>+Actuals!W455</f>
        <v>0</v>
      </c>
      <c r="AA28" s="130">
        <f>+Actuals!X455</f>
        <v>0</v>
      </c>
      <c r="AB28" s="129">
        <f>+Actuals!Y255</f>
        <v>0</v>
      </c>
      <c r="AC28" s="130">
        <f>+Actuals!Z255</f>
        <v>0</v>
      </c>
      <c r="AD28" s="129">
        <f>+Actuals!AA255</f>
        <v>0</v>
      </c>
      <c r="AE28" s="130">
        <f>+Actuals!AB255</f>
        <v>0</v>
      </c>
    </row>
    <row r="29" spans="1:31" x14ac:dyDescent="0.25">
      <c r="A29" s="9"/>
      <c r="B29" s="7" t="s">
        <v>38</v>
      </c>
      <c r="C29" s="18"/>
      <c r="D29" s="61">
        <f t="shared" ref="D29:AE29" si="6">SUM(D27:D28)</f>
        <v>-5162695</v>
      </c>
      <c r="E29" s="39">
        <f t="shared" si="6"/>
        <v>-11911108.76</v>
      </c>
      <c r="F29" s="61">
        <f t="shared" si="6"/>
        <v>0</v>
      </c>
      <c r="G29" s="39">
        <f t="shared" si="6"/>
        <v>0</v>
      </c>
      <c r="H29" s="61">
        <f t="shared" si="6"/>
        <v>-7447777</v>
      </c>
      <c r="I29" s="39">
        <f t="shared" si="6"/>
        <v>-16877392</v>
      </c>
      <c r="J29" s="61">
        <f t="shared" si="6"/>
        <v>2272222</v>
      </c>
      <c r="K29" s="150">
        <f t="shared" si="6"/>
        <v>4937729</v>
      </c>
      <c r="L29" s="61">
        <f t="shared" si="6"/>
        <v>12563</v>
      </c>
      <c r="M29" s="39">
        <f t="shared" si="6"/>
        <v>32493.869999999995</v>
      </c>
      <c r="N29" s="61">
        <f t="shared" si="6"/>
        <v>29345</v>
      </c>
      <c r="O29" s="39">
        <f t="shared" si="6"/>
        <v>63525.17</v>
      </c>
      <c r="P29" s="61">
        <f t="shared" si="6"/>
        <v>-14638</v>
      </c>
      <c r="Q29" s="39">
        <f t="shared" si="6"/>
        <v>-33584.639999999999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1279</v>
      </c>
      <c r="W29" s="39">
        <f t="shared" si="7"/>
        <v>2928.91</v>
      </c>
      <c r="X29" s="61">
        <f t="shared" si="7"/>
        <v>-15689</v>
      </c>
      <c r="Y29" s="39">
        <f t="shared" si="7"/>
        <v>-36809.07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-18505</v>
      </c>
      <c r="E32" s="38">
        <f t="shared" si="8"/>
        <v>-41636.106000000553</v>
      </c>
      <c r="F32" s="64">
        <f>'TIE-OUT'!R32+RECLASS!R32</f>
        <v>0</v>
      </c>
      <c r="G32" s="68">
        <f>'TIE-OUT'!S32+RECLASS!S32</f>
        <v>0</v>
      </c>
      <c r="H32" s="129">
        <f>+Actuals!E256</f>
        <v>-1313599</v>
      </c>
      <c r="I32" s="130">
        <f>+Actuals!F256</f>
        <v>-3481399.17</v>
      </c>
      <c r="J32" s="129">
        <f>+Actuals!G256</f>
        <v>2995896</v>
      </c>
      <c r="K32" s="149">
        <f>+Actuals!H256</f>
        <v>8400435.5989999995</v>
      </c>
      <c r="L32" s="129">
        <f>+Actuals!I256</f>
        <v>-1736602</v>
      </c>
      <c r="M32" s="130">
        <f>+Actuals!J256</f>
        <v>-5074783.08</v>
      </c>
      <c r="N32" s="129">
        <f>+Actuals!K256</f>
        <v>118454</v>
      </c>
      <c r="O32" s="130">
        <f>+Actuals!L256</f>
        <v>300082.05</v>
      </c>
      <c r="P32" s="129">
        <f>+Actuals!M256</f>
        <v>-81320</v>
      </c>
      <c r="Q32" s="130">
        <f>+Actuals!N256</f>
        <v>-182970.005</v>
      </c>
      <c r="R32" s="129">
        <f>+Actuals!O256</f>
        <v>0</v>
      </c>
      <c r="S32" s="130">
        <f>+Actuals!P256</f>
        <v>0</v>
      </c>
      <c r="T32" s="129">
        <f>+Actuals!Q456</f>
        <v>0</v>
      </c>
      <c r="U32" s="130">
        <f>+Actuals!R456</f>
        <v>0</v>
      </c>
      <c r="V32" s="129">
        <f>+Actuals!S456</f>
        <v>-1279</v>
      </c>
      <c r="W32" s="130">
        <f>+Actuals!T456</f>
        <v>-2877.75</v>
      </c>
      <c r="X32" s="129">
        <f>+Actuals!U456</f>
        <v>689</v>
      </c>
      <c r="Y32" s="130">
        <f>+Actuals!V456</f>
        <v>1550.25</v>
      </c>
      <c r="Z32" s="129">
        <f>+Actuals!W456</f>
        <v>-744</v>
      </c>
      <c r="AA32" s="130">
        <f>+Actuals!X456</f>
        <v>-1674</v>
      </c>
      <c r="AB32" s="129">
        <f>+Actuals!Y256</f>
        <v>0</v>
      </c>
      <c r="AC32" s="130">
        <f>+Actuals!Z256</f>
        <v>0</v>
      </c>
      <c r="AD32" s="129">
        <f>+Actuals!AA256</f>
        <v>0</v>
      </c>
      <c r="AE32" s="130">
        <f>+Actuals!AB256</f>
        <v>0</v>
      </c>
    </row>
    <row r="33" spans="1:31" x14ac:dyDescent="0.25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9">
        <f>+Actuals!E257</f>
        <v>0</v>
      </c>
      <c r="I33" s="130">
        <f>+Actuals!F257</f>
        <v>0</v>
      </c>
      <c r="J33" s="129">
        <f>+Actuals!G257</f>
        <v>0</v>
      </c>
      <c r="K33" s="149">
        <f>+Actuals!H257</f>
        <v>0</v>
      </c>
      <c r="L33" s="129">
        <f>+Actuals!I257</f>
        <v>0</v>
      </c>
      <c r="M33" s="130">
        <f>+Actuals!J257</f>
        <v>0</v>
      </c>
      <c r="N33" s="129">
        <f>+Actuals!K257</f>
        <v>0</v>
      </c>
      <c r="O33" s="130">
        <f>+Actuals!L257</f>
        <v>0</v>
      </c>
      <c r="P33" s="129">
        <f>+Actuals!M257</f>
        <v>0</v>
      </c>
      <c r="Q33" s="130">
        <f>+Actuals!N257</f>
        <v>0</v>
      </c>
      <c r="R33" s="129">
        <f>+Actuals!O257</f>
        <v>0</v>
      </c>
      <c r="S33" s="130">
        <f>+Actuals!P257</f>
        <v>0</v>
      </c>
      <c r="T33" s="129">
        <f>+Actuals!Q457</f>
        <v>0</v>
      </c>
      <c r="U33" s="130">
        <f>+Actuals!R457</f>
        <v>0</v>
      </c>
      <c r="V33" s="129">
        <f>+Actuals!S457</f>
        <v>0</v>
      </c>
      <c r="W33" s="130">
        <f>+Actuals!T457</f>
        <v>0</v>
      </c>
      <c r="X33" s="129">
        <f>+Actuals!U457</f>
        <v>0</v>
      </c>
      <c r="Y33" s="130">
        <f>+Actuals!V457</f>
        <v>0</v>
      </c>
      <c r="Z33" s="129">
        <f>+Actuals!W457</f>
        <v>0</v>
      </c>
      <c r="AA33" s="130">
        <f>+Actuals!X457</f>
        <v>0</v>
      </c>
      <c r="AB33" s="129">
        <f>+Actuals!Y257</f>
        <v>0</v>
      </c>
      <c r="AC33" s="130">
        <f>+Actuals!Z257</f>
        <v>0</v>
      </c>
      <c r="AD33" s="129">
        <f>+Actuals!AA257</f>
        <v>0</v>
      </c>
      <c r="AE33" s="130">
        <f>+Actuals!AB257</f>
        <v>0</v>
      </c>
    </row>
    <row r="34" spans="1:31" x14ac:dyDescent="0.25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9">
        <f>+Actuals!E258</f>
        <v>0</v>
      </c>
      <c r="I34" s="130">
        <f>+Actuals!F258</f>
        <v>0</v>
      </c>
      <c r="J34" s="129">
        <f>+Actuals!G258</f>
        <v>0</v>
      </c>
      <c r="K34" s="149">
        <f>+Actuals!H258</f>
        <v>0</v>
      </c>
      <c r="L34" s="129">
        <f>+Actuals!I258</f>
        <v>0</v>
      </c>
      <c r="M34" s="130">
        <f>+Actuals!J258</f>
        <v>0</v>
      </c>
      <c r="N34" s="129">
        <f>+Actuals!K258</f>
        <v>0</v>
      </c>
      <c r="O34" s="130">
        <f>+Actuals!L258</f>
        <v>0</v>
      </c>
      <c r="P34" s="129">
        <f>+Actuals!M258</f>
        <v>0</v>
      </c>
      <c r="Q34" s="130">
        <f>+Actuals!N258</f>
        <v>0</v>
      </c>
      <c r="R34" s="129">
        <f>+Actuals!O258</f>
        <v>0</v>
      </c>
      <c r="S34" s="130">
        <f>+Actuals!P258</f>
        <v>0</v>
      </c>
      <c r="T34" s="129">
        <f>+Actuals!Q458</f>
        <v>0</v>
      </c>
      <c r="U34" s="130">
        <f>+Actuals!R458</f>
        <v>0</v>
      </c>
      <c r="V34" s="129">
        <f>+Actuals!S458</f>
        <v>0</v>
      </c>
      <c r="W34" s="130">
        <f>+Actuals!T458</f>
        <v>0</v>
      </c>
      <c r="X34" s="129">
        <f>+Actuals!U458</f>
        <v>0</v>
      </c>
      <c r="Y34" s="130">
        <f>+Actuals!V458</f>
        <v>0</v>
      </c>
      <c r="Z34" s="129">
        <f>+Actuals!W458</f>
        <v>0</v>
      </c>
      <c r="AA34" s="130">
        <f>+Actuals!X458</f>
        <v>0</v>
      </c>
      <c r="AB34" s="129">
        <f>+Actuals!Y258</f>
        <v>0</v>
      </c>
      <c r="AC34" s="130">
        <f>+Actuals!Z258</f>
        <v>0</v>
      </c>
      <c r="AD34" s="129">
        <f>+Actuals!AA258</f>
        <v>0</v>
      </c>
      <c r="AE34" s="130">
        <f>+Actuals!AB258</f>
        <v>0</v>
      </c>
    </row>
    <row r="35" spans="1:31" x14ac:dyDescent="0.25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0.01</v>
      </c>
      <c r="F35" s="81">
        <f>'TIE-OUT'!R35+RECLASS!R35</f>
        <v>0</v>
      </c>
      <c r="G35" s="82">
        <f>'TIE-OUT'!S35+RECLASS!S35</f>
        <v>0</v>
      </c>
      <c r="H35" s="129">
        <f>+Actuals!E259</f>
        <v>0</v>
      </c>
      <c r="I35" s="130">
        <f>+Actuals!F259</f>
        <v>0.01</v>
      </c>
      <c r="J35" s="129">
        <f>+Actuals!G259</f>
        <v>0</v>
      </c>
      <c r="K35" s="149">
        <f>+Actuals!H259</f>
        <v>0</v>
      </c>
      <c r="L35" s="129">
        <f>+Actuals!I259</f>
        <v>0</v>
      </c>
      <c r="M35" s="130">
        <f>+Actuals!J259</f>
        <v>0</v>
      </c>
      <c r="N35" s="129">
        <f>+Actuals!K259</f>
        <v>0</v>
      </c>
      <c r="O35" s="130">
        <f>+Actuals!L259</f>
        <v>0</v>
      </c>
      <c r="P35" s="129">
        <f>+Actuals!M259</f>
        <v>0</v>
      </c>
      <c r="Q35" s="130">
        <f>+Actuals!N259</f>
        <v>0</v>
      </c>
      <c r="R35" s="129">
        <f>+Actuals!O259</f>
        <v>0</v>
      </c>
      <c r="S35" s="130">
        <f>+Actuals!P259</f>
        <v>0</v>
      </c>
      <c r="T35" s="129">
        <f>+Actuals!Q459</f>
        <v>0</v>
      </c>
      <c r="U35" s="130">
        <f>+Actuals!R459</f>
        <v>0</v>
      </c>
      <c r="V35" s="129">
        <f>+Actuals!S459</f>
        <v>0</v>
      </c>
      <c r="W35" s="130">
        <f>+Actuals!T459</f>
        <v>0</v>
      </c>
      <c r="X35" s="129">
        <f>+Actuals!U459</f>
        <v>0</v>
      </c>
      <c r="Y35" s="130">
        <f>+Actuals!V459</f>
        <v>0</v>
      </c>
      <c r="Z35" s="129">
        <f>+Actuals!W459</f>
        <v>0</v>
      </c>
      <c r="AA35" s="130">
        <f>+Actuals!X459</f>
        <v>0</v>
      </c>
      <c r="AB35" s="129">
        <f>+Actuals!Y259</f>
        <v>0</v>
      </c>
      <c r="AC35" s="130">
        <f>+Actuals!Z259</f>
        <v>0</v>
      </c>
      <c r="AD35" s="129">
        <f>+Actuals!AA259</f>
        <v>0</v>
      </c>
      <c r="AE35" s="130">
        <f>+Actuals!AB259</f>
        <v>0</v>
      </c>
    </row>
    <row r="36" spans="1:31" x14ac:dyDescent="0.25">
      <c r="A36" s="9"/>
      <c r="B36" s="7" t="s">
        <v>44</v>
      </c>
      <c r="C36" s="6"/>
      <c r="D36" s="61">
        <f t="shared" ref="D36:AE36" si="9">SUM(D32:D35)</f>
        <v>-18505</v>
      </c>
      <c r="E36" s="39">
        <f t="shared" si="9"/>
        <v>-41636.096000000551</v>
      </c>
      <c r="F36" s="61">
        <f t="shared" si="9"/>
        <v>0</v>
      </c>
      <c r="G36" s="39">
        <f t="shared" si="9"/>
        <v>0</v>
      </c>
      <c r="H36" s="61">
        <f t="shared" si="9"/>
        <v>-1313599</v>
      </c>
      <c r="I36" s="39">
        <f t="shared" si="9"/>
        <v>-3481399.16</v>
      </c>
      <c r="J36" s="61">
        <f t="shared" si="9"/>
        <v>2995896</v>
      </c>
      <c r="K36" s="150">
        <f t="shared" si="9"/>
        <v>8400435.5989999995</v>
      </c>
      <c r="L36" s="61">
        <f t="shared" si="9"/>
        <v>-1736602</v>
      </c>
      <c r="M36" s="39">
        <f t="shared" si="9"/>
        <v>-5074783.08</v>
      </c>
      <c r="N36" s="61">
        <f t="shared" si="9"/>
        <v>118454</v>
      </c>
      <c r="O36" s="39">
        <f t="shared" si="9"/>
        <v>300082.05</v>
      </c>
      <c r="P36" s="61">
        <f t="shared" si="9"/>
        <v>-81320</v>
      </c>
      <c r="Q36" s="39">
        <f t="shared" si="9"/>
        <v>-182970.005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-1279</v>
      </c>
      <c r="W36" s="39">
        <f t="shared" si="10"/>
        <v>-2877.75</v>
      </c>
      <c r="X36" s="61">
        <f t="shared" si="10"/>
        <v>689</v>
      </c>
      <c r="Y36" s="39">
        <f t="shared" si="10"/>
        <v>1550.25</v>
      </c>
      <c r="Z36" s="61">
        <f t="shared" si="10"/>
        <v>-744</v>
      </c>
      <c r="AA36" s="39">
        <f t="shared" si="10"/>
        <v>-1674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6331652</v>
      </c>
      <c r="E39" s="38">
        <f t="shared" si="11"/>
        <v>17497520.300000001</v>
      </c>
      <c r="F39" s="64">
        <f>'TIE-OUT'!R39+RECLASS!R39</f>
        <v>0</v>
      </c>
      <c r="G39" s="68">
        <f>'TIE-OUT'!S39+RECLASS!S39</f>
        <v>0</v>
      </c>
      <c r="H39" s="129">
        <f>+Actuals!E260</f>
        <v>0</v>
      </c>
      <c r="I39" s="130">
        <f>+Actuals!F260</f>
        <v>0</v>
      </c>
      <c r="J39" s="129">
        <f>+Actuals!G260</f>
        <v>3174332</v>
      </c>
      <c r="K39" s="149">
        <f>+Actuals!H260</f>
        <v>8610802.9800000004</v>
      </c>
      <c r="L39" s="129">
        <f>+Actuals!I260</f>
        <v>0</v>
      </c>
      <c r="M39" s="130">
        <f>+Actuals!J260</f>
        <v>0</v>
      </c>
      <c r="N39" s="129">
        <f>+Actuals!K260</f>
        <v>0</v>
      </c>
      <c r="O39" s="130">
        <f>+Actuals!L260</f>
        <v>0</v>
      </c>
      <c r="P39" s="129">
        <f>+Actuals!M260</f>
        <v>3498320</v>
      </c>
      <c r="Q39" s="130">
        <f>+Actuals!N260</f>
        <v>9667607.3200000003</v>
      </c>
      <c r="R39" s="129">
        <f>+Actuals!O260</f>
        <v>0</v>
      </c>
      <c r="S39" s="130">
        <f>+Actuals!P260</f>
        <v>0</v>
      </c>
      <c r="T39" s="129">
        <f>+Actuals!Q460</f>
        <v>0</v>
      </c>
      <c r="U39" s="130">
        <f>+Actuals!R460</f>
        <v>0</v>
      </c>
      <c r="V39" s="129">
        <f>+Actuals!S460</f>
        <v>0</v>
      </c>
      <c r="W39" s="130">
        <f>+Actuals!T460</f>
        <v>0</v>
      </c>
      <c r="X39" s="129">
        <f>+Actuals!U460</f>
        <v>0</v>
      </c>
      <c r="Y39" s="130">
        <f>+Actuals!V460</f>
        <v>0</v>
      </c>
      <c r="Z39" s="129">
        <f>+Actuals!W460</f>
        <v>-341000</v>
      </c>
      <c r="AA39" s="130">
        <f>+Actuals!X460</f>
        <v>-780890</v>
      </c>
      <c r="AB39" s="129">
        <f>+Actuals!Y260</f>
        <v>0</v>
      </c>
      <c r="AC39" s="130">
        <f>+Actuals!Z260</f>
        <v>0</v>
      </c>
      <c r="AD39" s="129">
        <f>+Actuals!AA260</f>
        <v>0</v>
      </c>
      <c r="AE39" s="130">
        <f>+Actuals!AB260</f>
        <v>0</v>
      </c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-9467487</v>
      </c>
      <c r="E40" s="38">
        <f t="shared" si="11"/>
        <v>-24607974.5</v>
      </c>
      <c r="F40" s="60">
        <f>'TIE-OUT'!R40+RECLASS!R40</f>
        <v>0</v>
      </c>
      <c r="G40" s="38">
        <f>'TIE-OUT'!S40+RECLASS!S40</f>
        <v>0</v>
      </c>
      <c r="H40" s="129">
        <f>+Actuals!E261</f>
        <v>0</v>
      </c>
      <c r="I40" s="130">
        <f>+Actuals!F261</f>
        <v>0</v>
      </c>
      <c r="J40" s="129">
        <f>+Actuals!G261</f>
        <v>0</v>
      </c>
      <c r="K40" s="149">
        <f>+Actuals!H261</f>
        <v>0</v>
      </c>
      <c r="L40" s="129">
        <f>+Actuals!I261</f>
        <v>-6323495</v>
      </c>
      <c r="M40" s="130">
        <f>+Actuals!J261</f>
        <v>-17474978.43</v>
      </c>
      <c r="N40" s="129">
        <f>+Actuals!K261</f>
        <v>-8157</v>
      </c>
      <c r="O40" s="130">
        <f>+Actuals!L261</f>
        <v>-22541.87</v>
      </c>
      <c r="P40" s="129">
        <f>+Actuals!M261</f>
        <v>-3486334</v>
      </c>
      <c r="Q40" s="130">
        <f>+Actuals!N261</f>
        <v>-8105860.9900000002</v>
      </c>
      <c r="R40" s="129">
        <f>+Actuals!O261</f>
        <v>-13547</v>
      </c>
      <c r="S40" s="130">
        <f>+Actuals!P261</f>
        <v>157735.82</v>
      </c>
      <c r="T40" s="129">
        <f>+Actuals!Q461</f>
        <v>0</v>
      </c>
      <c r="U40" s="130">
        <f>+Actuals!R461</f>
        <v>0</v>
      </c>
      <c r="V40" s="129">
        <f>+Actuals!S461</f>
        <v>0</v>
      </c>
      <c r="W40" s="130">
        <f>+Actuals!T461</f>
        <v>0</v>
      </c>
      <c r="X40" s="129">
        <f>+Actuals!U461</f>
        <v>0</v>
      </c>
      <c r="Y40" s="130">
        <f>+Actuals!V461</f>
        <v>0</v>
      </c>
      <c r="Z40" s="129">
        <f>+Actuals!W461</f>
        <v>364046</v>
      </c>
      <c r="AA40" s="130">
        <f>+Actuals!X461</f>
        <v>837670.97</v>
      </c>
      <c r="AB40" s="129">
        <f>+Actuals!Y261</f>
        <v>0</v>
      </c>
      <c r="AC40" s="130">
        <f>+Actuals!Z261</f>
        <v>0</v>
      </c>
      <c r="AD40" s="129">
        <f>+Actuals!AA261</f>
        <v>0</v>
      </c>
      <c r="AE40" s="130">
        <f>+Actuals!AB261</f>
        <v>0</v>
      </c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-564737</v>
      </c>
      <c r="F41" s="81">
        <f>'TIE-OUT'!R41+RECLASS!R41</f>
        <v>0</v>
      </c>
      <c r="G41" s="82">
        <f>'TIE-OUT'!S41+RECLASS!S41</f>
        <v>-564737</v>
      </c>
      <c r="H41" s="129">
        <f>+Actuals!E262</f>
        <v>0</v>
      </c>
      <c r="I41" s="130">
        <f>+Actuals!F262</f>
        <v>0</v>
      </c>
      <c r="J41" s="129">
        <f>+Actuals!G262</f>
        <v>0</v>
      </c>
      <c r="K41" s="149">
        <f>+Actuals!H262</f>
        <v>0</v>
      </c>
      <c r="L41" s="129">
        <f>+Actuals!I262</f>
        <v>0</v>
      </c>
      <c r="M41" s="130">
        <f>+Actuals!J262</f>
        <v>0</v>
      </c>
      <c r="N41" s="129">
        <f>+Actuals!K262</f>
        <v>0</v>
      </c>
      <c r="O41" s="130">
        <f>+Actuals!L262</f>
        <v>0</v>
      </c>
      <c r="P41" s="129">
        <f>+Actuals!M262</f>
        <v>0</v>
      </c>
      <c r="Q41" s="130">
        <f>+Actuals!N262</f>
        <v>0</v>
      </c>
      <c r="R41" s="129">
        <f>+Actuals!O262</f>
        <v>0</v>
      </c>
      <c r="S41" s="130">
        <f>+Actuals!P262</f>
        <v>0</v>
      </c>
      <c r="T41" s="129">
        <f>+Actuals!Q462</f>
        <v>0</v>
      </c>
      <c r="U41" s="130">
        <f>+Actuals!R462</f>
        <v>0</v>
      </c>
      <c r="V41" s="129">
        <f>+Actuals!S462</f>
        <v>0</v>
      </c>
      <c r="W41" s="130">
        <f>+Actuals!T462</f>
        <v>0</v>
      </c>
      <c r="X41" s="129">
        <f>+Actuals!U462</f>
        <v>0</v>
      </c>
      <c r="Y41" s="130">
        <f>+Actuals!V462</f>
        <v>0</v>
      </c>
      <c r="Z41" s="129">
        <f>+Actuals!W462</f>
        <v>0</v>
      </c>
      <c r="AA41" s="130">
        <f>+Actuals!X462</f>
        <v>0</v>
      </c>
      <c r="AB41" s="129">
        <f>+Actuals!Y262</f>
        <v>0</v>
      </c>
      <c r="AC41" s="130">
        <f>+Actuals!Z262</f>
        <v>0</v>
      </c>
      <c r="AD41" s="129">
        <f>+Actuals!AA262</f>
        <v>0</v>
      </c>
      <c r="AE41" s="130">
        <f>+Actuals!AB262</f>
        <v>0</v>
      </c>
    </row>
    <row r="42" spans="1:31" x14ac:dyDescent="0.25">
      <c r="A42" s="9"/>
      <c r="B42" s="7"/>
      <c r="C42" s="53" t="s">
        <v>49</v>
      </c>
      <c r="D42" s="61">
        <f t="shared" ref="D42:AE42" si="12">SUM(D40:D41)</f>
        <v>-9467487</v>
      </c>
      <c r="E42" s="39">
        <f t="shared" si="12"/>
        <v>-25172711.5</v>
      </c>
      <c r="F42" s="61">
        <f t="shared" si="12"/>
        <v>0</v>
      </c>
      <c r="G42" s="39">
        <f t="shared" si="12"/>
        <v>-564737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-6323495</v>
      </c>
      <c r="M42" s="39">
        <f t="shared" si="12"/>
        <v>-17474978.43</v>
      </c>
      <c r="N42" s="61">
        <f t="shared" si="12"/>
        <v>-8157</v>
      </c>
      <c r="O42" s="39">
        <f t="shared" si="12"/>
        <v>-22541.87</v>
      </c>
      <c r="P42" s="61">
        <f t="shared" si="12"/>
        <v>-3486334</v>
      </c>
      <c r="Q42" s="39">
        <f t="shared" si="12"/>
        <v>-8105860.9900000002</v>
      </c>
      <c r="R42" s="61">
        <f t="shared" si="12"/>
        <v>-13547</v>
      </c>
      <c r="S42" s="39">
        <f t="shared" si="12"/>
        <v>157735.82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364046</v>
      </c>
      <c r="AA42" s="39">
        <f t="shared" si="13"/>
        <v>837670.97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50</v>
      </c>
      <c r="C43" s="6"/>
      <c r="D43" s="61">
        <f t="shared" ref="D43:AE43" si="14">D42+D39</f>
        <v>-3135835</v>
      </c>
      <c r="E43" s="39">
        <f t="shared" si="14"/>
        <v>-7675191.1999999993</v>
      </c>
      <c r="F43" s="61">
        <f t="shared" si="14"/>
        <v>0</v>
      </c>
      <c r="G43" s="39">
        <f t="shared" si="14"/>
        <v>-564737</v>
      </c>
      <c r="H43" s="61">
        <f t="shared" si="14"/>
        <v>0</v>
      </c>
      <c r="I43" s="39">
        <f t="shared" si="14"/>
        <v>0</v>
      </c>
      <c r="J43" s="61">
        <f t="shared" si="14"/>
        <v>3174332</v>
      </c>
      <c r="K43" s="150">
        <f t="shared" si="14"/>
        <v>8610802.9800000004</v>
      </c>
      <c r="L43" s="61">
        <f t="shared" si="14"/>
        <v>-6323495</v>
      </c>
      <c r="M43" s="39">
        <f t="shared" si="14"/>
        <v>-17474978.43</v>
      </c>
      <c r="N43" s="61">
        <f t="shared" si="14"/>
        <v>-8157</v>
      </c>
      <c r="O43" s="39">
        <f t="shared" si="14"/>
        <v>-22541.87</v>
      </c>
      <c r="P43" s="61">
        <f t="shared" si="14"/>
        <v>11986</v>
      </c>
      <c r="Q43" s="39">
        <f t="shared" si="14"/>
        <v>1561746.33</v>
      </c>
      <c r="R43" s="61">
        <f t="shared" si="14"/>
        <v>-13547</v>
      </c>
      <c r="S43" s="39">
        <f t="shared" si="14"/>
        <v>157735.82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23046</v>
      </c>
      <c r="AA43" s="39">
        <f t="shared" si="15"/>
        <v>56780.969999999972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'TIE-OUT'!R45+RECLASS!R45</f>
        <v>0</v>
      </c>
      <c r="G45" s="68">
        <f>'TIE-OUT'!S45+RECLASS!S45</f>
        <v>0</v>
      </c>
      <c r="H45" s="129">
        <f>+Actuals!E263</f>
        <v>0</v>
      </c>
      <c r="I45" s="130">
        <f>+Actuals!F263</f>
        <v>0</v>
      </c>
      <c r="J45" s="129">
        <f>+Actuals!G263</f>
        <v>0</v>
      </c>
      <c r="K45" s="149">
        <f>+Actuals!H263</f>
        <v>0</v>
      </c>
      <c r="L45" s="129">
        <f>+Actuals!I263</f>
        <v>0</v>
      </c>
      <c r="M45" s="130">
        <f>+Actuals!J263</f>
        <v>0</v>
      </c>
      <c r="N45" s="129">
        <f>+Actuals!K263</f>
        <v>0</v>
      </c>
      <c r="O45" s="130">
        <f>+Actuals!L263</f>
        <v>0</v>
      </c>
      <c r="P45" s="129">
        <f>+Actuals!M263</f>
        <v>0</v>
      </c>
      <c r="Q45" s="130">
        <f>+Actuals!N263</f>
        <v>0</v>
      </c>
      <c r="R45" s="129">
        <f>+Actuals!O263</f>
        <v>0</v>
      </c>
      <c r="S45" s="130">
        <f>+Actuals!P263</f>
        <v>0</v>
      </c>
      <c r="T45" s="129">
        <f>+Actuals!Q463</f>
        <v>0</v>
      </c>
      <c r="U45" s="130">
        <f>+Actuals!R463</f>
        <v>0</v>
      </c>
      <c r="V45" s="129">
        <f>+Actuals!S463</f>
        <v>0</v>
      </c>
      <c r="W45" s="130">
        <f>+Actuals!T463</f>
        <v>0</v>
      </c>
      <c r="X45" s="129">
        <f>+Actuals!U463</f>
        <v>0</v>
      </c>
      <c r="Y45" s="130">
        <f>+Actuals!V463</f>
        <v>0</v>
      </c>
      <c r="Z45" s="129">
        <f>+Actuals!W463</f>
        <v>0</v>
      </c>
      <c r="AA45" s="130">
        <f>+Actuals!X463</f>
        <v>0</v>
      </c>
      <c r="AB45" s="129">
        <f>+Actuals!Y263</f>
        <v>0</v>
      </c>
      <c r="AC45" s="130">
        <f>+Actuals!Z263</f>
        <v>0</v>
      </c>
      <c r="AD45" s="129">
        <f>+Actuals!AA263</f>
        <v>0</v>
      </c>
      <c r="AE45" s="130">
        <f>+Actuals!AB263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'TIE-OUT'!R47+RECLASS!R47</f>
        <v>0</v>
      </c>
      <c r="G47" s="38">
        <f>'TIE-OUT'!S47+RECLASS!S47</f>
        <v>0</v>
      </c>
      <c r="H47" s="129">
        <f>+Actuals!E264</f>
        <v>0</v>
      </c>
      <c r="I47" s="130">
        <f>+Actuals!F264</f>
        <v>0</v>
      </c>
      <c r="J47" s="129">
        <f>+Actuals!G264</f>
        <v>0</v>
      </c>
      <c r="K47" s="149">
        <f>+Actuals!H264</f>
        <v>0</v>
      </c>
      <c r="L47" s="129">
        <f>+Actuals!I264</f>
        <v>0</v>
      </c>
      <c r="M47" s="130">
        <f>+Actuals!J264</f>
        <v>0</v>
      </c>
      <c r="N47" s="129">
        <f>+Actuals!K264</f>
        <v>0</v>
      </c>
      <c r="O47" s="130">
        <f>+Actuals!L264</f>
        <v>0</v>
      </c>
      <c r="P47" s="129">
        <f>+Actuals!M264</f>
        <v>0</v>
      </c>
      <c r="Q47" s="130">
        <f>+Actuals!N264</f>
        <v>0</v>
      </c>
      <c r="R47" s="129">
        <f>+Actuals!O264</f>
        <v>0</v>
      </c>
      <c r="S47" s="130">
        <f>+Actuals!P264</f>
        <v>0</v>
      </c>
      <c r="T47" s="129">
        <f>+Actuals!Q464</f>
        <v>0</v>
      </c>
      <c r="U47" s="130">
        <f>+Actuals!R464</f>
        <v>0</v>
      </c>
      <c r="V47" s="129">
        <f>+Actuals!S464</f>
        <v>0</v>
      </c>
      <c r="W47" s="130">
        <f>+Actuals!T464</f>
        <v>0</v>
      </c>
      <c r="X47" s="129">
        <f>+Actuals!U464</f>
        <v>0</v>
      </c>
      <c r="Y47" s="130">
        <f>+Actuals!V464</f>
        <v>0</v>
      </c>
      <c r="Z47" s="129">
        <f>+Actuals!W464</f>
        <v>0</v>
      </c>
      <c r="AA47" s="130">
        <f>+Actuals!X464</f>
        <v>0</v>
      </c>
      <c r="AB47" s="129">
        <f>+Actuals!Y264</f>
        <v>0</v>
      </c>
      <c r="AC47" s="130">
        <f>+Actuals!Z264</f>
        <v>0</v>
      </c>
      <c r="AD47" s="129">
        <f>+Actuals!AA264</f>
        <v>0</v>
      </c>
      <c r="AE47" s="130">
        <f>+Actuals!AB264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-12172</v>
      </c>
      <c r="E49" s="38">
        <f>SUM(G49,I49,K49,M49,O49,Q49,S49,U49,W49,Y49,AA49,AC49,AE49)</f>
        <v>-27387</v>
      </c>
      <c r="F49" s="60">
        <f>'TIE-OUT'!R49+RECLASS!R49</f>
        <v>0</v>
      </c>
      <c r="G49" s="38">
        <f>'TIE-OUT'!S49+RECLASS!S49</f>
        <v>0</v>
      </c>
      <c r="H49" s="129">
        <f>+Actuals!E265</f>
        <v>-65762</v>
      </c>
      <c r="I49" s="130">
        <f>+Actuals!F265</f>
        <v>-147964.5</v>
      </c>
      <c r="J49" s="129">
        <f>+Actuals!G265</f>
        <v>-7768104</v>
      </c>
      <c r="K49" s="149">
        <f>+Actuals!H265</f>
        <v>-17478234</v>
      </c>
      <c r="L49" s="129">
        <f>+Actuals!I265</f>
        <v>8057924</v>
      </c>
      <c r="M49" s="130">
        <f>+Actuals!J265</f>
        <v>18130329</v>
      </c>
      <c r="N49" s="129">
        <f>+Actuals!K265</f>
        <v>-139642</v>
      </c>
      <c r="O49" s="130">
        <f>+Actuals!L265</f>
        <v>-314194.5</v>
      </c>
      <c r="P49" s="129">
        <f>+Actuals!M265</f>
        <v>83753</v>
      </c>
      <c r="Q49" s="130">
        <f>+Actuals!N265</f>
        <v>188444.25</v>
      </c>
      <c r="R49" s="129">
        <f>+Actuals!O265</f>
        <v>242981</v>
      </c>
      <c r="S49" s="130">
        <f>+Actuals!P265</f>
        <v>546707.25</v>
      </c>
      <c r="T49" s="129">
        <f>+Actuals!Q465</f>
        <v>-229263</v>
      </c>
      <c r="U49" s="130">
        <f>+Actuals!R465</f>
        <v>-515841.75</v>
      </c>
      <c r="V49" s="129">
        <f>+Actuals!S465</f>
        <v>0</v>
      </c>
      <c r="W49" s="130">
        <f>+Actuals!T465</f>
        <v>0</v>
      </c>
      <c r="X49" s="129">
        <f>+Actuals!U465</f>
        <v>-194059</v>
      </c>
      <c r="Y49" s="130">
        <f>+Actuals!V465</f>
        <v>-436632.75</v>
      </c>
      <c r="Z49" s="129">
        <f>+Actuals!W465</f>
        <v>0</v>
      </c>
      <c r="AA49" s="130">
        <f>+Actuals!X465</f>
        <v>0</v>
      </c>
      <c r="AB49" s="129">
        <f>+Actuals!Y265</f>
        <v>0</v>
      </c>
      <c r="AC49" s="130">
        <f>+Actuals!Z265</f>
        <v>0</v>
      </c>
      <c r="AD49" s="129">
        <f>+Actuals!AA265</f>
        <v>0</v>
      </c>
      <c r="AE49" s="130">
        <f>+Actuals!AB265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-3705</v>
      </c>
      <c r="E51" s="38">
        <f>SUM(G51,I51,K51,M51,O51,Q51,S51,U51,W51,Y51,AA51,AC51,AE51)</f>
        <v>-8336.25</v>
      </c>
      <c r="F51" s="60">
        <f>'TIE-OUT'!R51+RECLASS!R51</f>
        <v>0</v>
      </c>
      <c r="G51" s="38">
        <f>'TIE-OUT'!S51+RECLASS!S51</f>
        <v>0</v>
      </c>
      <c r="H51" s="129">
        <f>+Actuals!E266</f>
        <v>-108</v>
      </c>
      <c r="I51" s="130">
        <f>+Actuals!F266</f>
        <v>-243</v>
      </c>
      <c r="J51" s="129">
        <f>+Actuals!G266</f>
        <v>-3597</v>
      </c>
      <c r="K51" s="149">
        <f>+Actuals!H266</f>
        <v>-8093.25</v>
      </c>
      <c r="L51" s="129">
        <f>+Actuals!I266</f>
        <v>0</v>
      </c>
      <c r="M51" s="130">
        <f>+Actuals!J266</f>
        <v>0</v>
      </c>
      <c r="N51" s="129">
        <f>+Actuals!K266</f>
        <v>0</v>
      </c>
      <c r="O51" s="130">
        <f>+Actuals!L266</f>
        <v>0</v>
      </c>
      <c r="P51" s="129">
        <f>+Actuals!M266</f>
        <v>-171</v>
      </c>
      <c r="Q51" s="130">
        <f>+Actuals!N266</f>
        <v>-384.75</v>
      </c>
      <c r="R51" s="129">
        <f>+Actuals!O266</f>
        <v>423493</v>
      </c>
      <c r="S51" s="130">
        <f>+Actuals!P266</f>
        <v>952859.25</v>
      </c>
      <c r="T51" s="129">
        <f>+Actuals!Q466</f>
        <v>-423322</v>
      </c>
      <c r="U51" s="130">
        <f>+Actuals!R466</f>
        <v>-952474.5</v>
      </c>
      <c r="V51" s="129">
        <f>+Actuals!S466</f>
        <v>0</v>
      </c>
      <c r="W51" s="130">
        <f>+Actuals!T466</f>
        <v>0</v>
      </c>
      <c r="X51" s="129">
        <f>+Actuals!U466</f>
        <v>0</v>
      </c>
      <c r="Y51" s="130">
        <f>+Actuals!V466</f>
        <v>0</v>
      </c>
      <c r="Z51" s="129">
        <f>+Actuals!W466</f>
        <v>0</v>
      </c>
      <c r="AA51" s="130">
        <f>+Actuals!X466</f>
        <v>0</v>
      </c>
      <c r="AB51" s="129">
        <f>+Actuals!Y266</f>
        <v>0</v>
      </c>
      <c r="AC51" s="130">
        <f>+Actuals!Z266</f>
        <v>0</v>
      </c>
      <c r="AD51" s="129">
        <f>+Actuals!AA266</f>
        <v>0</v>
      </c>
      <c r="AE51" s="130">
        <f>+Actuals!AB266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-7873324</v>
      </c>
      <c r="E54" s="38">
        <f>SUM(G54,I54,K54,M54,O54,Q54,S54,U54,W54,Y54,AA54,AC54,AE54)</f>
        <v>-323179.73</v>
      </c>
      <c r="F54" s="64">
        <f>'TIE-OUT'!R54+RECLASS!R54</f>
        <v>0</v>
      </c>
      <c r="G54" s="68">
        <f>'TIE-OUT'!S54+RECLASS!S54</f>
        <v>0</v>
      </c>
      <c r="H54" s="129">
        <f>+Actuals!E267</f>
        <v>-7803298</v>
      </c>
      <c r="I54" s="130">
        <f>+Actuals!F267</f>
        <v>-394290</v>
      </c>
      <c r="J54" s="129">
        <f>+Actuals!G267</f>
        <v>8851</v>
      </c>
      <c r="K54" s="149">
        <f>+Actuals!H267</f>
        <v>66350.77</v>
      </c>
      <c r="L54" s="129">
        <f>+Actuals!I267</f>
        <v>26039</v>
      </c>
      <c r="M54" s="130">
        <f>+Actuals!J267</f>
        <v>776.37</v>
      </c>
      <c r="N54" s="129">
        <f>+Actuals!K267</f>
        <v>-8157</v>
      </c>
      <c r="O54" s="130">
        <f>+Actuals!L267</f>
        <v>10558.56</v>
      </c>
      <c r="P54" s="129">
        <f>+Actuals!M267</f>
        <v>0</v>
      </c>
      <c r="Q54" s="130">
        <f>+Actuals!N267</f>
        <v>-11673.54</v>
      </c>
      <c r="R54" s="129">
        <f>+Actuals!O267</f>
        <v>4878</v>
      </c>
      <c r="S54" s="130">
        <f>+Actuals!P267</f>
        <v>2064.85</v>
      </c>
      <c r="T54" s="129">
        <f>+Actuals!Q467</f>
        <v>-4878</v>
      </c>
      <c r="U54" s="130">
        <f>+Actuals!R467</f>
        <v>-975.6</v>
      </c>
      <c r="V54" s="129">
        <f>+Actuals!S467</f>
        <v>89682</v>
      </c>
      <c r="W54" s="130">
        <f>+Actuals!T467</f>
        <v>1793.64</v>
      </c>
      <c r="X54" s="129">
        <f>+Actuals!U467</f>
        <v>-187185</v>
      </c>
      <c r="Y54" s="130">
        <f>+Actuals!V467</f>
        <v>-1799.14</v>
      </c>
      <c r="Z54" s="129">
        <f>+Actuals!W467</f>
        <v>744</v>
      </c>
      <c r="AA54" s="130">
        <f>+Actuals!X467</f>
        <v>4014.36</v>
      </c>
      <c r="AB54" s="129">
        <f>+Actuals!Y267</f>
        <v>0</v>
      </c>
      <c r="AC54" s="130">
        <f>+Actuals!Z267</f>
        <v>0</v>
      </c>
      <c r="AD54" s="129">
        <f>+Actuals!AA267</f>
        <v>0</v>
      </c>
      <c r="AE54" s="130">
        <f>+Actuals!AB267</f>
        <v>0</v>
      </c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'TIE-OUT'!R55+RECLASS!R55</f>
        <v>0</v>
      </c>
      <c r="G55" s="82">
        <f>'TIE-OUT'!S55+RECLASS!S55</f>
        <v>0</v>
      </c>
      <c r="H55" s="129">
        <f>+Actuals!E268</f>
        <v>0</v>
      </c>
      <c r="I55" s="130">
        <f>+Actuals!F268</f>
        <v>0</v>
      </c>
      <c r="J55" s="129">
        <f>+Actuals!G268</f>
        <v>0</v>
      </c>
      <c r="K55" s="149">
        <f>+Actuals!H268</f>
        <v>0</v>
      </c>
      <c r="L55" s="129">
        <f>+Actuals!I268</f>
        <v>0</v>
      </c>
      <c r="M55" s="130">
        <f>+Actuals!J268</f>
        <v>0</v>
      </c>
      <c r="N55" s="129">
        <f>+Actuals!K268</f>
        <v>0</v>
      </c>
      <c r="O55" s="130">
        <f>+Actuals!L268</f>
        <v>0</v>
      </c>
      <c r="P55" s="129">
        <f>+Actuals!M268</f>
        <v>0</v>
      </c>
      <c r="Q55" s="130">
        <f>+Actuals!N268</f>
        <v>0</v>
      </c>
      <c r="R55" s="129">
        <f>+Actuals!O268</f>
        <v>0</v>
      </c>
      <c r="S55" s="130">
        <f>+Actuals!P268</f>
        <v>-93300</v>
      </c>
      <c r="T55" s="129">
        <f>+Actuals!Q468</f>
        <v>0</v>
      </c>
      <c r="U55" s="130">
        <f>+Actuals!R468</f>
        <v>93300</v>
      </c>
      <c r="V55" s="129">
        <f>+Actuals!S468</f>
        <v>0</v>
      </c>
      <c r="W55" s="130">
        <f>+Actuals!T468</f>
        <v>0</v>
      </c>
      <c r="X55" s="129">
        <f>+Actuals!U468</f>
        <v>0</v>
      </c>
      <c r="Y55" s="130">
        <f>+Actuals!V468</f>
        <v>0</v>
      </c>
      <c r="Z55" s="129">
        <f>+Actuals!W468</f>
        <v>0</v>
      </c>
      <c r="AA55" s="130">
        <f>+Actuals!X468</f>
        <v>0</v>
      </c>
      <c r="AB55" s="129">
        <f>+Actuals!Y268</f>
        <v>0</v>
      </c>
      <c r="AC55" s="130">
        <f>+Actuals!Z268</f>
        <v>0</v>
      </c>
      <c r="AD55" s="129">
        <f>+Actuals!AA268</f>
        <v>0</v>
      </c>
      <c r="AE55" s="130">
        <f>+Actuals!AB268</f>
        <v>0</v>
      </c>
    </row>
    <row r="56" spans="1:31" x14ac:dyDescent="0.25">
      <c r="A56" s="9"/>
      <c r="B56" s="7" t="s">
        <v>58</v>
      </c>
      <c r="C56" s="6"/>
      <c r="D56" s="61">
        <f t="shared" ref="D56:AE56" si="16">SUM(D54:D55)</f>
        <v>-7873324</v>
      </c>
      <c r="E56" s="39">
        <f t="shared" si="16"/>
        <v>-323179.73</v>
      </c>
      <c r="F56" s="61">
        <f t="shared" si="16"/>
        <v>0</v>
      </c>
      <c r="G56" s="39">
        <f t="shared" si="16"/>
        <v>0</v>
      </c>
      <c r="H56" s="61">
        <f t="shared" si="16"/>
        <v>-7803298</v>
      </c>
      <c r="I56" s="39">
        <f t="shared" si="16"/>
        <v>-394290</v>
      </c>
      <c r="J56" s="61">
        <f t="shared" si="16"/>
        <v>8851</v>
      </c>
      <c r="K56" s="150">
        <f t="shared" si="16"/>
        <v>66350.77</v>
      </c>
      <c r="L56" s="61">
        <f t="shared" si="16"/>
        <v>26039</v>
      </c>
      <c r="M56" s="39">
        <f t="shared" si="16"/>
        <v>776.37</v>
      </c>
      <c r="N56" s="61">
        <f t="shared" si="16"/>
        <v>-8157</v>
      </c>
      <c r="O56" s="39">
        <f t="shared" si="16"/>
        <v>10558.56</v>
      </c>
      <c r="P56" s="61">
        <f t="shared" si="16"/>
        <v>0</v>
      </c>
      <c r="Q56" s="39">
        <f t="shared" si="16"/>
        <v>-11673.54</v>
      </c>
      <c r="R56" s="61">
        <f t="shared" si="16"/>
        <v>4878</v>
      </c>
      <c r="S56" s="39">
        <f t="shared" si="16"/>
        <v>-91235.15</v>
      </c>
      <c r="T56" s="61">
        <f t="shared" si="16"/>
        <v>-4878</v>
      </c>
      <c r="U56" s="39">
        <f t="shared" si="16"/>
        <v>92324.4</v>
      </c>
      <c r="V56" s="61">
        <f t="shared" ref="V56:AA56" si="17">SUM(V54:V55)</f>
        <v>89682</v>
      </c>
      <c r="W56" s="39">
        <f t="shared" si="17"/>
        <v>1793.64</v>
      </c>
      <c r="X56" s="61">
        <f t="shared" si="17"/>
        <v>-187185</v>
      </c>
      <c r="Y56" s="39">
        <f t="shared" si="17"/>
        <v>-1799.14</v>
      </c>
      <c r="Z56" s="61">
        <f t="shared" si="17"/>
        <v>744</v>
      </c>
      <c r="AA56" s="39">
        <f t="shared" si="17"/>
        <v>4014.36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'TIE-OUT'!R59+RECLASS!R59</f>
        <v>0</v>
      </c>
      <c r="G59" s="68">
        <f>'TIE-OUT'!S59+RECLASS!S59</f>
        <v>0</v>
      </c>
      <c r="H59" s="129">
        <f>+Actuals!E269</f>
        <v>0</v>
      </c>
      <c r="I59" s="130">
        <f>+Actuals!F269</f>
        <v>350</v>
      </c>
      <c r="J59" s="129">
        <f>+Actuals!G269</f>
        <v>0</v>
      </c>
      <c r="K59" s="149">
        <f>+Actuals!H269</f>
        <v>-350</v>
      </c>
      <c r="L59" s="129">
        <f>+Actuals!I269</f>
        <v>0</v>
      </c>
      <c r="M59" s="130">
        <f>+Actuals!J269</f>
        <v>0</v>
      </c>
      <c r="N59" s="129">
        <f>+Actuals!K269</f>
        <v>0</v>
      </c>
      <c r="O59" s="130">
        <f>+Actuals!L269</f>
        <v>0</v>
      </c>
      <c r="P59" s="129">
        <f>+Actuals!M269</f>
        <v>0</v>
      </c>
      <c r="Q59" s="130">
        <f>+Actuals!N269</f>
        <v>0</v>
      </c>
      <c r="R59" s="129">
        <f>+Actuals!O269</f>
        <v>0</v>
      </c>
      <c r="S59" s="130">
        <f>+Actuals!P269</f>
        <v>0</v>
      </c>
      <c r="T59" s="129">
        <f>+Actuals!Q469</f>
        <v>0</v>
      </c>
      <c r="U59" s="130">
        <f>+Actuals!R469</f>
        <v>0</v>
      </c>
      <c r="V59" s="129">
        <f>+Actuals!S469</f>
        <v>0</v>
      </c>
      <c r="W59" s="130">
        <f>+Actuals!T469</f>
        <v>0</v>
      </c>
      <c r="X59" s="129">
        <f>+Actuals!U469</f>
        <v>0</v>
      </c>
      <c r="Y59" s="130">
        <f>+Actuals!V469</f>
        <v>0</v>
      </c>
      <c r="Z59" s="129">
        <f>+Actuals!W469</f>
        <v>0</v>
      </c>
      <c r="AA59" s="130">
        <f>+Actuals!X469</f>
        <v>0</v>
      </c>
      <c r="AB59" s="129">
        <f>+Actuals!Y269</f>
        <v>0</v>
      </c>
      <c r="AC59" s="130">
        <f>+Actuals!Z269</f>
        <v>0</v>
      </c>
      <c r="AD59" s="129">
        <f>+Actuals!AA269</f>
        <v>0</v>
      </c>
      <c r="AE59" s="130">
        <f>+Actuals!AB269</f>
        <v>0</v>
      </c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'TIE-OUT'!R60+RECLASS!R60</f>
        <v>0</v>
      </c>
      <c r="G60" s="82">
        <f>'TIE-OUT'!S60+RECLASS!S60</f>
        <v>0</v>
      </c>
      <c r="H60" s="129">
        <f>+Actuals!E270</f>
        <v>0</v>
      </c>
      <c r="I60" s="130">
        <f>+Actuals!F270</f>
        <v>0</v>
      </c>
      <c r="J60" s="129">
        <f>+Actuals!G270</f>
        <v>0</v>
      </c>
      <c r="K60" s="149">
        <f>+Actuals!H270</f>
        <v>0</v>
      </c>
      <c r="L60" s="129">
        <f>+Actuals!I270</f>
        <v>0</v>
      </c>
      <c r="M60" s="130">
        <f>+Actuals!J270</f>
        <v>0</v>
      </c>
      <c r="N60" s="129">
        <f>+Actuals!K270</f>
        <v>0</v>
      </c>
      <c r="O60" s="130">
        <f>+Actuals!L270</f>
        <v>0</v>
      </c>
      <c r="P60" s="129">
        <f>+Actuals!M270</f>
        <v>0</v>
      </c>
      <c r="Q60" s="130">
        <f>+Actuals!N270</f>
        <v>0</v>
      </c>
      <c r="R60" s="129">
        <f>+Actuals!O270</f>
        <v>0</v>
      </c>
      <c r="S60" s="130">
        <f>+Actuals!P270</f>
        <v>0</v>
      </c>
      <c r="T60" s="129">
        <f>+Actuals!Q470</f>
        <v>0</v>
      </c>
      <c r="U60" s="130">
        <f>+Actuals!R470</f>
        <v>0</v>
      </c>
      <c r="V60" s="129">
        <f>+Actuals!S470</f>
        <v>0</v>
      </c>
      <c r="W60" s="130">
        <f>+Actuals!T470</f>
        <v>0</v>
      </c>
      <c r="X60" s="129">
        <f>+Actuals!U470</f>
        <v>0</v>
      </c>
      <c r="Y60" s="130">
        <f>+Actuals!V470</f>
        <v>0</v>
      </c>
      <c r="Z60" s="129">
        <f>+Actuals!W470</f>
        <v>0</v>
      </c>
      <c r="AA60" s="130">
        <f>+Actuals!X470</f>
        <v>0</v>
      </c>
      <c r="AB60" s="129">
        <f>+Actuals!Y270</f>
        <v>0</v>
      </c>
      <c r="AC60" s="130">
        <f>+Actuals!Z270</f>
        <v>0</v>
      </c>
      <c r="AD60" s="129">
        <f>+Actuals!AA270</f>
        <v>0</v>
      </c>
      <c r="AE60" s="130">
        <f>+Actuals!AB270</f>
        <v>0</v>
      </c>
    </row>
    <row r="61" spans="1:31" x14ac:dyDescent="0.25">
      <c r="A61" s="9"/>
      <c r="B61" s="62" t="s">
        <v>62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150">
        <f t="shared" si="18"/>
        <v>-350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-13335809</v>
      </c>
      <c r="E64" s="38">
        <f>SUM(G64,I64,K64,M64,O64,Q64,S64,U64,W64,Y64,AA64,AC64,AE64)</f>
        <v>-359207.36000000004</v>
      </c>
      <c r="F64" s="64">
        <f>'TIE-OUT'!R64+RECLASS!R64</f>
        <v>0</v>
      </c>
      <c r="G64" s="68">
        <f>'TIE-OUT'!S64+RECLASS!S64</f>
        <v>0</v>
      </c>
      <c r="H64" s="129">
        <f>+Actuals!E271</f>
        <v>-4898145</v>
      </c>
      <c r="I64" s="130">
        <f>+Actuals!F271</f>
        <v>-313808</v>
      </c>
      <c r="J64" s="129">
        <f>+Actuals!G271</f>
        <v>-8420351</v>
      </c>
      <c r="K64" s="149">
        <f>+Actuals!H271</f>
        <v>-45427</v>
      </c>
      <c r="L64" s="129">
        <f>+Actuals!I271</f>
        <v>-17313</v>
      </c>
      <c r="M64" s="130">
        <f>+Actuals!J271</f>
        <v>4.22</v>
      </c>
      <c r="N64" s="129">
        <f>+Actuals!K271</f>
        <v>0</v>
      </c>
      <c r="O64" s="130">
        <f>+Actuals!L271</f>
        <v>0</v>
      </c>
      <c r="P64" s="129">
        <f>+Actuals!M271</f>
        <v>0</v>
      </c>
      <c r="Q64" s="130">
        <f>+Actuals!N271</f>
        <v>0</v>
      </c>
      <c r="R64" s="129">
        <f>+Actuals!O271</f>
        <v>0</v>
      </c>
      <c r="S64" s="130">
        <f>+Actuals!P271</f>
        <v>0</v>
      </c>
      <c r="T64" s="129">
        <f>+Actuals!Q471</f>
        <v>0</v>
      </c>
      <c r="U64" s="130">
        <f>+Actuals!R471</f>
        <v>0</v>
      </c>
      <c r="V64" s="129">
        <f>+Actuals!S471</f>
        <v>0</v>
      </c>
      <c r="W64" s="130">
        <f>+Actuals!T471</f>
        <v>0</v>
      </c>
      <c r="X64" s="129">
        <f>+Actuals!U471</f>
        <v>0</v>
      </c>
      <c r="Y64" s="130">
        <f>+Actuals!V471</f>
        <v>0</v>
      </c>
      <c r="Z64" s="129">
        <f>+Actuals!W471</f>
        <v>0</v>
      </c>
      <c r="AA64" s="130">
        <f>+Actuals!X471</f>
        <v>23.42</v>
      </c>
      <c r="AB64" s="129">
        <f>+Actuals!Y271</f>
        <v>0</v>
      </c>
      <c r="AC64" s="130">
        <f>+Actuals!Z271</f>
        <v>0</v>
      </c>
      <c r="AD64" s="129">
        <f>+Actuals!AA271</f>
        <v>0</v>
      </c>
      <c r="AE64" s="130">
        <f>+Actuals!AB271</f>
        <v>0</v>
      </c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'TIE-OUT'!R65+RECLASS!R65</f>
        <v>0</v>
      </c>
      <c r="G65" s="82">
        <f>'TIE-OUT'!S65+RECLASS!S65</f>
        <v>0</v>
      </c>
      <c r="H65" s="129">
        <f>+Actuals!E272</f>
        <v>0</v>
      </c>
      <c r="I65" s="130">
        <f>+Actuals!F272</f>
        <v>0</v>
      </c>
      <c r="J65" s="129">
        <f>+Actuals!G272</f>
        <v>0</v>
      </c>
      <c r="K65" s="162">
        <f>+Actuals!H272</f>
        <v>0</v>
      </c>
      <c r="L65" s="129">
        <f>+Actuals!I272</f>
        <v>0</v>
      </c>
      <c r="M65" s="130">
        <f>+Actuals!J272</f>
        <v>0</v>
      </c>
      <c r="N65" s="129">
        <f>+Actuals!K272</f>
        <v>0</v>
      </c>
      <c r="O65" s="130">
        <f>+Actuals!L272</f>
        <v>0</v>
      </c>
      <c r="P65" s="129">
        <f>+Actuals!M272</f>
        <v>0</v>
      </c>
      <c r="Q65" s="130">
        <f>+Actuals!N272</f>
        <v>0</v>
      </c>
      <c r="R65" s="129">
        <f>+Actuals!O272</f>
        <v>0</v>
      </c>
      <c r="S65" s="130">
        <f>+Actuals!P272</f>
        <v>0</v>
      </c>
      <c r="T65" s="129">
        <f>+Actuals!Q472</f>
        <v>0</v>
      </c>
      <c r="U65" s="130">
        <f>+Actuals!R472</f>
        <v>0</v>
      </c>
      <c r="V65" s="129">
        <f>+Actuals!S472</f>
        <v>0</v>
      </c>
      <c r="W65" s="130">
        <f>+Actuals!T472</f>
        <v>0</v>
      </c>
      <c r="X65" s="129">
        <f>+Actuals!U472</f>
        <v>0</v>
      </c>
      <c r="Y65" s="130">
        <f>+Actuals!V472</f>
        <v>0</v>
      </c>
      <c r="Z65" s="129">
        <f>+Actuals!W472</f>
        <v>0</v>
      </c>
      <c r="AA65" s="130">
        <f>+Actuals!X472</f>
        <v>0</v>
      </c>
      <c r="AB65" s="129">
        <f>+Actuals!Y272</f>
        <v>0</v>
      </c>
      <c r="AC65" s="130">
        <f>+Actuals!Z272</f>
        <v>0</v>
      </c>
      <c r="AD65" s="129">
        <f>+Actuals!AA272</f>
        <v>0</v>
      </c>
      <c r="AE65" s="130">
        <f>+Actuals!AB272</f>
        <v>0</v>
      </c>
    </row>
    <row r="66" spans="1:31" x14ac:dyDescent="0.25">
      <c r="A66" s="9"/>
      <c r="B66" s="7" t="s">
        <v>65</v>
      </c>
      <c r="C66" s="6"/>
      <c r="D66" s="61">
        <f t="shared" ref="D66:AE66" si="20">SUM(D64:D65)</f>
        <v>-13335809</v>
      </c>
      <c r="E66" s="39">
        <f t="shared" si="20"/>
        <v>-359207.36000000004</v>
      </c>
      <c r="F66" s="61">
        <f t="shared" si="20"/>
        <v>0</v>
      </c>
      <c r="G66" s="39">
        <f t="shared" si="20"/>
        <v>0</v>
      </c>
      <c r="H66" s="61">
        <f t="shared" si="20"/>
        <v>-4898145</v>
      </c>
      <c r="I66" s="39">
        <f t="shared" si="20"/>
        <v>-313808</v>
      </c>
      <c r="J66" s="61">
        <f t="shared" si="20"/>
        <v>-8420351</v>
      </c>
      <c r="K66" s="150">
        <f t="shared" si="20"/>
        <v>-45427</v>
      </c>
      <c r="L66" s="61">
        <f t="shared" si="20"/>
        <v>-17313</v>
      </c>
      <c r="M66" s="39">
        <f t="shared" si="20"/>
        <v>4.22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23.42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768386</v>
      </c>
      <c r="F70" s="64">
        <f>'TIE-OUT'!R70+RECLASS!R70</f>
        <v>0</v>
      </c>
      <c r="G70" s="68">
        <f>'TIE-OUT'!S70+RECLASS!S70</f>
        <v>768386</v>
      </c>
      <c r="H70" s="129">
        <f>+Actuals!E273</f>
        <v>0</v>
      </c>
      <c r="I70" s="130">
        <f>+Actuals!F273</f>
        <v>0</v>
      </c>
      <c r="J70" s="129">
        <f>+Actuals!G273</f>
        <v>0</v>
      </c>
      <c r="K70" s="149">
        <f>+Actuals!H273</f>
        <v>0</v>
      </c>
      <c r="L70" s="129">
        <f>+Actuals!I273</f>
        <v>0</v>
      </c>
      <c r="M70" s="130">
        <f>+Actuals!J273</f>
        <v>0</v>
      </c>
      <c r="N70" s="129">
        <f>+Actuals!K273</f>
        <v>0</v>
      </c>
      <c r="O70" s="130">
        <f>+Actuals!L273</f>
        <v>0</v>
      </c>
      <c r="P70" s="129">
        <f>+Actuals!M273</f>
        <v>0</v>
      </c>
      <c r="Q70" s="130">
        <f>+Actuals!N273</f>
        <v>0</v>
      </c>
      <c r="R70" s="129">
        <f>+Actuals!O273</f>
        <v>0</v>
      </c>
      <c r="S70" s="130">
        <f>+Actuals!P273</f>
        <v>0</v>
      </c>
      <c r="T70" s="129">
        <f>+Actuals!Q473</f>
        <v>0</v>
      </c>
      <c r="U70" s="130">
        <f>+Actuals!R473</f>
        <v>0</v>
      </c>
      <c r="V70" s="129">
        <f>+Actuals!S473</f>
        <v>0</v>
      </c>
      <c r="W70" s="130">
        <f>+Actuals!T473</f>
        <v>0</v>
      </c>
      <c r="X70" s="129">
        <f>+Actuals!U473</f>
        <v>0</v>
      </c>
      <c r="Y70" s="130">
        <f>+Actuals!V473</f>
        <v>0</v>
      </c>
      <c r="Z70" s="129">
        <f>+Actuals!W473</f>
        <v>0</v>
      </c>
      <c r="AA70" s="130">
        <f>+Actuals!X473</f>
        <v>0</v>
      </c>
      <c r="AB70" s="129">
        <f>+Actuals!Y273</f>
        <v>0</v>
      </c>
      <c r="AC70" s="130">
        <f>+Actuals!Z273</f>
        <v>0</v>
      </c>
      <c r="AD70" s="129">
        <f>+Actuals!AA273</f>
        <v>0</v>
      </c>
      <c r="AE70" s="130">
        <f>+Actuals!AB273</f>
        <v>0</v>
      </c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-722249</v>
      </c>
      <c r="F71" s="81">
        <f>'TIE-OUT'!R71+RECLASS!R71</f>
        <v>0</v>
      </c>
      <c r="G71" s="82">
        <f>'TIE-OUT'!S71+RECLASS!S71</f>
        <v>-722249</v>
      </c>
      <c r="H71" s="129">
        <f>+Actuals!E274</f>
        <v>0</v>
      </c>
      <c r="I71" s="130">
        <f>+Actuals!F274</f>
        <v>0</v>
      </c>
      <c r="J71" s="129">
        <f>+Actuals!G274</f>
        <v>0</v>
      </c>
      <c r="K71" s="149">
        <f>+Actuals!H274</f>
        <v>0</v>
      </c>
      <c r="L71" s="129">
        <f>+Actuals!I274</f>
        <v>0</v>
      </c>
      <c r="M71" s="130">
        <f>+Actuals!J274</f>
        <v>0</v>
      </c>
      <c r="N71" s="129">
        <f>+Actuals!K274</f>
        <v>0</v>
      </c>
      <c r="O71" s="130">
        <f>+Actuals!L274</f>
        <v>0</v>
      </c>
      <c r="P71" s="129">
        <f>+Actuals!M274</f>
        <v>0</v>
      </c>
      <c r="Q71" s="130">
        <f>+Actuals!N274</f>
        <v>0</v>
      </c>
      <c r="R71" s="129">
        <f>+Actuals!O274</f>
        <v>0</v>
      </c>
      <c r="S71" s="130">
        <f>+Actuals!P274</f>
        <v>0</v>
      </c>
      <c r="T71" s="129">
        <f>+Actuals!Q474</f>
        <v>0</v>
      </c>
      <c r="U71" s="130">
        <f>+Actuals!R474</f>
        <v>0</v>
      </c>
      <c r="V71" s="129">
        <f>+Actuals!S474</f>
        <v>0</v>
      </c>
      <c r="W71" s="130">
        <f>+Actuals!T474</f>
        <v>0</v>
      </c>
      <c r="X71" s="129">
        <f>+Actuals!U474</f>
        <v>0</v>
      </c>
      <c r="Y71" s="130">
        <f>+Actuals!V474</f>
        <v>0</v>
      </c>
      <c r="Z71" s="129">
        <f>+Actuals!W474</f>
        <v>0</v>
      </c>
      <c r="AA71" s="130">
        <f>+Actuals!X474</f>
        <v>0</v>
      </c>
      <c r="AB71" s="129">
        <f>+Actuals!Y274</f>
        <v>0</v>
      </c>
      <c r="AC71" s="130">
        <f>+Actuals!Z274</f>
        <v>0</v>
      </c>
      <c r="AD71" s="129">
        <f>+Actuals!AA274</f>
        <v>0</v>
      </c>
      <c r="AE71" s="130">
        <f>+Actuals!AB274</f>
        <v>0</v>
      </c>
    </row>
    <row r="72" spans="1:31" x14ac:dyDescent="0.25">
      <c r="A72" s="9"/>
      <c r="B72" s="3"/>
      <c r="C72" s="55" t="s">
        <v>70</v>
      </c>
      <c r="D72" s="61">
        <f t="shared" ref="D72:AE72" si="22">SUM(D70:D71)</f>
        <v>0</v>
      </c>
      <c r="E72" s="39">
        <f t="shared" si="22"/>
        <v>46137</v>
      </c>
      <c r="F72" s="61">
        <f t="shared" si="22"/>
        <v>0</v>
      </c>
      <c r="G72" s="39">
        <f t="shared" si="22"/>
        <v>46137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'TIE-OUT'!R73+RECLASS!R73</f>
        <v>0</v>
      </c>
      <c r="G73" s="60">
        <f>'TIE-OUT'!S73+RECLASS!S73</f>
        <v>0</v>
      </c>
      <c r="H73" s="129">
        <f>+Actuals!E275</f>
        <v>0</v>
      </c>
      <c r="I73" s="130">
        <f>+Actuals!F275</f>
        <v>0</v>
      </c>
      <c r="J73" s="129">
        <f>+Actuals!G275</f>
        <v>0</v>
      </c>
      <c r="K73" s="149">
        <f>+Actuals!H275</f>
        <v>0</v>
      </c>
      <c r="L73" s="129">
        <f>+Actuals!I275</f>
        <v>0</v>
      </c>
      <c r="M73" s="130">
        <f>+Actuals!J275</f>
        <v>0</v>
      </c>
      <c r="N73" s="129">
        <f>+Actuals!K275</f>
        <v>0</v>
      </c>
      <c r="O73" s="130">
        <f>+Actuals!L275</f>
        <v>0</v>
      </c>
      <c r="P73" s="129">
        <f>+Actuals!M275</f>
        <v>0</v>
      </c>
      <c r="Q73" s="130">
        <f>+Actuals!N275</f>
        <v>0</v>
      </c>
      <c r="R73" s="129">
        <f>+Actuals!O275</f>
        <v>0</v>
      </c>
      <c r="S73" s="130">
        <f>+Actuals!P275</f>
        <v>0</v>
      </c>
      <c r="T73" s="129">
        <f>+Actuals!Q475</f>
        <v>0</v>
      </c>
      <c r="U73" s="130">
        <f>+Actuals!R475</f>
        <v>0</v>
      </c>
      <c r="V73" s="129">
        <f>+Actuals!S475</f>
        <v>0</v>
      </c>
      <c r="W73" s="130">
        <f>+Actuals!T475</f>
        <v>0</v>
      </c>
      <c r="X73" s="129">
        <f>+Actuals!U475</f>
        <v>0</v>
      </c>
      <c r="Y73" s="130">
        <f>+Actuals!V475</f>
        <v>0</v>
      </c>
      <c r="Z73" s="129">
        <f>+Actuals!W475</f>
        <v>0</v>
      </c>
      <c r="AA73" s="130">
        <f>+Actuals!X475</f>
        <v>0</v>
      </c>
      <c r="AB73" s="129">
        <f>+Actuals!Y275</f>
        <v>0</v>
      </c>
      <c r="AC73" s="130">
        <f>+Actuals!Z275</f>
        <v>0</v>
      </c>
      <c r="AD73" s="129">
        <f>+Actuals!AA275</f>
        <v>0</v>
      </c>
      <c r="AE73" s="130">
        <f>+Actuals!AB275</f>
        <v>0</v>
      </c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0</v>
      </c>
      <c r="F74" s="60">
        <f>'TIE-OUT'!R74+RECLASS!R74</f>
        <v>0</v>
      </c>
      <c r="G74" s="60">
        <f>'TIE-OUT'!S74+RECLASS!S74</f>
        <v>0</v>
      </c>
      <c r="H74" s="129">
        <f>+Actuals!E276</f>
        <v>0</v>
      </c>
      <c r="I74" s="130">
        <f>+Actuals!F276</f>
        <v>0</v>
      </c>
      <c r="J74" s="129">
        <f>+Actuals!G276</f>
        <v>0</v>
      </c>
      <c r="K74" s="162">
        <v>0</v>
      </c>
      <c r="L74" s="129">
        <f>+Actuals!I276</f>
        <v>0</v>
      </c>
      <c r="M74" s="130">
        <v>0</v>
      </c>
      <c r="N74" s="129">
        <f>+Actuals!K276</f>
        <v>0</v>
      </c>
      <c r="O74" s="130">
        <f>+Actuals!L276</f>
        <v>0</v>
      </c>
      <c r="P74" s="129">
        <f>+Actuals!M276</f>
        <v>0</v>
      </c>
      <c r="Q74" s="130">
        <f>+Actuals!N276</f>
        <v>0</v>
      </c>
      <c r="R74" s="129">
        <f>+Actuals!O276</f>
        <v>0</v>
      </c>
      <c r="S74" s="130">
        <f>+Actuals!P276</f>
        <v>0</v>
      </c>
      <c r="T74" s="129">
        <f>+Actuals!Q476</f>
        <v>0</v>
      </c>
      <c r="U74" s="130">
        <f>+Actuals!R476</f>
        <v>0</v>
      </c>
      <c r="V74" s="129">
        <f>+Actuals!S476</f>
        <v>0</v>
      </c>
      <c r="W74" s="130">
        <f>+Actuals!T476</f>
        <v>0</v>
      </c>
      <c r="X74" s="129">
        <f>+Actuals!U476</f>
        <v>0</v>
      </c>
      <c r="Y74" s="130">
        <f>+Actuals!V476</f>
        <v>0</v>
      </c>
      <c r="Z74" s="129">
        <f>+Actuals!W476</f>
        <v>0</v>
      </c>
      <c r="AA74" s="130">
        <f>+Actuals!X476</f>
        <v>0</v>
      </c>
      <c r="AB74" s="129">
        <f>+Actuals!Y276</f>
        <v>0</v>
      </c>
      <c r="AC74" s="130">
        <f>+Actuals!Z276</f>
        <v>0</v>
      </c>
      <c r="AD74" s="129">
        <f>+Actuals!AA276</f>
        <v>0</v>
      </c>
      <c r="AE74" s="130">
        <f>+Actuals!AB276</f>
        <v>0</v>
      </c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56900</v>
      </c>
      <c r="F75" s="60">
        <f>'TIE-OUT'!R75+RECLASS!R75</f>
        <v>0</v>
      </c>
      <c r="G75" s="60">
        <f>'TIE-OUT'!S75+RECLASS!S75</f>
        <v>56900</v>
      </c>
      <c r="H75" s="129">
        <f>+Actuals!E277</f>
        <v>0</v>
      </c>
      <c r="I75" s="130">
        <f>+Actuals!F277</f>
        <v>0</v>
      </c>
      <c r="J75" s="129">
        <f>+Actuals!G277</f>
        <v>0</v>
      </c>
      <c r="K75" s="149">
        <f>+Actuals!H277</f>
        <v>0</v>
      </c>
      <c r="L75" s="129">
        <f>+Actuals!I277</f>
        <v>0</v>
      </c>
      <c r="M75" s="130">
        <f>+Actuals!J277</f>
        <v>0</v>
      </c>
      <c r="N75" s="129">
        <f>+Actuals!K277</f>
        <v>0</v>
      </c>
      <c r="O75" s="130">
        <f>+Actuals!L277</f>
        <v>0</v>
      </c>
      <c r="P75" s="129">
        <f>+Actuals!M277</f>
        <v>0</v>
      </c>
      <c r="Q75" s="130">
        <f>+Actuals!N277</f>
        <v>0</v>
      </c>
      <c r="R75" s="129">
        <f>+Actuals!O277</f>
        <v>0</v>
      </c>
      <c r="S75" s="130">
        <f>+Actuals!P277</f>
        <v>0</v>
      </c>
      <c r="T75" s="129">
        <f>+Actuals!Q477</f>
        <v>0</v>
      </c>
      <c r="U75" s="130">
        <f>+Actuals!R477</f>
        <v>0</v>
      </c>
      <c r="V75" s="129">
        <f>+Actuals!S477</f>
        <v>0</v>
      </c>
      <c r="W75" s="130">
        <f>+Actuals!T477</f>
        <v>0</v>
      </c>
      <c r="X75" s="129">
        <f>+Actuals!U477</f>
        <v>0</v>
      </c>
      <c r="Y75" s="130">
        <f>+Actuals!V477</f>
        <v>0</v>
      </c>
      <c r="Z75" s="129">
        <f>+Actuals!W477</f>
        <v>0</v>
      </c>
      <c r="AA75" s="130">
        <f>+Actuals!X477</f>
        <v>0</v>
      </c>
      <c r="AB75" s="129">
        <f>+Actuals!Y277</f>
        <v>0</v>
      </c>
      <c r="AC75" s="130">
        <f>+Actuals!Z277</f>
        <v>0</v>
      </c>
      <c r="AD75" s="129">
        <f>+Actuals!AA277</f>
        <v>0</v>
      </c>
      <c r="AE75" s="130">
        <f>+Actuals!AB277</f>
        <v>0</v>
      </c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-3979</v>
      </c>
      <c r="F76" s="60">
        <f>'TIE-OUT'!R76+RECLASS!R76</f>
        <v>0</v>
      </c>
      <c r="G76" s="60">
        <f>'TIE-OUT'!S76+RECLASS!S76</f>
        <v>0</v>
      </c>
      <c r="H76" s="129">
        <f>+Actuals!E278</f>
        <v>0</v>
      </c>
      <c r="I76" s="130">
        <f>+Actuals!F278</f>
        <v>0</v>
      </c>
      <c r="J76" s="129">
        <f>+Actuals!G278</f>
        <v>0</v>
      </c>
      <c r="K76" s="149">
        <f>+Actuals!H278</f>
        <v>-3979</v>
      </c>
      <c r="L76" s="129">
        <f>+Actuals!I278</f>
        <v>0</v>
      </c>
      <c r="M76" s="130">
        <f>+Actuals!J278</f>
        <v>0</v>
      </c>
      <c r="N76" s="129">
        <f>+Actuals!K278</f>
        <v>0</v>
      </c>
      <c r="O76" s="130">
        <f>+Actuals!L278</f>
        <v>0</v>
      </c>
      <c r="P76" s="129">
        <f>+Actuals!M278</f>
        <v>0</v>
      </c>
      <c r="Q76" s="130">
        <f>+Actuals!N278</f>
        <v>0</v>
      </c>
      <c r="R76" s="129">
        <f>+Actuals!O278</f>
        <v>0</v>
      </c>
      <c r="S76" s="130">
        <f>+Actuals!P278</f>
        <v>0</v>
      </c>
      <c r="T76" s="129">
        <f>+Actuals!Q478</f>
        <v>0</v>
      </c>
      <c r="U76" s="130">
        <f>+Actuals!R478</f>
        <v>0</v>
      </c>
      <c r="V76" s="129">
        <f>+Actuals!S478</f>
        <v>0</v>
      </c>
      <c r="W76" s="130">
        <f>+Actuals!T478</f>
        <v>0</v>
      </c>
      <c r="X76" s="129">
        <f>+Actuals!U478</f>
        <v>0</v>
      </c>
      <c r="Y76" s="130">
        <f>+Actuals!V478</f>
        <v>0</v>
      </c>
      <c r="Z76" s="129">
        <f>+Actuals!W478</f>
        <v>0</v>
      </c>
      <c r="AA76" s="130">
        <f>+Actuals!X478</f>
        <v>0</v>
      </c>
      <c r="AB76" s="129">
        <f>+Actuals!Y278</f>
        <v>0</v>
      </c>
      <c r="AC76" s="130">
        <f>+Actuals!Z278</f>
        <v>0</v>
      </c>
      <c r="AD76" s="129">
        <f>+Actuals!AA278</f>
        <v>0</v>
      </c>
      <c r="AE76" s="130">
        <f>+Actuals!AB278</f>
        <v>0</v>
      </c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'TIE-OUT'!R77+RECLASS!R77</f>
        <v>0</v>
      </c>
      <c r="G77" s="60">
        <f>'TIE-OUT'!S77+RECLASS!S77</f>
        <v>0</v>
      </c>
      <c r="H77" s="129">
        <f>+Actuals!E279</f>
        <v>0</v>
      </c>
      <c r="I77" s="130">
        <f>+Actuals!F279</f>
        <v>0</v>
      </c>
      <c r="J77" s="129">
        <f>+Actuals!G279</f>
        <v>0</v>
      </c>
      <c r="K77" s="149">
        <f>+Actuals!H279</f>
        <v>0</v>
      </c>
      <c r="L77" s="129">
        <f>+Actuals!I279</f>
        <v>0</v>
      </c>
      <c r="M77" s="130">
        <f>+Actuals!J279</f>
        <v>0</v>
      </c>
      <c r="N77" s="129">
        <f>+Actuals!K279</f>
        <v>0</v>
      </c>
      <c r="O77" s="130">
        <f>+Actuals!L279</f>
        <v>0</v>
      </c>
      <c r="P77" s="129">
        <f>+Actuals!M279</f>
        <v>0</v>
      </c>
      <c r="Q77" s="130">
        <f>+Actuals!N279</f>
        <v>0</v>
      </c>
      <c r="R77" s="129">
        <f>+Actuals!O279</f>
        <v>0</v>
      </c>
      <c r="S77" s="130">
        <f>+Actuals!P279</f>
        <v>0</v>
      </c>
      <c r="T77" s="129">
        <f>+Actuals!Q479</f>
        <v>0</v>
      </c>
      <c r="U77" s="130">
        <f>+Actuals!R479</f>
        <v>0</v>
      </c>
      <c r="V77" s="129">
        <f>+Actuals!S479</f>
        <v>0</v>
      </c>
      <c r="W77" s="130">
        <f>+Actuals!T479</f>
        <v>0</v>
      </c>
      <c r="X77" s="129">
        <f>+Actuals!U479</f>
        <v>0</v>
      </c>
      <c r="Y77" s="130">
        <f>+Actuals!V479</f>
        <v>0</v>
      </c>
      <c r="Z77" s="129">
        <f>+Actuals!W479</f>
        <v>0</v>
      </c>
      <c r="AA77" s="130">
        <f>+Actuals!X479</f>
        <v>0</v>
      </c>
      <c r="AB77" s="129">
        <f>+Actuals!Y279</f>
        <v>0</v>
      </c>
      <c r="AC77" s="130">
        <f>+Actuals!Z279</f>
        <v>0</v>
      </c>
      <c r="AD77" s="129">
        <f>+Actuals!AA279</f>
        <v>0</v>
      </c>
      <c r="AE77" s="130">
        <f>+Actuals!AB279</f>
        <v>0</v>
      </c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'TIE-OUT'!R78+RECLASS!R78</f>
        <v>0</v>
      </c>
      <c r="G78" s="60">
        <f>'TIE-OUT'!S78+RECLASS!S78</f>
        <v>0</v>
      </c>
      <c r="H78" s="129">
        <f>+Actuals!E280</f>
        <v>0</v>
      </c>
      <c r="I78" s="130">
        <f>+Actuals!F280</f>
        <v>0</v>
      </c>
      <c r="J78" s="129">
        <f>+Actuals!G280</f>
        <v>0</v>
      </c>
      <c r="K78" s="149">
        <f>+Actuals!H280</f>
        <v>0</v>
      </c>
      <c r="L78" s="129">
        <f>+Actuals!I280</f>
        <v>0</v>
      </c>
      <c r="M78" s="130">
        <f>+Actuals!J280</f>
        <v>0</v>
      </c>
      <c r="N78" s="129">
        <f>+Actuals!K280</f>
        <v>0</v>
      </c>
      <c r="O78" s="130">
        <f>+Actuals!L280</f>
        <v>0</v>
      </c>
      <c r="P78" s="129">
        <f>+Actuals!M280</f>
        <v>0</v>
      </c>
      <c r="Q78" s="130">
        <f>+Actuals!N280</f>
        <v>0</v>
      </c>
      <c r="R78" s="129">
        <f>+Actuals!O280</f>
        <v>0</v>
      </c>
      <c r="S78" s="130">
        <f>+Actuals!P280</f>
        <v>0</v>
      </c>
      <c r="T78" s="129">
        <f>+Actuals!Q480</f>
        <v>0</v>
      </c>
      <c r="U78" s="130">
        <f>+Actuals!R480</f>
        <v>0</v>
      </c>
      <c r="V78" s="129">
        <f>+Actuals!S480</f>
        <v>0</v>
      </c>
      <c r="W78" s="130">
        <f>+Actuals!T480</f>
        <v>0</v>
      </c>
      <c r="X78" s="129">
        <f>+Actuals!U480</f>
        <v>0</v>
      </c>
      <c r="Y78" s="130">
        <f>+Actuals!V480</f>
        <v>0</v>
      </c>
      <c r="Z78" s="129">
        <f>+Actuals!W480</f>
        <v>0</v>
      </c>
      <c r="AA78" s="130">
        <f>+Actuals!X480</f>
        <v>0</v>
      </c>
      <c r="AB78" s="129">
        <f>+Actuals!Y280</f>
        <v>0</v>
      </c>
      <c r="AC78" s="130">
        <f>+Actuals!Z280</f>
        <v>0</v>
      </c>
      <c r="AD78" s="129">
        <f>+Actuals!AA280</f>
        <v>0</v>
      </c>
      <c r="AE78" s="130">
        <f>+Actuals!AB280</f>
        <v>0</v>
      </c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'TIE-OUT'!R79+RECLASS!R79</f>
        <v>0</v>
      </c>
      <c r="G79" s="60">
        <f>'TIE-OUT'!S79+RECLASS!S79</f>
        <v>0</v>
      </c>
      <c r="H79" s="129">
        <f>+Actuals!E281</f>
        <v>0</v>
      </c>
      <c r="I79" s="130">
        <f>+Actuals!F281</f>
        <v>0</v>
      </c>
      <c r="J79" s="129">
        <f>+Actuals!G281</f>
        <v>0</v>
      </c>
      <c r="K79" s="149">
        <f>+Actuals!H281</f>
        <v>0</v>
      </c>
      <c r="L79" s="129">
        <f>+Actuals!I281</f>
        <v>0</v>
      </c>
      <c r="M79" s="130">
        <f>+Actuals!J281</f>
        <v>0</v>
      </c>
      <c r="N79" s="129">
        <f>+Actuals!K281</f>
        <v>0</v>
      </c>
      <c r="O79" s="130">
        <f>+Actuals!L281</f>
        <v>0</v>
      </c>
      <c r="P79" s="129">
        <f>+Actuals!M281</f>
        <v>0</v>
      </c>
      <c r="Q79" s="130">
        <f>+Actuals!N281</f>
        <v>0</v>
      </c>
      <c r="R79" s="129">
        <f>+Actuals!O281</f>
        <v>0</v>
      </c>
      <c r="S79" s="130">
        <f>+Actuals!P281</f>
        <v>0</v>
      </c>
      <c r="T79" s="129">
        <f>+Actuals!Q481</f>
        <v>0</v>
      </c>
      <c r="U79" s="130">
        <f>+Actuals!R481</f>
        <v>0</v>
      </c>
      <c r="V79" s="129">
        <f>+Actuals!S481</f>
        <v>0</v>
      </c>
      <c r="W79" s="130">
        <f>+Actuals!T481</f>
        <v>0</v>
      </c>
      <c r="X79" s="129">
        <f>+Actuals!U481</f>
        <v>0</v>
      </c>
      <c r="Y79" s="130">
        <f>+Actuals!V481</f>
        <v>0</v>
      </c>
      <c r="Z79" s="129">
        <f>+Actuals!W481</f>
        <v>0</v>
      </c>
      <c r="AA79" s="130">
        <f>+Actuals!X481</f>
        <v>0</v>
      </c>
      <c r="AB79" s="129">
        <f>+Actuals!Y281</f>
        <v>0</v>
      </c>
      <c r="AC79" s="130">
        <f>+Actuals!Z281</f>
        <v>0</v>
      </c>
      <c r="AD79" s="129">
        <f>+Actuals!AA281</f>
        <v>0</v>
      </c>
      <c r="AE79" s="130">
        <f>+Actuals!AB281</f>
        <v>0</v>
      </c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'TIE-OUT'!R80+RECLASS!R80</f>
        <v>0</v>
      </c>
      <c r="G80" s="60">
        <f>'TIE-OUT'!S80+RECLASS!S80</f>
        <v>0</v>
      </c>
      <c r="H80" s="129">
        <f>+Actuals!E282</f>
        <v>0</v>
      </c>
      <c r="I80" s="130">
        <f>+Actuals!F282</f>
        <v>0</v>
      </c>
      <c r="J80" s="129">
        <f>+Actuals!G282</f>
        <v>0</v>
      </c>
      <c r="K80" s="149">
        <f>+Actuals!H282</f>
        <v>0</v>
      </c>
      <c r="L80" s="129">
        <f>+Actuals!I282</f>
        <v>0</v>
      </c>
      <c r="M80" s="130">
        <f>+Actuals!J282</f>
        <v>0</v>
      </c>
      <c r="N80" s="129">
        <f>+Actuals!K282</f>
        <v>0</v>
      </c>
      <c r="O80" s="130">
        <f>+Actuals!L282</f>
        <v>0</v>
      </c>
      <c r="P80" s="129">
        <f>+Actuals!M282</f>
        <v>0</v>
      </c>
      <c r="Q80" s="130">
        <f>+Actuals!N282</f>
        <v>0</v>
      </c>
      <c r="R80" s="129">
        <f>+Actuals!O282</f>
        <v>0</v>
      </c>
      <c r="S80" s="130">
        <f>+Actuals!P282</f>
        <v>0</v>
      </c>
      <c r="T80" s="129">
        <f>+Actuals!Q482</f>
        <v>0</v>
      </c>
      <c r="U80" s="130">
        <f>+Actuals!R482</f>
        <v>0</v>
      </c>
      <c r="V80" s="129">
        <f>+Actuals!S482</f>
        <v>0</v>
      </c>
      <c r="W80" s="130">
        <f>+Actuals!T482</f>
        <v>0</v>
      </c>
      <c r="X80" s="129">
        <f>+Actuals!U482</f>
        <v>0</v>
      </c>
      <c r="Y80" s="130">
        <f>+Actuals!V482</f>
        <v>0</v>
      </c>
      <c r="Z80" s="129">
        <f>+Actuals!W482</f>
        <v>0</v>
      </c>
      <c r="AA80" s="130">
        <f>+Actuals!X482</f>
        <v>0</v>
      </c>
      <c r="AB80" s="129">
        <f>+Actuals!Y282</f>
        <v>0</v>
      </c>
      <c r="AC80" s="130">
        <f>+Actuals!Z282</f>
        <v>0</v>
      </c>
      <c r="AD80" s="129">
        <f>+Actuals!AA282</f>
        <v>0</v>
      </c>
      <c r="AE80" s="130">
        <f>+Actuals!AB282</f>
        <v>0</v>
      </c>
    </row>
    <row r="81" spans="1:67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60">
        <f>'TIE-OUT'!R81+RECLASS!R81</f>
        <v>0</v>
      </c>
      <c r="G81" s="60">
        <f>'TIE-OUT'!S81+RECLASS!S81</f>
        <v>0</v>
      </c>
      <c r="H81" s="129">
        <f>+Actuals!E283</f>
        <v>0</v>
      </c>
      <c r="I81" s="130">
        <f>+Actuals!F283</f>
        <v>0</v>
      </c>
      <c r="J81" s="129">
        <f>+Actuals!G283</f>
        <v>0</v>
      </c>
      <c r="K81" s="149">
        <f>+Actuals!H283</f>
        <v>0</v>
      </c>
      <c r="L81" s="129">
        <f>+Actuals!I283</f>
        <v>0</v>
      </c>
      <c r="M81" s="130">
        <f>+Actuals!J283</f>
        <v>0</v>
      </c>
      <c r="N81" s="129">
        <f>+Actuals!K283</f>
        <v>0</v>
      </c>
      <c r="O81" s="130">
        <f>+Actuals!L283</f>
        <v>0</v>
      </c>
      <c r="P81" s="129">
        <f>+Actuals!M283</f>
        <v>0</v>
      </c>
      <c r="Q81" s="130">
        <f>+Actuals!N283</f>
        <v>0</v>
      </c>
      <c r="R81" s="129">
        <f>+Actuals!O283</f>
        <v>0</v>
      </c>
      <c r="S81" s="130">
        <f>+Actuals!P283</f>
        <v>0</v>
      </c>
      <c r="T81" s="129">
        <f>+Actuals!Q483</f>
        <v>0</v>
      </c>
      <c r="U81" s="130">
        <f>+Actuals!R483</f>
        <v>0</v>
      </c>
      <c r="V81" s="129">
        <f>+Actuals!S483</f>
        <v>0</v>
      </c>
      <c r="W81" s="130">
        <f>+Actuals!T483</f>
        <v>0</v>
      </c>
      <c r="X81" s="129">
        <f>+Actuals!U483</f>
        <v>0</v>
      </c>
      <c r="Y81" s="130">
        <f>+Actuals!V483</f>
        <v>0</v>
      </c>
      <c r="Z81" s="129">
        <f>+Actuals!W483</f>
        <v>0</v>
      </c>
      <c r="AA81" s="130">
        <f>+Actuals!X483</f>
        <v>0</v>
      </c>
      <c r="AB81" s="129">
        <f>+Actuals!Y283</f>
        <v>0</v>
      </c>
      <c r="AC81" s="130">
        <f>+Actuals!Z283</f>
        <v>0</v>
      </c>
      <c r="AD81" s="129">
        <f>+Actuals!AA283</f>
        <v>0</v>
      </c>
      <c r="AE81" s="130">
        <f>+Actuals!AB283</f>
        <v>0</v>
      </c>
    </row>
    <row r="82" spans="1:6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576731.32399999886</v>
      </c>
      <c r="F82" s="92">
        <f>F16+F24+F29+F36+F43+F45+F47+F49</f>
        <v>0</v>
      </c>
      <c r="G82" s="93">
        <f>SUM(G72:G81)+G16+G24+G29+G36+G43+G45+G47+G49+G51+G56+G61+G66</f>
        <v>-1702272.57</v>
      </c>
      <c r="H82" s="92">
        <f>H16+H24+H29+H36+H43+H45+H47+H49</f>
        <v>0</v>
      </c>
      <c r="I82" s="93">
        <f>SUM(I72:I81)+I16+I24+I29+I36+I43+I45+I47+I49+I51+I56+I61+I66</f>
        <v>3240533.34</v>
      </c>
      <c r="J82" s="92">
        <f>J16+J24+J29+J36+J43+J45+J47+J49</f>
        <v>0</v>
      </c>
      <c r="K82" s="166">
        <f>SUM(K72:K81)+K16+K24+K29+K36+K43+K45+K47+K49+K51+K56+K61+K66</f>
        <v>2693849.1090000016</v>
      </c>
      <c r="L82" s="92">
        <f>L16+L24+L29+L36+L43+L45+L47+L49</f>
        <v>0</v>
      </c>
      <c r="M82" s="93">
        <f>SUM(M72:M81)+M16+M24+M29+M36+M43+M45+M47+M49+M51+M56+M61+M66</f>
        <v>-5645718.4100000001</v>
      </c>
      <c r="N82" s="92">
        <f>N16+N24+N29+N36+N43+N45+N47+N49</f>
        <v>0</v>
      </c>
      <c r="O82" s="93">
        <f>SUM(O72:O81)+O16+O24+O29+O36+O43+O45+O47+O49+O51+O56+O61+O66</f>
        <v>225227.22000000003</v>
      </c>
      <c r="P82" s="92">
        <f>P16+P24+P29+P36+P43+P45+P47+P49</f>
        <v>0</v>
      </c>
      <c r="Q82" s="93">
        <f>SUM(Q72:Q81)+Q16+Q24+Q29+Q36+Q43+Q45+Q47+Q49+Q51+Q56+Q61+Q66</f>
        <v>1513150.4650000001</v>
      </c>
      <c r="R82" s="92">
        <f>R16+R24+R29+R36+R43+R45+R47+R49</f>
        <v>0</v>
      </c>
      <c r="S82" s="93">
        <f>SUM(S72:S81)+S16+S24+S29+S36+S43+S45+S47+S49+S51+S56+S61+S66</f>
        <v>1098254.9200000002</v>
      </c>
      <c r="T82" s="92">
        <f>T16+T24+T29+T36+T43+T45+T47+T49</f>
        <v>0</v>
      </c>
      <c r="U82" s="93">
        <f>SUM(U72:U81)+U16+U24+U29+U36+U43+U45+U47+U49+U51+U56+U61+U66</f>
        <v>-908564.35</v>
      </c>
      <c r="V82" s="92">
        <f>V16+V24+V29+V36+V43+V45+V47+V49</f>
        <v>0</v>
      </c>
      <c r="W82" s="93">
        <f>SUM(W72:W81)+W16+W24+W29+W36+W43+W45+W47+W49+W51+W56+W61+W66</f>
        <v>1844.8</v>
      </c>
      <c r="X82" s="92">
        <f>X16+X24+X29+X36+X43+X45+X47+X49</f>
        <v>0</v>
      </c>
      <c r="Y82" s="93">
        <f>SUM(Y72:Y81)+Y16+Y24+Y29+Y36+Y43+Y45+Y47+Y49+Y51+Y56+Y61+Y66</f>
        <v>57241.289999999994</v>
      </c>
      <c r="Z82" s="92">
        <f>Z16+Z24+Z29+Z36+Z43+Z45+Z47+Z49</f>
        <v>0</v>
      </c>
      <c r="AA82" s="93">
        <f>SUM(AA72:AA81)+AA16+AA24+AA29+AA36+AA43+AA45+AA47+AA49+AA51+AA56+AA61+AA66</f>
        <v>3185.5099999999743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  <c r="I84" s="45"/>
    </row>
    <row r="85" spans="1:67" x14ac:dyDescent="0.25">
      <c r="A85" s="4" t="s">
        <v>177</v>
      </c>
      <c r="B85" s="3"/>
      <c r="F85" s="31"/>
      <c r="G85" s="31"/>
      <c r="H85" s="31"/>
      <c r="I85" s="31"/>
      <c r="K85"/>
      <c r="L85" s="45"/>
    </row>
    <row r="86" spans="1:67" s="3" customFormat="1" x14ac:dyDescent="0.25">
      <c r="A86" s="173"/>
      <c r="C86" s="10" t="s">
        <v>173</v>
      </c>
      <c r="D86" s="174">
        <f t="shared" ref="D86:E88" si="25">SUM(F86,H86,J86,L86,N86,P86,R86,T86,V86,X86,Z86,AB86,AD86)</f>
        <v>0</v>
      </c>
      <c r="E86" s="174">
        <f t="shared" si="25"/>
        <v>746948</v>
      </c>
      <c r="F86" s="174">
        <f>'TIE-OUT'!R86+RECLASS!R86</f>
        <v>0</v>
      </c>
      <c r="G86" s="174">
        <f>'TIE-OUT'!S86+RECLASS!S86</f>
        <v>146724</v>
      </c>
      <c r="H86" s="174">
        <v>0</v>
      </c>
      <c r="I86" s="174">
        <v>0</v>
      </c>
      <c r="J86" s="174">
        <v>0</v>
      </c>
      <c r="K86" s="174"/>
      <c r="L86" s="174">
        <v>0</v>
      </c>
      <c r="M86" s="174">
        <v>0</v>
      </c>
      <c r="N86" s="174">
        <v>0</v>
      </c>
      <c r="O86" s="174">
        <f>1288961-688737</f>
        <v>600224</v>
      </c>
      <c r="P86" s="174">
        <v>0</v>
      </c>
      <c r="Q86" s="174">
        <v>0</v>
      </c>
      <c r="R86" s="174">
        <v>0</v>
      </c>
      <c r="S86" s="174">
        <v>0</v>
      </c>
      <c r="T86" s="174">
        <v>0</v>
      </c>
      <c r="U86" s="174">
        <v>0</v>
      </c>
      <c r="V86" s="174">
        <v>0</v>
      </c>
      <c r="W86" s="174">
        <v>0</v>
      </c>
      <c r="X86" s="174">
        <v>0</v>
      </c>
      <c r="Y86" s="174">
        <v>0</v>
      </c>
      <c r="Z86" s="174">
        <v>0</v>
      </c>
      <c r="AA86" s="174">
        <v>0</v>
      </c>
      <c r="AB86" s="174">
        <v>0</v>
      </c>
      <c r="AC86" s="174">
        <v>0</v>
      </c>
      <c r="AD86" s="174">
        <v>0</v>
      </c>
      <c r="AE86" s="174">
        <v>0</v>
      </c>
    </row>
    <row r="87" spans="1:67" s="3" customFormat="1" x14ac:dyDescent="0.25">
      <c r="A87" s="173"/>
      <c r="C87" s="10" t="s">
        <v>72</v>
      </c>
      <c r="D87" s="175">
        <f t="shared" si="25"/>
        <v>0</v>
      </c>
      <c r="E87" s="175">
        <f t="shared" si="25"/>
        <v>0</v>
      </c>
      <c r="F87" s="175">
        <f>'TIE-OUT'!R87+RECLASS!R87</f>
        <v>0</v>
      </c>
      <c r="G87" s="175">
        <f>'TIE-OUT'!S87+RECLASS!S87</f>
        <v>0</v>
      </c>
      <c r="H87" s="175">
        <v>0</v>
      </c>
      <c r="I87" s="175">
        <v>0</v>
      </c>
      <c r="J87" s="175">
        <v>0</v>
      </c>
      <c r="K87" s="175">
        <v>0</v>
      </c>
      <c r="L87" s="175">
        <v>0</v>
      </c>
      <c r="M87" s="175">
        <v>0</v>
      </c>
      <c r="N87" s="175">
        <v>0</v>
      </c>
      <c r="O87" s="175">
        <v>0</v>
      </c>
      <c r="P87" s="175">
        <v>0</v>
      </c>
      <c r="Q87" s="175">
        <v>0</v>
      </c>
      <c r="R87" s="175">
        <v>0</v>
      </c>
      <c r="S87" s="175">
        <v>0</v>
      </c>
      <c r="T87" s="175">
        <v>0</v>
      </c>
      <c r="U87" s="175">
        <v>0</v>
      </c>
      <c r="V87" s="175">
        <v>0</v>
      </c>
      <c r="W87" s="175">
        <v>0</v>
      </c>
      <c r="X87" s="175">
        <v>0</v>
      </c>
      <c r="Y87" s="175">
        <v>0</v>
      </c>
      <c r="Z87" s="175">
        <v>0</v>
      </c>
      <c r="AA87" s="175">
        <v>0</v>
      </c>
      <c r="AB87" s="175">
        <v>0</v>
      </c>
      <c r="AC87" s="175">
        <v>0</v>
      </c>
      <c r="AD87" s="175">
        <v>0</v>
      </c>
      <c r="AE87" s="175">
        <v>0</v>
      </c>
    </row>
    <row r="88" spans="1:67" s="3" customFormat="1" x14ac:dyDescent="0.25">
      <c r="A88" s="173"/>
      <c r="C88" s="10" t="s">
        <v>73</v>
      </c>
      <c r="D88" s="176">
        <f t="shared" si="25"/>
        <v>0</v>
      </c>
      <c r="E88" s="176">
        <f t="shared" si="25"/>
        <v>-692800</v>
      </c>
      <c r="F88" s="176">
        <f>'TIE-OUT'!R88+RECLASS!R88</f>
        <v>0</v>
      </c>
      <c r="G88" s="176">
        <f>'TIE-OUT'!S88+RECLASS!S88</f>
        <v>-56500</v>
      </c>
      <c r="H88" s="176">
        <v>0</v>
      </c>
      <c r="I88" s="176">
        <v>0</v>
      </c>
      <c r="J88" s="176">
        <v>0</v>
      </c>
      <c r="K88" s="176">
        <v>0</v>
      </c>
      <c r="L88" s="176">
        <v>0</v>
      </c>
      <c r="M88" s="176">
        <v>-636300</v>
      </c>
      <c r="N88" s="176">
        <v>0</v>
      </c>
      <c r="O88" s="176">
        <v>0</v>
      </c>
      <c r="P88" s="176">
        <v>0</v>
      </c>
      <c r="Q88" s="176">
        <v>0</v>
      </c>
      <c r="R88" s="176">
        <v>0</v>
      </c>
      <c r="S88" s="176">
        <v>0</v>
      </c>
      <c r="T88" s="176">
        <v>0</v>
      </c>
      <c r="U88" s="176">
        <v>0</v>
      </c>
      <c r="V88" s="176">
        <v>0</v>
      </c>
      <c r="W88" s="176">
        <v>0</v>
      </c>
      <c r="X88" s="176">
        <v>0</v>
      </c>
      <c r="Y88" s="176">
        <v>0</v>
      </c>
      <c r="Z88" s="176">
        <v>0</v>
      </c>
      <c r="AA88" s="176">
        <v>0</v>
      </c>
      <c r="AB88" s="176">
        <v>0</v>
      </c>
      <c r="AC88" s="176">
        <v>0</v>
      </c>
      <c r="AD88" s="176">
        <v>0</v>
      </c>
      <c r="AE88" s="176">
        <v>0</v>
      </c>
    </row>
    <row r="89" spans="1:67" s="44" customFormat="1" ht="20.25" customHeight="1" x14ac:dyDescent="0.25">
      <c r="A89" s="180"/>
      <c r="B89" s="181"/>
      <c r="C89" s="186" t="s">
        <v>176</v>
      </c>
      <c r="D89" s="184">
        <f>SUM(D86:D88)</f>
        <v>0</v>
      </c>
      <c r="E89" s="184">
        <f t="shared" ref="E89:M89" si="26">SUM(E86:E88)</f>
        <v>54148</v>
      </c>
      <c r="F89" s="184">
        <f t="shared" si="26"/>
        <v>0</v>
      </c>
      <c r="G89" s="184">
        <f t="shared" si="26"/>
        <v>90224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-636300</v>
      </c>
      <c r="N89" s="184">
        <f t="shared" ref="N89:AE89" si="27">SUM(N86:N88)</f>
        <v>0</v>
      </c>
      <c r="O89" s="184">
        <f t="shared" si="27"/>
        <v>600224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5">
      <c r="A91" s="180"/>
      <c r="B91" s="181"/>
      <c r="C91" s="186" t="s">
        <v>179</v>
      </c>
      <c r="D91" s="184">
        <f>+D82+D89</f>
        <v>0</v>
      </c>
      <c r="E91" s="184">
        <f t="shared" ref="E91:M91" si="28">+E82+E89</f>
        <v>630879.32399999886</v>
      </c>
      <c r="F91" s="184">
        <f t="shared" si="28"/>
        <v>0</v>
      </c>
      <c r="G91" s="184">
        <f t="shared" si="28"/>
        <v>-1612048.57</v>
      </c>
      <c r="H91" s="184">
        <f t="shared" si="28"/>
        <v>0</v>
      </c>
      <c r="I91" s="184">
        <f t="shared" si="28"/>
        <v>3240533.34</v>
      </c>
      <c r="J91" s="184">
        <f t="shared" si="28"/>
        <v>0</v>
      </c>
      <c r="K91" s="184">
        <f t="shared" si="28"/>
        <v>2693849.1090000016</v>
      </c>
      <c r="L91" s="184">
        <f t="shared" si="28"/>
        <v>0</v>
      </c>
      <c r="M91" s="184">
        <f t="shared" si="28"/>
        <v>-6282018.4100000001</v>
      </c>
      <c r="N91" s="184">
        <f t="shared" ref="N91:AE91" si="29">+N82+N89</f>
        <v>0</v>
      </c>
      <c r="O91" s="184">
        <f t="shared" si="29"/>
        <v>825451.22</v>
      </c>
      <c r="P91" s="184">
        <f t="shared" si="29"/>
        <v>0</v>
      </c>
      <c r="Q91" s="184">
        <f t="shared" si="29"/>
        <v>1513150.4650000001</v>
      </c>
      <c r="R91" s="184">
        <f t="shared" si="29"/>
        <v>0</v>
      </c>
      <c r="S91" s="184">
        <f t="shared" si="29"/>
        <v>1098254.9200000002</v>
      </c>
      <c r="T91" s="184">
        <f t="shared" si="29"/>
        <v>0</v>
      </c>
      <c r="U91" s="184">
        <f t="shared" si="29"/>
        <v>-908564.35</v>
      </c>
      <c r="V91" s="184">
        <f t="shared" si="29"/>
        <v>0</v>
      </c>
      <c r="W91" s="184">
        <f t="shared" si="29"/>
        <v>1844.8</v>
      </c>
      <c r="X91" s="184">
        <f t="shared" si="29"/>
        <v>0</v>
      </c>
      <c r="Y91" s="184">
        <f t="shared" si="29"/>
        <v>57241.289999999994</v>
      </c>
      <c r="Z91" s="184">
        <f t="shared" si="29"/>
        <v>0</v>
      </c>
      <c r="AA91" s="184">
        <f t="shared" si="29"/>
        <v>3185.5099999999743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F6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5" customWidth="1"/>
    <col min="12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699942</v>
      </c>
      <c r="E11" s="38">
        <f>SUM(G11,I11,K11,M11,O11,Q11,S11,U11,W11,Y11,AA11,AC11,AE11)</f>
        <v>1530696.56</v>
      </c>
      <c r="F11" s="60">
        <f>'TIE-OUT'!P11+RECLASS!P11</f>
        <v>0</v>
      </c>
      <c r="G11" s="38">
        <f>'TIE-OUT'!Q11+RECLASS!Q11</f>
        <v>0</v>
      </c>
      <c r="H11" s="129">
        <f>+Actuals!E4</f>
        <v>682365</v>
      </c>
      <c r="I11" s="130">
        <f>+Actuals!F4</f>
        <v>1430368.19</v>
      </c>
      <c r="J11" s="129">
        <f>+Actuals!G4</f>
        <v>17577</v>
      </c>
      <c r="K11" s="149">
        <f>+Actuals!H4</f>
        <v>100328.37</v>
      </c>
      <c r="L11" s="129">
        <f>+Actuals!I4</f>
        <v>0</v>
      </c>
      <c r="M11" s="130">
        <f>+Actuals!J4</f>
        <v>0</v>
      </c>
      <c r="N11" s="129">
        <f>+Actuals!K4</f>
        <v>0</v>
      </c>
      <c r="O11" s="130">
        <f>+Actuals!L4</f>
        <v>0</v>
      </c>
      <c r="P11" s="129">
        <f>+Actuals!M4</f>
        <v>0</v>
      </c>
      <c r="Q11" s="130">
        <f>+Actuals!N4</f>
        <v>0</v>
      </c>
      <c r="R11" s="129">
        <f>+Actuals!O4</f>
        <v>0</v>
      </c>
      <c r="S11" s="130">
        <f>+Actuals!P4</f>
        <v>0</v>
      </c>
      <c r="T11" s="129">
        <f>+Actuals!Q4</f>
        <v>0</v>
      </c>
      <c r="U11" s="130">
        <f>+Actuals!R4</f>
        <v>0</v>
      </c>
      <c r="V11" s="129">
        <f>+Actuals!S4</f>
        <v>0</v>
      </c>
      <c r="W11" s="130">
        <f>+Actuals!T4</f>
        <v>0</v>
      </c>
      <c r="X11" s="129">
        <f>+Actuals!U4</f>
        <v>0</v>
      </c>
      <c r="Y11" s="130">
        <f>+Actuals!V4</f>
        <v>0</v>
      </c>
      <c r="Z11" s="129">
        <f>+Actuals!W4</f>
        <v>0</v>
      </c>
      <c r="AA11" s="130">
        <f>+Actuals!X4</f>
        <v>0</v>
      </c>
      <c r="AB11" s="129">
        <f>+Actuals!Y4</f>
        <v>0</v>
      </c>
      <c r="AC11" s="130">
        <f>+Actuals!Z4</f>
        <v>0</v>
      </c>
      <c r="AD11" s="129">
        <f>+Actuals!AA4</f>
        <v>0</v>
      </c>
      <c r="AE11" s="130">
        <f>+Actuals!AB4</f>
        <v>0</v>
      </c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55813.74</v>
      </c>
      <c r="F12" s="60">
        <f>'TIE-OUT'!P12+RECLASS!P12</f>
        <v>0</v>
      </c>
      <c r="G12" s="38">
        <f>'TIE-OUT'!Q12+RECLASS!Q12</f>
        <v>55813.74</v>
      </c>
      <c r="H12" s="129">
        <f>+Actuals!E5</f>
        <v>0</v>
      </c>
      <c r="I12" s="130">
        <f>+Actuals!F5</f>
        <v>0</v>
      </c>
      <c r="J12" s="129">
        <f>+Actuals!G5</f>
        <v>0</v>
      </c>
      <c r="K12" s="162">
        <f>+Actuals!H5</f>
        <v>0</v>
      </c>
      <c r="L12" s="129">
        <f>+Actuals!I5</f>
        <v>0</v>
      </c>
      <c r="M12" s="130">
        <f>+Actuals!J5</f>
        <v>0</v>
      </c>
      <c r="N12" s="129">
        <f>+Actuals!K5</f>
        <v>0</v>
      </c>
      <c r="O12" s="130">
        <f>+Actuals!L5</f>
        <v>0</v>
      </c>
      <c r="P12" s="129">
        <f>+Actuals!M5</f>
        <v>0</v>
      </c>
      <c r="Q12" s="130">
        <f>+Actuals!N5</f>
        <v>0</v>
      </c>
      <c r="R12" s="129">
        <f>+Actuals!O5</f>
        <v>0</v>
      </c>
      <c r="S12" s="130">
        <f>+Actuals!P5</f>
        <v>0</v>
      </c>
      <c r="T12" s="129">
        <f>+Actuals!Q5</f>
        <v>0</v>
      </c>
      <c r="U12" s="130">
        <f>+Actuals!R5</f>
        <v>0</v>
      </c>
      <c r="V12" s="129">
        <f>+Actuals!S5</f>
        <v>0</v>
      </c>
      <c r="W12" s="130">
        <f>+Actuals!T5</f>
        <v>0</v>
      </c>
      <c r="X12" s="129">
        <f>+Actuals!U5</f>
        <v>0</v>
      </c>
      <c r="Y12" s="130">
        <f>+Actuals!V5</f>
        <v>0</v>
      </c>
      <c r="Z12" s="129">
        <f>+Actuals!W5</f>
        <v>0</v>
      </c>
      <c r="AA12" s="130">
        <f>+Actuals!X5</f>
        <v>0</v>
      </c>
      <c r="AB12" s="129">
        <f>+Actuals!Y5</f>
        <v>0</v>
      </c>
      <c r="AC12" s="130">
        <f>+Actuals!Z5</f>
        <v>0</v>
      </c>
      <c r="AD12" s="129">
        <f>+Actuals!AA5</f>
        <v>0</v>
      </c>
      <c r="AE12" s="130">
        <f>+Actuals!AB5</f>
        <v>0</v>
      </c>
    </row>
    <row r="13" spans="1:31" x14ac:dyDescent="0.25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9">
        <f>+Actuals!E6</f>
        <v>0</v>
      </c>
      <c r="I13" s="130">
        <f>+Actuals!F6</f>
        <v>0</v>
      </c>
      <c r="J13" s="129">
        <f>+Actuals!G6</f>
        <v>0</v>
      </c>
      <c r="K13" s="149">
        <f>+Actuals!H6</f>
        <v>0</v>
      </c>
      <c r="L13" s="129">
        <f>+Actuals!I6</f>
        <v>0</v>
      </c>
      <c r="M13" s="130">
        <f>+Actuals!J6</f>
        <v>0</v>
      </c>
      <c r="N13" s="129">
        <f>+Actuals!K6</f>
        <v>0</v>
      </c>
      <c r="O13" s="130">
        <f>+Actuals!L6</f>
        <v>0</v>
      </c>
      <c r="P13" s="129">
        <f>+Actuals!M6</f>
        <v>0</v>
      </c>
      <c r="Q13" s="130">
        <f>+Actuals!N6</f>
        <v>0</v>
      </c>
      <c r="R13" s="129">
        <f>+Actuals!O6</f>
        <v>0</v>
      </c>
      <c r="S13" s="130">
        <f>+Actuals!P6</f>
        <v>0</v>
      </c>
      <c r="T13" s="129">
        <f>+Actuals!Q6</f>
        <v>0</v>
      </c>
      <c r="U13" s="130">
        <f>+Actuals!R6</f>
        <v>0</v>
      </c>
      <c r="V13" s="129">
        <f>+Actuals!S6</f>
        <v>0</v>
      </c>
      <c r="W13" s="130">
        <f>+Actuals!T6</f>
        <v>0</v>
      </c>
      <c r="X13" s="129">
        <f>+Actuals!U6</f>
        <v>0</v>
      </c>
      <c r="Y13" s="130">
        <f>+Actuals!V6</f>
        <v>0</v>
      </c>
      <c r="Z13" s="129">
        <f>+Actuals!W6</f>
        <v>0</v>
      </c>
      <c r="AA13" s="130">
        <f>+Actuals!X6</f>
        <v>0</v>
      </c>
      <c r="AB13" s="129">
        <f>+Actuals!Y6</f>
        <v>0</v>
      </c>
      <c r="AC13" s="130">
        <f>+Actuals!Z6</f>
        <v>0</v>
      </c>
      <c r="AD13" s="129">
        <f>+Actuals!AA6</f>
        <v>0</v>
      </c>
      <c r="AE13" s="130">
        <f>+Actuals!AB6</f>
        <v>0</v>
      </c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9">
        <f>+Actuals!E7</f>
        <v>0</v>
      </c>
      <c r="I14" s="130">
        <f>+Actuals!F7</f>
        <v>0</v>
      </c>
      <c r="J14" s="129">
        <f>+Actuals!G7</f>
        <v>0</v>
      </c>
      <c r="K14" s="149">
        <f>+Actuals!H7</f>
        <v>0</v>
      </c>
      <c r="L14" s="129">
        <f>+Actuals!I7</f>
        <v>0</v>
      </c>
      <c r="M14" s="130">
        <f>+Actuals!J7</f>
        <v>0</v>
      </c>
      <c r="N14" s="129">
        <f>+Actuals!K7</f>
        <v>0</v>
      </c>
      <c r="O14" s="130">
        <f>+Actuals!L7</f>
        <v>0</v>
      </c>
      <c r="P14" s="129">
        <f>+Actuals!M7</f>
        <v>0</v>
      </c>
      <c r="Q14" s="130">
        <f>+Actuals!N7</f>
        <v>0</v>
      </c>
      <c r="R14" s="129">
        <f>+Actuals!O7</f>
        <v>0</v>
      </c>
      <c r="S14" s="130">
        <f>+Actuals!P7</f>
        <v>0</v>
      </c>
      <c r="T14" s="129">
        <f>+Actuals!Q7</f>
        <v>0</v>
      </c>
      <c r="U14" s="130">
        <f>+Actuals!R7</f>
        <v>0</v>
      </c>
      <c r="V14" s="129">
        <f>+Actuals!S7</f>
        <v>0</v>
      </c>
      <c r="W14" s="130">
        <f>+Actuals!T7</f>
        <v>0</v>
      </c>
      <c r="X14" s="129">
        <f>+Actuals!U7</f>
        <v>0</v>
      </c>
      <c r="Y14" s="130">
        <f>+Actuals!V7</f>
        <v>0</v>
      </c>
      <c r="Z14" s="129">
        <f>+Actuals!W7</f>
        <v>0</v>
      </c>
      <c r="AA14" s="130">
        <f>+Actuals!X7</f>
        <v>0</v>
      </c>
      <c r="AB14" s="129">
        <f>+Actuals!Y7</f>
        <v>0</v>
      </c>
      <c r="AC14" s="130">
        <f>+Actuals!Z7</f>
        <v>0</v>
      </c>
      <c r="AD14" s="129">
        <f>+Actuals!AA7</f>
        <v>0</v>
      </c>
      <c r="AE14" s="130">
        <f>+Actuals!AB7</f>
        <v>0</v>
      </c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9">
        <f>+Actuals!E8</f>
        <v>0</v>
      </c>
      <c r="I15" s="130">
        <f>+Actuals!F8</f>
        <v>0</v>
      </c>
      <c r="J15" s="129">
        <f>+Actuals!G8</f>
        <v>0</v>
      </c>
      <c r="K15" s="149">
        <f>+Actuals!H8</f>
        <v>0</v>
      </c>
      <c r="L15" s="129">
        <f>+Actuals!I8</f>
        <v>0</v>
      </c>
      <c r="M15" s="130">
        <f>+Actuals!J8</f>
        <v>0</v>
      </c>
      <c r="N15" s="129">
        <f>+Actuals!K8</f>
        <v>0</v>
      </c>
      <c r="O15" s="130">
        <f>+Actuals!L8</f>
        <v>0</v>
      </c>
      <c r="P15" s="129">
        <f>+Actuals!M8</f>
        <v>0</v>
      </c>
      <c r="Q15" s="130">
        <f>+Actuals!N8</f>
        <v>0</v>
      </c>
      <c r="R15" s="129">
        <f>+Actuals!O8</f>
        <v>0</v>
      </c>
      <c r="S15" s="130">
        <f>+Actuals!P8</f>
        <v>0</v>
      </c>
      <c r="T15" s="129">
        <f>+Actuals!Q8</f>
        <v>0</v>
      </c>
      <c r="U15" s="130">
        <f>+Actuals!R8</f>
        <v>0</v>
      </c>
      <c r="V15" s="129">
        <f>+Actuals!S8</f>
        <v>0</v>
      </c>
      <c r="W15" s="130">
        <f>+Actuals!T8</f>
        <v>0</v>
      </c>
      <c r="X15" s="129">
        <f>+Actuals!U8</f>
        <v>0</v>
      </c>
      <c r="Y15" s="130">
        <f>+Actuals!V8</f>
        <v>0</v>
      </c>
      <c r="Z15" s="129">
        <f>+Actuals!W8</f>
        <v>0</v>
      </c>
      <c r="AA15" s="130">
        <f>+Actuals!X8</f>
        <v>0</v>
      </c>
      <c r="AB15" s="129">
        <f>+Actuals!Y8</f>
        <v>0</v>
      </c>
      <c r="AC15" s="130">
        <f>+Actuals!Z8</f>
        <v>0</v>
      </c>
      <c r="AD15" s="129">
        <f>+Actuals!AA8</f>
        <v>0</v>
      </c>
      <c r="AE15" s="130">
        <f>+Actuals!AB8</f>
        <v>0</v>
      </c>
    </row>
    <row r="16" spans="1:31" x14ac:dyDescent="0.25">
      <c r="A16" s="9"/>
      <c r="B16" s="7" t="s">
        <v>31</v>
      </c>
      <c r="C16" s="6"/>
      <c r="D16" s="61">
        <f>SUM(D11:D15)</f>
        <v>699942</v>
      </c>
      <c r="E16" s="39">
        <f>SUM(E11:E15)</f>
        <v>1586510.3</v>
      </c>
      <c r="F16" s="61">
        <f t="shared" ref="F16:AE16" si="1">SUM(F11:F15)</f>
        <v>0</v>
      </c>
      <c r="G16" s="39">
        <f t="shared" si="1"/>
        <v>55813.74</v>
      </c>
      <c r="H16" s="61">
        <f t="shared" si="1"/>
        <v>682365</v>
      </c>
      <c r="I16" s="39">
        <f t="shared" si="1"/>
        <v>1430368.19</v>
      </c>
      <c r="J16" s="61">
        <f t="shared" si="1"/>
        <v>17577</v>
      </c>
      <c r="K16" s="150">
        <f t="shared" si="1"/>
        <v>100328.37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-434000</v>
      </c>
      <c r="E19" s="38">
        <f t="shared" si="3"/>
        <v>-974329.98</v>
      </c>
      <c r="F19" s="64">
        <f>'TIE-OUT'!P19+RECLASS!P19</f>
        <v>0</v>
      </c>
      <c r="G19" s="68">
        <f>'TIE-OUT'!Q19+RECLASS!Q19</f>
        <v>0</v>
      </c>
      <c r="H19" s="129">
        <f>+Actuals!E9</f>
        <v>-681024</v>
      </c>
      <c r="I19" s="130">
        <f>+Actuals!F9</f>
        <v>-1530133.98</v>
      </c>
      <c r="J19" s="129">
        <f>+Actuals!G9</f>
        <v>247024</v>
      </c>
      <c r="K19" s="149">
        <f>+Actuals!H9</f>
        <v>555804</v>
      </c>
      <c r="L19" s="129">
        <f>+Actuals!I9</f>
        <v>0</v>
      </c>
      <c r="M19" s="130">
        <f>+Actuals!J9</f>
        <v>0</v>
      </c>
      <c r="N19" s="129">
        <f>+Actuals!K9</f>
        <v>0</v>
      </c>
      <c r="O19" s="130">
        <f>+Actuals!L9</f>
        <v>0</v>
      </c>
      <c r="P19" s="129">
        <f>+Actuals!M9</f>
        <v>0</v>
      </c>
      <c r="Q19" s="130">
        <f>+Actuals!N9</f>
        <v>0</v>
      </c>
      <c r="R19" s="129">
        <f>+Actuals!O9</f>
        <v>0</v>
      </c>
      <c r="S19" s="130">
        <f>+Actuals!P9</f>
        <v>0</v>
      </c>
      <c r="T19" s="129">
        <f>+Actuals!Q9</f>
        <v>0</v>
      </c>
      <c r="U19" s="130">
        <f>+Actuals!R9</f>
        <v>0</v>
      </c>
      <c r="V19" s="129">
        <f>+Actuals!S9</f>
        <v>0</v>
      </c>
      <c r="W19" s="130">
        <f>+Actuals!T9</f>
        <v>0</v>
      </c>
      <c r="X19" s="129">
        <f>+Actuals!U9</f>
        <v>0</v>
      </c>
      <c r="Y19" s="130">
        <f>+Actuals!V9</f>
        <v>0</v>
      </c>
      <c r="Z19" s="129">
        <f>+Actuals!W9</f>
        <v>0</v>
      </c>
      <c r="AA19" s="130">
        <f>+Actuals!X9</f>
        <v>0</v>
      </c>
      <c r="AB19" s="129">
        <f>+Actuals!Y9</f>
        <v>0</v>
      </c>
      <c r="AC19" s="130">
        <f>+Actuals!Z9</f>
        <v>0</v>
      </c>
      <c r="AD19" s="129">
        <f>+Actuals!AA9</f>
        <v>0</v>
      </c>
      <c r="AE19" s="130">
        <f>+Actuals!AB9</f>
        <v>0</v>
      </c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0</v>
      </c>
      <c r="F20" s="60">
        <f>'TIE-OUT'!P20+RECLASS!P20</f>
        <v>0</v>
      </c>
      <c r="G20" s="38">
        <f>'TIE-OUT'!Q20+RECLASS!Q20</f>
        <v>0</v>
      </c>
      <c r="H20" s="129">
        <f>+Actuals!E10</f>
        <v>0</v>
      </c>
      <c r="I20" s="130">
        <f>+Actuals!F10</f>
        <v>0</v>
      </c>
      <c r="J20" s="129">
        <f>+Actuals!G10</f>
        <v>0</v>
      </c>
      <c r="K20" s="149">
        <f>+Actuals!H10</f>
        <v>0</v>
      </c>
      <c r="L20" s="129">
        <f>+Actuals!I10</f>
        <v>0</v>
      </c>
      <c r="M20" s="130">
        <f>+Actuals!J10</f>
        <v>0</v>
      </c>
      <c r="N20" s="129">
        <f>+Actuals!K10</f>
        <v>0</v>
      </c>
      <c r="O20" s="130">
        <f>+Actuals!L10</f>
        <v>0</v>
      </c>
      <c r="P20" s="129">
        <f>+Actuals!M10</f>
        <v>0</v>
      </c>
      <c r="Q20" s="130">
        <f>+Actuals!N10</f>
        <v>0</v>
      </c>
      <c r="R20" s="129">
        <f>+Actuals!O10</f>
        <v>0</v>
      </c>
      <c r="S20" s="130">
        <f>+Actuals!P10</f>
        <v>0</v>
      </c>
      <c r="T20" s="129">
        <f>+Actuals!Q10</f>
        <v>0</v>
      </c>
      <c r="U20" s="130">
        <f>+Actuals!R10</f>
        <v>0</v>
      </c>
      <c r="V20" s="129">
        <f>+Actuals!S10</f>
        <v>0</v>
      </c>
      <c r="W20" s="130">
        <f>+Actuals!T10</f>
        <v>0</v>
      </c>
      <c r="X20" s="129">
        <f>+Actuals!U10</f>
        <v>0</v>
      </c>
      <c r="Y20" s="130">
        <f>+Actuals!V10</f>
        <v>0</v>
      </c>
      <c r="Z20" s="129">
        <f>+Actuals!W10</f>
        <v>0</v>
      </c>
      <c r="AA20" s="130">
        <f>+Actuals!X10</f>
        <v>0</v>
      </c>
      <c r="AB20" s="129">
        <f>+Actuals!Y10</f>
        <v>0</v>
      </c>
      <c r="AC20" s="130">
        <f>+Actuals!Z10</f>
        <v>0</v>
      </c>
      <c r="AD20" s="129">
        <f>+Actuals!AA10</f>
        <v>0</v>
      </c>
      <c r="AE20" s="130">
        <f>+Actuals!AB10</f>
        <v>0</v>
      </c>
    </row>
    <row r="21" spans="1:31" x14ac:dyDescent="0.25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9">
        <f>+Actuals!E11</f>
        <v>0</v>
      </c>
      <c r="I21" s="130">
        <f>+Actuals!F11</f>
        <v>0</v>
      </c>
      <c r="J21" s="129">
        <f>+Actuals!G11</f>
        <v>0</v>
      </c>
      <c r="K21" s="149">
        <f>+Actuals!H11</f>
        <v>0</v>
      </c>
      <c r="L21" s="129">
        <f>+Actuals!I11</f>
        <v>0</v>
      </c>
      <c r="M21" s="130">
        <f>+Actuals!J11</f>
        <v>0</v>
      </c>
      <c r="N21" s="129">
        <f>+Actuals!K11</f>
        <v>0</v>
      </c>
      <c r="O21" s="130">
        <f>+Actuals!L11</f>
        <v>0</v>
      </c>
      <c r="P21" s="129">
        <f>+Actuals!M11</f>
        <v>0</v>
      </c>
      <c r="Q21" s="130">
        <f>+Actuals!N11</f>
        <v>0</v>
      </c>
      <c r="R21" s="129">
        <f>+Actuals!O11</f>
        <v>0</v>
      </c>
      <c r="S21" s="130">
        <f>+Actuals!P11</f>
        <v>0</v>
      </c>
      <c r="T21" s="129">
        <f>+Actuals!Q11</f>
        <v>0</v>
      </c>
      <c r="U21" s="130">
        <f>+Actuals!R11</f>
        <v>0</v>
      </c>
      <c r="V21" s="129">
        <f>+Actuals!S11</f>
        <v>0</v>
      </c>
      <c r="W21" s="130">
        <f>+Actuals!T11</f>
        <v>0</v>
      </c>
      <c r="X21" s="129">
        <f>+Actuals!U11</f>
        <v>0</v>
      </c>
      <c r="Y21" s="130">
        <f>+Actuals!V11</f>
        <v>0</v>
      </c>
      <c r="Z21" s="129">
        <f>+Actuals!W11</f>
        <v>0</v>
      </c>
      <c r="AA21" s="130">
        <f>+Actuals!X11</f>
        <v>0</v>
      </c>
      <c r="AB21" s="129">
        <f>+Actuals!Y11</f>
        <v>0</v>
      </c>
      <c r="AC21" s="130">
        <f>+Actuals!Z11</f>
        <v>0</v>
      </c>
      <c r="AD21" s="129">
        <f>+Actuals!AA11</f>
        <v>0</v>
      </c>
      <c r="AE21" s="130">
        <f>+Actuals!AB11</f>
        <v>0</v>
      </c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9">
        <f>+Actuals!E12</f>
        <v>0</v>
      </c>
      <c r="I22" s="130">
        <f>+Actuals!F12</f>
        <v>0</v>
      </c>
      <c r="J22" s="129">
        <f>+Actuals!G12</f>
        <v>0</v>
      </c>
      <c r="K22" s="149">
        <f>+Actuals!H12</f>
        <v>0</v>
      </c>
      <c r="L22" s="129">
        <f>+Actuals!I12</f>
        <v>0</v>
      </c>
      <c r="M22" s="130">
        <f>+Actuals!J12</f>
        <v>0</v>
      </c>
      <c r="N22" s="129">
        <f>+Actuals!K12</f>
        <v>0</v>
      </c>
      <c r="O22" s="130">
        <f>+Actuals!L12</f>
        <v>0</v>
      </c>
      <c r="P22" s="129">
        <f>+Actuals!M12</f>
        <v>0</v>
      </c>
      <c r="Q22" s="130">
        <f>+Actuals!N12</f>
        <v>0</v>
      </c>
      <c r="R22" s="129">
        <f>+Actuals!O12</f>
        <v>0</v>
      </c>
      <c r="S22" s="130">
        <f>+Actuals!P12</f>
        <v>0</v>
      </c>
      <c r="T22" s="129">
        <f>+Actuals!Q12</f>
        <v>0</v>
      </c>
      <c r="U22" s="130">
        <f>+Actuals!R12</f>
        <v>0</v>
      </c>
      <c r="V22" s="129">
        <f>+Actuals!S12</f>
        <v>0</v>
      </c>
      <c r="W22" s="130">
        <f>+Actuals!T12</f>
        <v>0</v>
      </c>
      <c r="X22" s="129">
        <f>+Actuals!U12</f>
        <v>0</v>
      </c>
      <c r="Y22" s="130">
        <f>+Actuals!V12</f>
        <v>0</v>
      </c>
      <c r="Z22" s="129">
        <f>+Actuals!W12</f>
        <v>0</v>
      </c>
      <c r="AA22" s="130">
        <f>+Actuals!X12</f>
        <v>0</v>
      </c>
      <c r="AB22" s="129">
        <f>+Actuals!Y12</f>
        <v>0</v>
      </c>
      <c r="AC22" s="130">
        <f>+Actuals!Z12</f>
        <v>0</v>
      </c>
      <c r="AD22" s="129">
        <f>+Actuals!AA12</f>
        <v>0</v>
      </c>
      <c r="AE22" s="130">
        <f>+Actuals!AB12</f>
        <v>0</v>
      </c>
    </row>
    <row r="23" spans="1:31" x14ac:dyDescent="0.25">
      <c r="A23" s="9">
        <v>10</v>
      </c>
      <c r="B23" s="7"/>
      <c r="C23" s="18" t="s">
        <v>33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9">
        <f>+Actuals!E13</f>
        <v>0</v>
      </c>
      <c r="I23" s="130">
        <f>+Actuals!F13</f>
        <v>0</v>
      </c>
      <c r="J23" s="129">
        <f>+Actuals!G13</f>
        <v>0</v>
      </c>
      <c r="K23" s="149">
        <f>+Actuals!H13</f>
        <v>0</v>
      </c>
      <c r="L23" s="129">
        <f>+Actuals!I13</f>
        <v>0</v>
      </c>
      <c r="M23" s="130">
        <f>+Actuals!J13</f>
        <v>0</v>
      </c>
      <c r="N23" s="129">
        <f>+Actuals!K13</f>
        <v>0</v>
      </c>
      <c r="O23" s="130">
        <f>+Actuals!L13</f>
        <v>0</v>
      </c>
      <c r="P23" s="129">
        <f>+Actuals!M13</f>
        <v>0</v>
      </c>
      <c r="Q23" s="130">
        <f>+Actuals!N13</f>
        <v>0</v>
      </c>
      <c r="R23" s="129">
        <f>+Actuals!O13</f>
        <v>0</v>
      </c>
      <c r="S23" s="130">
        <f>+Actuals!P13</f>
        <v>0</v>
      </c>
      <c r="T23" s="129">
        <f>+Actuals!Q13</f>
        <v>0</v>
      </c>
      <c r="U23" s="130">
        <f>+Actuals!R13</f>
        <v>0</v>
      </c>
      <c r="V23" s="129">
        <f>+Actuals!S13</f>
        <v>0</v>
      </c>
      <c r="W23" s="130">
        <f>+Actuals!T13</f>
        <v>0</v>
      </c>
      <c r="X23" s="129">
        <f>+Actuals!U13</f>
        <v>0</v>
      </c>
      <c r="Y23" s="130">
        <f>+Actuals!V13</f>
        <v>0</v>
      </c>
      <c r="Z23" s="129">
        <f>+Actuals!W13</f>
        <v>0</v>
      </c>
      <c r="AA23" s="130">
        <f>+Actuals!X13</f>
        <v>0</v>
      </c>
      <c r="AB23" s="129">
        <f>+Actuals!Y13</f>
        <v>0</v>
      </c>
      <c r="AC23" s="130">
        <f>+Actuals!Z13</f>
        <v>0</v>
      </c>
      <c r="AD23" s="129">
        <f>+Actuals!AA13</f>
        <v>0</v>
      </c>
      <c r="AE23" s="130">
        <f>+Actuals!AB13</f>
        <v>0</v>
      </c>
    </row>
    <row r="24" spans="1:31" x14ac:dyDescent="0.25">
      <c r="A24" s="9"/>
      <c r="B24" s="7" t="s">
        <v>34</v>
      </c>
      <c r="C24" s="6"/>
      <c r="D24" s="61">
        <f>SUM(D19:D23)</f>
        <v>-434000</v>
      </c>
      <c r="E24" s="39">
        <f>SUM(E19:E23)</f>
        <v>-974329.98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-681024</v>
      </c>
      <c r="I24" s="39">
        <f t="shared" si="4"/>
        <v>-1530133.98</v>
      </c>
      <c r="J24" s="61">
        <f t="shared" si="4"/>
        <v>247024</v>
      </c>
      <c r="K24" s="150">
        <f t="shared" si="4"/>
        <v>555804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-258936</v>
      </c>
      <c r="E27" s="38">
        <f>SUM(G27,I27,K27,M27,O27,Q27,S27,U27,W27,Y27,AA27,AC27,AE27)</f>
        <v>-575069.03749999998</v>
      </c>
      <c r="F27" s="64">
        <f>'TIE-OUT'!P27+RECLASS!P27</f>
        <v>0</v>
      </c>
      <c r="G27" s="68">
        <f>'TIE-OUT'!Q27+RECLASS!Q27</f>
        <v>0</v>
      </c>
      <c r="H27" s="129">
        <f>+Actuals!E14</f>
        <v>0</v>
      </c>
      <c r="I27" s="130">
        <f>+Actuals!F14</f>
        <v>0</v>
      </c>
      <c r="J27" s="129">
        <f>+Actuals!G14</f>
        <v>-249632</v>
      </c>
      <c r="K27" s="149">
        <f>+Actuals!H14</f>
        <v>-554608.68770000001</v>
      </c>
      <c r="L27" s="129">
        <f>+Actuals!I14</f>
        <v>-18205</v>
      </c>
      <c r="M27" s="130">
        <f>+Actuals!J14</f>
        <v>-40446.1414</v>
      </c>
      <c r="N27" s="129">
        <f>+Actuals!K14</f>
        <v>8157</v>
      </c>
      <c r="O27" s="130">
        <f>+Actuals!L14</f>
        <v>18315.2569</v>
      </c>
      <c r="P27" s="129">
        <f>+Actuals!M14</f>
        <v>0</v>
      </c>
      <c r="Q27" s="130">
        <f>+Actuals!N14</f>
        <v>0</v>
      </c>
      <c r="R27" s="129">
        <f>+Actuals!O14</f>
        <v>0</v>
      </c>
      <c r="S27" s="130">
        <f>+Actuals!P14</f>
        <v>0</v>
      </c>
      <c r="T27" s="129">
        <f>+Actuals!Q14</f>
        <v>0</v>
      </c>
      <c r="U27" s="130">
        <f>+Actuals!R14</f>
        <v>0</v>
      </c>
      <c r="V27" s="129">
        <f>+Actuals!S14</f>
        <v>0</v>
      </c>
      <c r="W27" s="130">
        <f>+Actuals!T14</f>
        <v>0</v>
      </c>
      <c r="X27" s="129">
        <f>+Actuals!U14</f>
        <v>0</v>
      </c>
      <c r="Y27" s="130">
        <f>+Actuals!V14</f>
        <v>0</v>
      </c>
      <c r="Z27" s="129">
        <f>+Actuals!W14</f>
        <v>744</v>
      </c>
      <c r="AA27" s="130">
        <f>+Actuals!X14</f>
        <v>1670.5346999999999</v>
      </c>
      <c r="AB27" s="129">
        <f>+Actuals!Y14</f>
        <v>0</v>
      </c>
      <c r="AC27" s="130">
        <f>+Actuals!Z14</f>
        <v>0</v>
      </c>
      <c r="AD27" s="129">
        <f>+Actuals!AA14</f>
        <v>0</v>
      </c>
      <c r="AE27" s="130">
        <f>+Actuals!AB14</f>
        <v>0</v>
      </c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-7006</v>
      </c>
      <c r="E28" s="38">
        <f>SUM(G28,I28,K28,M28,O28,Q28,S28,U28,W28,Y28,AA28,AC28,AE28)</f>
        <v>-15899.49</v>
      </c>
      <c r="F28" s="81">
        <f>'TIE-OUT'!P28+RECLASS!P28</f>
        <v>0</v>
      </c>
      <c r="G28" s="82">
        <f>'TIE-OUT'!Q28+RECLASS!Q28</f>
        <v>0</v>
      </c>
      <c r="H28" s="129">
        <f>+Actuals!E15</f>
        <v>-1341</v>
      </c>
      <c r="I28" s="130">
        <f>+Actuals!F15</f>
        <v>-3016.43</v>
      </c>
      <c r="J28" s="129">
        <f>+Actuals!G15</f>
        <v>-4921</v>
      </c>
      <c r="K28" s="149">
        <f>+Actuals!H15</f>
        <v>-11192.47</v>
      </c>
      <c r="L28" s="129">
        <f>+Actuals!I15</f>
        <v>0</v>
      </c>
      <c r="M28" s="130">
        <f>+Actuals!J15</f>
        <v>0</v>
      </c>
      <c r="N28" s="129">
        <f>+Actuals!K15</f>
        <v>0</v>
      </c>
      <c r="O28" s="130">
        <f>+Actuals!L15</f>
        <v>0</v>
      </c>
      <c r="P28" s="129">
        <f>+Actuals!M15</f>
        <v>0</v>
      </c>
      <c r="Q28" s="130">
        <f>+Actuals!N15</f>
        <v>0</v>
      </c>
      <c r="R28" s="129">
        <f>+Actuals!O15</f>
        <v>0</v>
      </c>
      <c r="S28" s="130">
        <f>+Actuals!P15</f>
        <v>0</v>
      </c>
      <c r="T28" s="129">
        <f>+Actuals!Q15</f>
        <v>0</v>
      </c>
      <c r="U28" s="130">
        <f>+Actuals!R15</f>
        <v>0</v>
      </c>
      <c r="V28" s="129">
        <f>+Actuals!S15</f>
        <v>0</v>
      </c>
      <c r="W28" s="130">
        <f>+Actuals!T15</f>
        <v>0</v>
      </c>
      <c r="X28" s="129">
        <f>+Actuals!U15</f>
        <v>0</v>
      </c>
      <c r="Y28" s="130">
        <f>+Actuals!V15</f>
        <v>0</v>
      </c>
      <c r="Z28" s="129">
        <f>+Actuals!W15</f>
        <v>-744</v>
      </c>
      <c r="AA28" s="130">
        <f>+Actuals!X15</f>
        <v>-1690.59</v>
      </c>
      <c r="AB28" s="129">
        <f>+Actuals!Y15</f>
        <v>0</v>
      </c>
      <c r="AC28" s="130">
        <f>+Actuals!Z15</f>
        <v>0</v>
      </c>
      <c r="AD28" s="129">
        <f>+Actuals!AA15</f>
        <v>0</v>
      </c>
      <c r="AE28" s="130">
        <f>+Actuals!AB15</f>
        <v>0</v>
      </c>
    </row>
    <row r="29" spans="1:31" x14ac:dyDescent="0.25">
      <c r="A29" s="9"/>
      <c r="B29" s="7" t="s">
        <v>38</v>
      </c>
      <c r="C29" s="18"/>
      <c r="D29" s="61">
        <f>SUM(D27:D28)</f>
        <v>-265942</v>
      </c>
      <c r="E29" s="39">
        <f>SUM(E27:E28)</f>
        <v>-590968.52749999997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-1341</v>
      </c>
      <c r="I29" s="39">
        <f t="shared" si="6"/>
        <v>-3016.43</v>
      </c>
      <c r="J29" s="61">
        <f t="shared" si="6"/>
        <v>-254553</v>
      </c>
      <c r="K29" s="150">
        <f t="shared" si="6"/>
        <v>-565801.15769999998</v>
      </c>
      <c r="L29" s="61">
        <f t="shared" si="6"/>
        <v>-18205</v>
      </c>
      <c r="M29" s="39">
        <f t="shared" si="6"/>
        <v>-40446.1414</v>
      </c>
      <c r="N29" s="61">
        <f t="shared" si="6"/>
        <v>8157</v>
      </c>
      <c r="O29" s="39">
        <f t="shared" si="6"/>
        <v>18315.2569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-20.055299999999988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'TIE-OUT'!P32+RECLASS!P32</f>
        <v>0</v>
      </c>
      <c r="G32" s="68">
        <f>'TIE-OUT'!Q32+RECLASS!Q32</f>
        <v>0</v>
      </c>
      <c r="H32" s="129">
        <f>+Actuals!E16</f>
        <v>0</v>
      </c>
      <c r="I32" s="130">
        <f>+Actuals!F16</f>
        <v>0</v>
      </c>
      <c r="J32" s="129">
        <f>+Actuals!G16</f>
        <v>-10048</v>
      </c>
      <c r="K32" s="149">
        <f>+Actuals!H16</f>
        <v>-22608</v>
      </c>
      <c r="L32" s="129">
        <f>+Actuals!I16</f>
        <v>18205</v>
      </c>
      <c r="M32" s="130">
        <f>+Actuals!J16</f>
        <v>43710.159</v>
      </c>
      <c r="N32" s="129">
        <f>+Actuals!K16</f>
        <v>-8157</v>
      </c>
      <c r="O32" s="130">
        <f>+Actuals!L16</f>
        <v>-21102.159</v>
      </c>
      <c r="P32" s="129">
        <f>+Actuals!M16</f>
        <v>0</v>
      </c>
      <c r="Q32" s="130">
        <f>+Actuals!N16</f>
        <v>0</v>
      </c>
      <c r="R32" s="129">
        <f>+Actuals!O16</f>
        <v>0</v>
      </c>
      <c r="S32" s="130">
        <f>+Actuals!P16</f>
        <v>0</v>
      </c>
      <c r="T32" s="129">
        <f>+Actuals!Q16</f>
        <v>0</v>
      </c>
      <c r="U32" s="130">
        <f>+Actuals!R16</f>
        <v>0</v>
      </c>
      <c r="V32" s="129">
        <f>+Actuals!S16</f>
        <v>0</v>
      </c>
      <c r="W32" s="130">
        <f>+Actuals!T16</f>
        <v>0</v>
      </c>
      <c r="X32" s="129">
        <f>+Actuals!U16</f>
        <v>0</v>
      </c>
      <c r="Y32" s="130">
        <f>+Actuals!V16</f>
        <v>0</v>
      </c>
      <c r="Z32" s="129">
        <f>+Actuals!W16</f>
        <v>0</v>
      </c>
      <c r="AA32" s="130">
        <f>+Actuals!X16</f>
        <v>0</v>
      </c>
      <c r="AB32" s="129">
        <f>+Actuals!Y16</f>
        <v>0</v>
      </c>
      <c r="AC32" s="130">
        <f>+Actuals!Z16</f>
        <v>0</v>
      </c>
      <c r="AD32" s="129">
        <f>+Actuals!AA16</f>
        <v>0</v>
      </c>
      <c r="AE32" s="130">
        <f>+Actuals!AB16</f>
        <v>0</v>
      </c>
    </row>
    <row r="33" spans="1:31" x14ac:dyDescent="0.25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9">
        <f>+Actuals!E17</f>
        <v>0</v>
      </c>
      <c r="I33" s="130">
        <f>+Actuals!F17</f>
        <v>0</v>
      </c>
      <c r="J33" s="129">
        <f>+Actuals!G17</f>
        <v>0</v>
      </c>
      <c r="K33" s="149">
        <f>+Actuals!H17</f>
        <v>0</v>
      </c>
      <c r="L33" s="129">
        <f>+Actuals!I17</f>
        <v>0</v>
      </c>
      <c r="M33" s="130">
        <f>+Actuals!J17</f>
        <v>0</v>
      </c>
      <c r="N33" s="129">
        <f>+Actuals!K17</f>
        <v>0</v>
      </c>
      <c r="O33" s="130">
        <f>+Actuals!L17</f>
        <v>0</v>
      </c>
      <c r="P33" s="129">
        <f>+Actuals!M17</f>
        <v>0</v>
      </c>
      <c r="Q33" s="130">
        <f>+Actuals!N17</f>
        <v>0</v>
      </c>
      <c r="R33" s="129">
        <f>+Actuals!O17</f>
        <v>0</v>
      </c>
      <c r="S33" s="130">
        <f>+Actuals!P17</f>
        <v>0</v>
      </c>
      <c r="T33" s="129">
        <f>+Actuals!Q17</f>
        <v>0</v>
      </c>
      <c r="U33" s="130">
        <f>+Actuals!R17</f>
        <v>0</v>
      </c>
      <c r="V33" s="129">
        <f>+Actuals!S17</f>
        <v>0</v>
      </c>
      <c r="W33" s="130">
        <f>+Actuals!T17</f>
        <v>0</v>
      </c>
      <c r="X33" s="129">
        <f>+Actuals!U17</f>
        <v>0</v>
      </c>
      <c r="Y33" s="130">
        <f>+Actuals!V17</f>
        <v>0</v>
      </c>
      <c r="Z33" s="129">
        <f>+Actuals!W17</f>
        <v>0</v>
      </c>
      <c r="AA33" s="130">
        <f>+Actuals!X17</f>
        <v>0</v>
      </c>
      <c r="AB33" s="129">
        <f>+Actuals!Y17</f>
        <v>0</v>
      </c>
      <c r="AC33" s="130">
        <f>+Actuals!Z17</f>
        <v>0</v>
      </c>
      <c r="AD33" s="129">
        <f>+Actuals!AA17</f>
        <v>0</v>
      </c>
      <c r="AE33" s="130">
        <f>+Actuals!AB17</f>
        <v>0</v>
      </c>
    </row>
    <row r="34" spans="1:31" x14ac:dyDescent="0.25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9">
        <f>+Actuals!E18</f>
        <v>0</v>
      </c>
      <c r="I34" s="130">
        <f>+Actuals!F18</f>
        <v>0</v>
      </c>
      <c r="J34" s="129">
        <f>+Actuals!G18</f>
        <v>0</v>
      </c>
      <c r="K34" s="149">
        <f>+Actuals!H18</f>
        <v>0</v>
      </c>
      <c r="L34" s="129">
        <f>+Actuals!I18</f>
        <v>0</v>
      </c>
      <c r="M34" s="130">
        <f>+Actuals!J18</f>
        <v>0</v>
      </c>
      <c r="N34" s="129">
        <f>+Actuals!K18</f>
        <v>0</v>
      </c>
      <c r="O34" s="130">
        <f>+Actuals!L18</f>
        <v>0</v>
      </c>
      <c r="P34" s="129">
        <f>+Actuals!M18</f>
        <v>0</v>
      </c>
      <c r="Q34" s="130">
        <f>+Actuals!N18</f>
        <v>0</v>
      </c>
      <c r="R34" s="129">
        <f>+Actuals!O18</f>
        <v>0</v>
      </c>
      <c r="S34" s="130">
        <f>+Actuals!P18</f>
        <v>0</v>
      </c>
      <c r="T34" s="129">
        <f>+Actuals!Q18</f>
        <v>0</v>
      </c>
      <c r="U34" s="130">
        <f>+Actuals!R18</f>
        <v>0</v>
      </c>
      <c r="V34" s="129">
        <f>+Actuals!S18</f>
        <v>0</v>
      </c>
      <c r="W34" s="130">
        <f>+Actuals!T18</f>
        <v>0</v>
      </c>
      <c r="X34" s="129">
        <f>+Actuals!U18</f>
        <v>0</v>
      </c>
      <c r="Y34" s="130">
        <f>+Actuals!V18</f>
        <v>0</v>
      </c>
      <c r="Z34" s="129">
        <f>+Actuals!W18</f>
        <v>0</v>
      </c>
      <c r="AA34" s="130">
        <f>+Actuals!X18</f>
        <v>0</v>
      </c>
      <c r="AB34" s="129">
        <f>+Actuals!Y18</f>
        <v>0</v>
      </c>
      <c r="AC34" s="130">
        <f>+Actuals!Z18</f>
        <v>0</v>
      </c>
      <c r="AD34" s="129">
        <f>+Actuals!AA18</f>
        <v>0</v>
      </c>
      <c r="AE34" s="130">
        <f>+Actuals!AB18</f>
        <v>0</v>
      </c>
    </row>
    <row r="35" spans="1:31" x14ac:dyDescent="0.25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9">
        <f>+Actuals!E19</f>
        <v>0</v>
      </c>
      <c r="I35" s="130">
        <f>+Actuals!F19</f>
        <v>0</v>
      </c>
      <c r="J35" s="129">
        <f>+Actuals!G19</f>
        <v>0</v>
      </c>
      <c r="K35" s="149">
        <f>+Actuals!H19</f>
        <v>0</v>
      </c>
      <c r="L35" s="129">
        <f>+Actuals!I19</f>
        <v>0</v>
      </c>
      <c r="M35" s="130">
        <f>+Actuals!J19</f>
        <v>0</v>
      </c>
      <c r="N35" s="129">
        <f>+Actuals!K19</f>
        <v>0</v>
      </c>
      <c r="O35" s="130">
        <f>+Actuals!L19</f>
        <v>0</v>
      </c>
      <c r="P35" s="129">
        <f>+Actuals!M19</f>
        <v>0</v>
      </c>
      <c r="Q35" s="130">
        <f>+Actuals!N19</f>
        <v>0</v>
      </c>
      <c r="R35" s="129">
        <f>+Actuals!O19</f>
        <v>0</v>
      </c>
      <c r="S35" s="130">
        <f>+Actuals!P19</f>
        <v>0</v>
      </c>
      <c r="T35" s="129">
        <f>+Actuals!Q19</f>
        <v>0</v>
      </c>
      <c r="U35" s="130">
        <f>+Actuals!R19</f>
        <v>0</v>
      </c>
      <c r="V35" s="129">
        <f>+Actuals!S19</f>
        <v>0</v>
      </c>
      <c r="W35" s="130">
        <f>+Actuals!T19</f>
        <v>0</v>
      </c>
      <c r="X35" s="129">
        <f>+Actuals!U19</f>
        <v>0</v>
      </c>
      <c r="Y35" s="130">
        <f>+Actuals!V19</f>
        <v>0</v>
      </c>
      <c r="Z35" s="129">
        <f>+Actuals!W19</f>
        <v>0</v>
      </c>
      <c r="AA35" s="130">
        <f>+Actuals!X19</f>
        <v>0</v>
      </c>
      <c r="AB35" s="129">
        <f>+Actuals!Y19</f>
        <v>0</v>
      </c>
      <c r="AC35" s="130">
        <f>+Actuals!Z19</f>
        <v>0</v>
      </c>
      <c r="AD35" s="129">
        <f>+Actuals!AA19</f>
        <v>0</v>
      </c>
      <c r="AE35" s="130">
        <f>+Actuals!AB19</f>
        <v>0</v>
      </c>
    </row>
    <row r="36" spans="1:31" x14ac:dyDescent="0.25">
      <c r="A36" s="9"/>
      <c r="B36" s="7" t="s">
        <v>44</v>
      </c>
      <c r="C36" s="6"/>
      <c r="D36" s="61">
        <f>SUM(D32:D35)</f>
        <v>0</v>
      </c>
      <c r="E36" s="39">
        <f>SUM(E32:E35)</f>
        <v>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-10048</v>
      </c>
      <c r="K36" s="150">
        <f t="shared" si="9"/>
        <v>-22608</v>
      </c>
      <c r="L36" s="61">
        <f t="shared" si="9"/>
        <v>18205</v>
      </c>
      <c r="M36" s="39">
        <f t="shared" si="9"/>
        <v>43710.159</v>
      </c>
      <c r="N36" s="61">
        <f t="shared" si="9"/>
        <v>-8157</v>
      </c>
      <c r="O36" s="39">
        <f t="shared" si="9"/>
        <v>-21102.159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29">
        <f>+Actuals!E20</f>
        <v>0</v>
      </c>
      <c r="I39" s="130">
        <f>+Actuals!F20</f>
        <v>0</v>
      </c>
      <c r="J39" s="129">
        <f>+Actuals!G20</f>
        <v>0</v>
      </c>
      <c r="K39" s="149">
        <f>+Actuals!H20</f>
        <v>0</v>
      </c>
      <c r="L39" s="129">
        <f>+Actuals!I20</f>
        <v>0</v>
      </c>
      <c r="M39" s="130">
        <f>+Actuals!J20</f>
        <v>0</v>
      </c>
      <c r="N39" s="129">
        <f>+Actuals!K20</f>
        <v>0</v>
      </c>
      <c r="O39" s="130">
        <f>+Actuals!L20</f>
        <v>0</v>
      </c>
      <c r="P39" s="129">
        <f>+Actuals!M20</f>
        <v>0</v>
      </c>
      <c r="Q39" s="130">
        <f>+Actuals!N20</f>
        <v>0</v>
      </c>
      <c r="R39" s="129">
        <f>+Actuals!O20</f>
        <v>0</v>
      </c>
      <c r="S39" s="130">
        <f>+Actuals!P20</f>
        <v>0</v>
      </c>
      <c r="T39" s="129">
        <f>+Actuals!Q20</f>
        <v>0</v>
      </c>
      <c r="U39" s="130">
        <f>+Actuals!R20</f>
        <v>0</v>
      </c>
      <c r="V39" s="129">
        <f>+Actuals!S20</f>
        <v>0</v>
      </c>
      <c r="W39" s="130">
        <f>+Actuals!T20</f>
        <v>0</v>
      </c>
      <c r="X39" s="129">
        <f>+Actuals!U20</f>
        <v>0</v>
      </c>
      <c r="Y39" s="130">
        <f>+Actuals!V20</f>
        <v>0</v>
      </c>
      <c r="Z39" s="129">
        <f>+Actuals!W20</f>
        <v>0</v>
      </c>
      <c r="AA39" s="130">
        <f>+Actuals!X20</f>
        <v>0</v>
      </c>
      <c r="AB39" s="129">
        <f>+Actuals!Y20</f>
        <v>0</v>
      </c>
      <c r="AC39" s="130">
        <f>+Actuals!Z20</f>
        <v>0</v>
      </c>
      <c r="AD39" s="129">
        <f>+Actuals!AA20</f>
        <v>0</v>
      </c>
      <c r="AE39" s="130">
        <f>+Actuals!AB20</f>
        <v>0</v>
      </c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9">
        <f>+Actuals!E21</f>
        <v>0</v>
      </c>
      <c r="I40" s="130">
        <f>+Actuals!F21</f>
        <v>0</v>
      </c>
      <c r="J40" s="129">
        <f>+Actuals!G21</f>
        <v>0</v>
      </c>
      <c r="K40" s="149">
        <f>+Actuals!H21</f>
        <v>0</v>
      </c>
      <c r="L40" s="129">
        <f>+Actuals!I21</f>
        <v>0</v>
      </c>
      <c r="M40" s="130">
        <f>+Actuals!J21</f>
        <v>0</v>
      </c>
      <c r="N40" s="129">
        <f>+Actuals!K21</f>
        <v>0</v>
      </c>
      <c r="O40" s="130">
        <f>+Actuals!L21</f>
        <v>0</v>
      </c>
      <c r="P40" s="129">
        <f>+Actuals!M21</f>
        <v>0</v>
      </c>
      <c r="Q40" s="130">
        <f>+Actuals!N21</f>
        <v>0</v>
      </c>
      <c r="R40" s="129">
        <f>+Actuals!O21</f>
        <v>0</v>
      </c>
      <c r="S40" s="130">
        <f>+Actuals!P21</f>
        <v>0</v>
      </c>
      <c r="T40" s="129">
        <f>+Actuals!Q21</f>
        <v>0</v>
      </c>
      <c r="U40" s="130">
        <f>+Actuals!R21</f>
        <v>0</v>
      </c>
      <c r="V40" s="129">
        <f>+Actuals!S21</f>
        <v>0</v>
      </c>
      <c r="W40" s="130">
        <f>+Actuals!T21</f>
        <v>0</v>
      </c>
      <c r="X40" s="129">
        <f>+Actuals!U21</f>
        <v>0</v>
      </c>
      <c r="Y40" s="130">
        <f>+Actuals!V21</f>
        <v>0</v>
      </c>
      <c r="Z40" s="129">
        <f>+Actuals!W21</f>
        <v>0</v>
      </c>
      <c r="AA40" s="130">
        <f>+Actuals!X21</f>
        <v>0</v>
      </c>
      <c r="AB40" s="129">
        <f>+Actuals!Y21</f>
        <v>0</v>
      </c>
      <c r="AC40" s="130">
        <f>+Actuals!Z21</f>
        <v>0</v>
      </c>
      <c r="AD40" s="129">
        <f>+Actuals!AA21</f>
        <v>0</v>
      </c>
      <c r="AE40" s="130">
        <f>+Actuals!AB21</f>
        <v>0</v>
      </c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9">
        <f>+Actuals!E22</f>
        <v>0</v>
      </c>
      <c r="I41" s="130">
        <f>+Actuals!F22</f>
        <v>0</v>
      </c>
      <c r="J41" s="129">
        <f>+Actuals!G22</f>
        <v>0</v>
      </c>
      <c r="K41" s="149">
        <f>+Actuals!H22</f>
        <v>0</v>
      </c>
      <c r="L41" s="129">
        <f>+Actuals!I22</f>
        <v>0</v>
      </c>
      <c r="M41" s="130">
        <f>+Actuals!J22</f>
        <v>0</v>
      </c>
      <c r="N41" s="129">
        <f>+Actuals!K22</f>
        <v>0</v>
      </c>
      <c r="O41" s="130">
        <f>+Actuals!L22</f>
        <v>0</v>
      </c>
      <c r="P41" s="129">
        <f>+Actuals!M22</f>
        <v>0</v>
      </c>
      <c r="Q41" s="130">
        <f>+Actuals!N22</f>
        <v>0</v>
      </c>
      <c r="R41" s="129">
        <f>+Actuals!O22</f>
        <v>0</v>
      </c>
      <c r="S41" s="130">
        <f>+Actuals!P22</f>
        <v>0</v>
      </c>
      <c r="T41" s="129">
        <f>+Actuals!Q22</f>
        <v>0</v>
      </c>
      <c r="U41" s="130">
        <f>+Actuals!R22</f>
        <v>0</v>
      </c>
      <c r="V41" s="129">
        <f>+Actuals!S22</f>
        <v>0</v>
      </c>
      <c r="W41" s="130">
        <f>+Actuals!T22</f>
        <v>0</v>
      </c>
      <c r="X41" s="129">
        <f>+Actuals!U22</f>
        <v>0</v>
      </c>
      <c r="Y41" s="130">
        <f>+Actuals!V22</f>
        <v>0</v>
      </c>
      <c r="Z41" s="129">
        <f>+Actuals!W22</f>
        <v>0</v>
      </c>
      <c r="AA41" s="130">
        <f>+Actuals!X22</f>
        <v>0</v>
      </c>
      <c r="AB41" s="129">
        <f>+Actuals!Y22</f>
        <v>0</v>
      </c>
      <c r="AC41" s="130">
        <f>+Actuals!Z22</f>
        <v>0</v>
      </c>
      <c r="AD41" s="129">
        <f>+Actuals!AA22</f>
        <v>0</v>
      </c>
      <c r="AE41" s="130">
        <f>+Actuals!AB22</f>
        <v>0</v>
      </c>
    </row>
    <row r="42" spans="1:31" x14ac:dyDescent="0.25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'TIE-OUT'!P45+RECLASS!P45</f>
        <v>0</v>
      </c>
      <c r="G45" s="68">
        <f>'TIE-OUT'!Q45+RECLASS!Q45</f>
        <v>0</v>
      </c>
      <c r="H45" s="129">
        <f>+Actuals!E23</f>
        <v>0</v>
      </c>
      <c r="I45" s="130">
        <f>+Actuals!F23</f>
        <v>0</v>
      </c>
      <c r="J45" s="129">
        <f>+Actuals!G23</f>
        <v>0</v>
      </c>
      <c r="K45" s="149">
        <f>+Actuals!H23</f>
        <v>0</v>
      </c>
      <c r="L45" s="129">
        <f>+Actuals!I23</f>
        <v>0</v>
      </c>
      <c r="M45" s="130">
        <f>+Actuals!J23</f>
        <v>0</v>
      </c>
      <c r="N45" s="129">
        <f>+Actuals!K23</f>
        <v>0</v>
      </c>
      <c r="O45" s="130">
        <f>+Actuals!L23</f>
        <v>0</v>
      </c>
      <c r="P45" s="129">
        <f>+Actuals!M23</f>
        <v>0</v>
      </c>
      <c r="Q45" s="130">
        <f>+Actuals!N23</f>
        <v>0</v>
      </c>
      <c r="R45" s="129">
        <f>+Actuals!O23</f>
        <v>0</v>
      </c>
      <c r="S45" s="130">
        <f>+Actuals!P23</f>
        <v>0</v>
      </c>
      <c r="T45" s="129">
        <f>+Actuals!Q23</f>
        <v>0</v>
      </c>
      <c r="U45" s="130">
        <f>+Actuals!R23</f>
        <v>0</v>
      </c>
      <c r="V45" s="129">
        <f>+Actuals!S23</f>
        <v>0</v>
      </c>
      <c r="W45" s="130">
        <f>+Actuals!T23</f>
        <v>0</v>
      </c>
      <c r="X45" s="129">
        <f>+Actuals!U23</f>
        <v>0</v>
      </c>
      <c r="Y45" s="130">
        <f>+Actuals!V23</f>
        <v>0</v>
      </c>
      <c r="Z45" s="129">
        <f>+Actuals!W23</f>
        <v>0</v>
      </c>
      <c r="AA45" s="130">
        <f>+Actuals!X23</f>
        <v>0</v>
      </c>
      <c r="AB45" s="129">
        <f>+Actuals!Y23</f>
        <v>0</v>
      </c>
      <c r="AC45" s="130">
        <f>+Actuals!Z23</f>
        <v>0</v>
      </c>
      <c r="AD45" s="129">
        <f>+Actuals!AA23</f>
        <v>0</v>
      </c>
      <c r="AE45" s="130">
        <f>+Actuals!AB23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165834.62</v>
      </c>
      <c r="F47" s="60">
        <f>'TIE-OUT'!P47+RECLASS!P47</f>
        <v>0</v>
      </c>
      <c r="G47" s="38">
        <f>'TIE-OUT'!Q47+RECLASS!Q47</f>
        <v>0</v>
      </c>
      <c r="H47" s="129">
        <f>+Actuals!E24</f>
        <v>0</v>
      </c>
      <c r="I47" s="130">
        <f>+Actuals!F24</f>
        <v>0</v>
      </c>
      <c r="J47" s="129">
        <f>+Actuals!G24</f>
        <v>0</v>
      </c>
      <c r="K47" s="149">
        <f>+Actuals!H24</f>
        <v>157430</v>
      </c>
      <c r="L47" s="129">
        <f>+Actuals!I24</f>
        <v>0</v>
      </c>
      <c r="M47" s="130">
        <f>+Actuals!J24-9718</f>
        <v>-0.44000000000050932</v>
      </c>
      <c r="N47" s="129">
        <f>+Actuals!K24</f>
        <v>0</v>
      </c>
      <c r="O47" s="130">
        <f>+Actuals!L24</f>
        <v>8405.06</v>
      </c>
      <c r="P47" s="129">
        <f>+Actuals!M24</f>
        <v>0</v>
      </c>
      <c r="Q47" s="130">
        <f>+Actuals!N24</f>
        <v>0</v>
      </c>
      <c r="R47" s="129">
        <f>+Actuals!O24</f>
        <v>0</v>
      </c>
      <c r="S47" s="130">
        <f>+Actuals!P24</f>
        <v>0</v>
      </c>
      <c r="T47" s="129">
        <f>+Actuals!Q24</f>
        <v>0</v>
      </c>
      <c r="U47" s="130">
        <f>+Actuals!R24</f>
        <v>0</v>
      </c>
      <c r="V47" s="129">
        <f>+Actuals!S24</f>
        <v>0</v>
      </c>
      <c r="W47" s="130">
        <f>+Actuals!T24</f>
        <v>0</v>
      </c>
      <c r="X47" s="129">
        <f>+Actuals!U24</f>
        <v>0</v>
      </c>
      <c r="Y47" s="130">
        <f>+Actuals!V24</f>
        <v>0</v>
      </c>
      <c r="Z47" s="129">
        <f>+Actuals!W24</f>
        <v>0</v>
      </c>
      <c r="AA47" s="130">
        <f>+Actuals!X24</f>
        <v>0</v>
      </c>
      <c r="AB47" s="129">
        <f>+Actuals!Y24</f>
        <v>0</v>
      </c>
      <c r="AC47" s="130">
        <f>+Actuals!Z24</f>
        <v>0</v>
      </c>
      <c r="AD47" s="129">
        <f>+Actuals!AA24</f>
        <v>0</v>
      </c>
      <c r="AE47" s="130">
        <f>+Actuals!AB24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'TIE-OUT'!P49+RECLASS!P49</f>
        <v>0</v>
      </c>
      <c r="G49" s="38">
        <f>'TIE-OUT'!Q49+RECLASS!Q49</f>
        <v>0</v>
      </c>
      <c r="H49" s="129">
        <f>+Actuals!E25</f>
        <v>0</v>
      </c>
      <c r="I49" s="130">
        <f>+Actuals!F25</f>
        <v>0</v>
      </c>
      <c r="J49" s="129">
        <f>+Actuals!G25</f>
        <v>0</v>
      </c>
      <c r="K49" s="149">
        <f>+Actuals!H25</f>
        <v>0</v>
      </c>
      <c r="L49" s="129">
        <f>+Actuals!I25</f>
        <v>0</v>
      </c>
      <c r="M49" s="130">
        <f>+Actuals!J25</f>
        <v>0</v>
      </c>
      <c r="N49" s="129">
        <f>+Actuals!K25</f>
        <v>0</v>
      </c>
      <c r="O49" s="130">
        <f>+Actuals!L25</f>
        <v>0</v>
      </c>
      <c r="P49" s="129">
        <f>+Actuals!M25</f>
        <v>0</v>
      </c>
      <c r="Q49" s="130">
        <f>+Actuals!N25</f>
        <v>0</v>
      </c>
      <c r="R49" s="129">
        <f>+Actuals!O25</f>
        <v>0</v>
      </c>
      <c r="S49" s="130">
        <f>+Actuals!P25</f>
        <v>0</v>
      </c>
      <c r="T49" s="129">
        <f>+Actuals!Q25</f>
        <v>0</v>
      </c>
      <c r="U49" s="130">
        <f>+Actuals!R25</f>
        <v>0</v>
      </c>
      <c r="V49" s="129">
        <f>+Actuals!S25</f>
        <v>0</v>
      </c>
      <c r="W49" s="130">
        <f>+Actuals!T25</f>
        <v>0</v>
      </c>
      <c r="X49" s="129">
        <f>+Actuals!U25</f>
        <v>0</v>
      </c>
      <c r="Y49" s="130">
        <f>+Actuals!V25</f>
        <v>0</v>
      </c>
      <c r="Z49" s="129">
        <f>+Actuals!W25</f>
        <v>0</v>
      </c>
      <c r="AA49" s="130">
        <f>+Actuals!X25</f>
        <v>0</v>
      </c>
      <c r="AB49" s="129">
        <f>+Actuals!Y25</f>
        <v>0</v>
      </c>
      <c r="AC49" s="130">
        <f>+Actuals!Z25</f>
        <v>0</v>
      </c>
      <c r="AD49" s="129">
        <f>+Actuals!AA25</f>
        <v>0</v>
      </c>
      <c r="AE49" s="130">
        <f>+Actuals!AB25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'TIE-OUT'!P51+RECLASS!P51</f>
        <v>0</v>
      </c>
      <c r="G51" s="38">
        <f>'TIE-OUT'!Q51+RECLASS!Q51</f>
        <v>0</v>
      </c>
      <c r="H51" s="129">
        <f>+Actuals!E26</f>
        <v>0</v>
      </c>
      <c r="I51" s="130">
        <f>+Actuals!F26</f>
        <v>0</v>
      </c>
      <c r="J51" s="129">
        <f>+Actuals!G26</f>
        <v>0</v>
      </c>
      <c r="K51" s="149">
        <f>+Actuals!H26</f>
        <v>0</v>
      </c>
      <c r="L51" s="129">
        <f>+Actuals!I26</f>
        <v>0</v>
      </c>
      <c r="M51" s="130">
        <f>+Actuals!J26</f>
        <v>0</v>
      </c>
      <c r="N51" s="129">
        <f>+Actuals!K26</f>
        <v>0</v>
      </c>
      <c r="O51" s="130">
        <f>+Actuals!L26</f>
        <v>0</v>
      </c>
      <c r="P51" s="129">
        <f>+Actuals!M26</f>
        <v>0</v>
      </c>
      <c r="Q51" s="130">
        <f>+Actuals!N26</f>
        <v>0</v>
      </c>
      <c r="R51" s="129">
        <f>+Actuals!O26</f>
        <v>0</v>
      </c>
      <c r="S51" s="130">
        <f>+Actuals!P26</f>
        <v>0</v>
      </c>
      <c r="T51" s="129">
        <f>+Actuals!Q26</f>
        <v>0</v>
      </c>
      <c r="U51" s="130">
        <f>+Actuals!R26</f>
        <v>0</v>
      </c>
      <c r="V51" s="129">
        <f>+Actuals!S26</f>
        <v>0</v>
      </c>
      <c r="W51" s="130">
        <f>+Actuals!T26</f>
        <v>0</v>
      </c>
      <c r="X51" s="129">
        <f>+Actuals!U26</f>
        <v>0</v>
      </c>
      <c r="Y51" s="130">
        <f>+Actuals!V26</f>
        <v>0</v>
      </c>
      <c r="Z51" s="129">
        <f>+Actuals!W26</f>
        <v>0</v>
      </c>
      <c r="AA51" s="130">
        <f>+Actuals!X26</f>
        <v>0</v>
      </c>
      <c r="AB51" s="129">
        <f>+Actuals!Y26</f>
        <v>0</v>
      </c>
      <c r="AC51" s="130">
        <f>+Actuals!Z26</f>
        <v>0</v>
      </c>
      <c r="AD51" s="129">
        <f>+Actuals!AA26</f>
        <v>0</v>
      </c>
      <c r="AE51" s="130">
        <f>+Actuals!AB26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'TIE-OUT'!P54+RECLASS!P54</f>
        <v>0</v>
      </c>
      <c r="G54" s="68">
        <f>'TIE-OUT'!Q54+RECLASS!Q54</f>
        <v>0</v>
      </c>
      <c r="H54" s="129">
        <f>+Actuals!E27</f>
        <v>0</v>
      </c>
      <c r="I54" s="130">
        <f>+Actuals!F27</f>
        <v>0</v>
      </c>
      <c r="J54" s="129">
        <f>+Actuals!G27</f>
        <v>0</v>
      </c>
      <c r="K54" s="149">
        <f>+Actuals!H27</f>
        <v>0</v>
      </c>
      <c r="L54" s="129">
        <f>+Actuals!I27</f>
        <v>0</v>
      </c>
      <c r="M54" s="130">
        <f>+Actuals!J27</f>
        <v>0</v>
      </c>
      <c r="N54" s="129">
        <f>+Actuals!K27</f>
        <v>0</v>
      </c>
      <c r="O54" s="130">
        <f>+Actuals!L27</f>
        <v>0</v>
      </c>
      <c r="P54" s="129">
        <f>+Actuals!M27</f>
        <v>0</v>
      </c>
      <c r="Q54" s="130">
        <f>+Actuals!N27</f>
        <v>0</v>
      </c>
      <c r="R54" s="129">
        <f>+Actuals!O27</f>
        <v>0</v>
      </c>
      <c r="S54" s="130">
        <f>+Actuals!P27</f>
        <v>0</v>
      </c>
      <c r="T54" s="129">
        <f>+Actuals!Q27</f>
        <v>0</v>
      </c>
      <c r="U54" s="130">
        <f>+Actuals!R27</f>
        <v>0</v>
      </c>
      <c r="V54" s="129">
        <f>+Actuals!S27</f>
        <v>0</v>
      </c>
      <c r="W54" s="130">
        <f>+Actuals!T27</f>
        <v>0</v>
      </c>
      <c r="X54" s="129">
        <f>+Actuals!U27</f>
        <v>0</v>
      </c>
      <c r="Y54" s="130">
        <f>+Actuals!V27</f>
        <v>0</v>
      </c>
      <c r="Z54" s="129">
        <f>+Actuals!W27</f>
        <v>0</v>
      </c>
      <c r="AA54" s="130">
        <f>+Actuals!X27</f>
        <v>0</v>
      </c>
      <c r="AB54" s="129">
        <f>+Actuals!Y27</f>
        <v>0</v>
      </c>
      <c r="AC54" s="130">
        <f>+Actuals!Z27</f>
        <v>0</v>
      </c>
      <c r="AD54" s="129">
        <f>+Actuals!AA27</f>
        <v>0</v>
      </c>
      <c r="AE54" s="130">
        <f>+Actuals!AB27</f>
        <v>0</v>
      </c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'TIE-OUT'!P55+RECLASS!P55</f>
        <v>0</v>
      </c>
      <c r="G55" s="82">
        <f>'TIE-OUT'!Q55+RECLASS!Q55</f>
        <v>0</v>
      </c>
      <c r="H55" s="129">
        <f>+Actuals!E28</f>
        <v>0</v>
      </c>
      <c r="I55" s="130">
        <f>+Actuals!F28</f>
        <v>0</v>
      </c>
      <c r="J55" s="129">
        <f>+Actuals!G28</f>
        <v>0</v>
      </c>
      <c r="K55" s="149">
        <f>+Actuals!H28</f>
        <v>0</v>
      </c>
      <c r="L55" s="129">
        <f>+Actuals!I28</f>
        <v>0</v>
      </c>
      <c r="M55" s="130">
        <f>+Actuals!J28</f>
        <v>0</v>
      </c>
      <c r="N55" s="129">
        <f>+Actuals!K28</f>
        <v>0</v>
      </c>
      <c r="O55" s="130">
        <f>+Actuals!L28</f>
        <v>0</v>
      </c>
      <c r="P55" s="129">
        <f>+Actuals!M28</f>
        <v>0</v>
      </c>
      <c r="Q55" s="130">
        <f>+Actuals!N28</f>
        <v>0</v>
      </c>
      <c r="R55" s="129">
        <f>+Actuals!O28</f>
        <v>0</v>
      </c>
      <c r="S55" s="130">
        <f>+Actuals!P28</f>
        <v>0</v>
      </c>
      <c r="T55" s="129">
        <f>+Actuals!Q28</f>
        <v>0</v>
      </c>
      <c r="U55" s="130">
        <f>+Actuals!R28</f>
        <v>0</v>
      </c>
      <c r="V55" s="129">
        <f>+Actuals!S28</f>
        <v>0</v>
      </c>
      <c r="W55" s="130">
        <f>+Actuals!T28</f>
        <v>0</v>
      </c>
      <c r="X55" s="129">
        <f>+Actuals!U28</f>
        <v>0</v>
      </c>
      <c r="Y55" s="130">
        <f>+Actuals!V28</f>
        <v>0</v>
      </c>
      <c r="Z55" s="129">
        <f>+Actuals!W28</f>
        <v>0</v>
      </c>
      <c r="AA55" s="130">
        <f>+Actuals!X28</f>
        <v>0</v>
      </c>
      <c r="AB55" s="129">
        <f>+Actuals!Y28</f>
        <v>0</v>
      </c>
      <c r="AC55" s="130">
        <f>+Actuals!Z28</f>
        <v>0</v>
      </c>
      <c r="AD55" s="129">
        <f>+Actuals!AA28</f>
        <v>0</v>
      </c>
      <c r="AE55" s="130">
        <f>+Actuals!AB28</f>
        <v>0</v>
      </c>
    </row>
    <row r="56" spans="1:31" x14ac:dyDescent="0.25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ref="V56:AA56" si="17">SUM(V54:V55)</f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'TIE-OUT'!P59+RECLASS!P59</f>
        <v>0</v>
      </c>
      <c r="G59" s="68">
        <f>'TIE-OUT'!Q59+RECLASS!Q59</f>
        <v>0</v>
      </c>
      <c r="H59" s="129">
        <f>+Actuals!E29</f>
        <v>0</v>
      </c>
      <c r="I59" s="130">
        <f>+Actuals!F29</f>
        <v>0</v>
      </c>
      <c r="J59" s="129">
        <f>+Actuals!G29</f>
        <v>0</v>
      </c>
      <c r="K59" s="149">
        <f>+Actuals!H29</f>
        <v>0</v>
      </c>
      <c r="L59" s="129">
        <f>+Actuals!I29</f>
        <v>0</v>
      </c>
      <c r="M59" s="130">
        <f>+Actuals!J29</f>
        <v>0</v>
      </c>
      <c r="N59" s="129">
        <f>+Actuals!K29</f>
        <v>0</v>
      </c>
      <c r="O59" s="130">
        <f>+Actuals!L29</f>
        <v>0</v>
      </c>
      <c r="P59" s="129">
        <f>+Actuals!M29</f>
        <v>0</v>
      </c>
      <c r="Q59" s="130">
        <f>+Actuals!N29</f>
        <v>0</v>
      </c>
      <c r="R59" s="129">
        <f>+Actuals!O29</f>
        <v>0</v>
      </c>
      <c r="S59" s="130">
        <f>+Actuals!P29</f>
        <v>0</v>
      </c>
      <c r="T59" s="129">
        <f>+Actuals!Q29</f>
        <v>0</v>
      </c>
      <c r="U59" s="130">
        <f>+Actuals!R29</f>
        <v>0</v>
      </c>
      <c r="V59" s="129">
        <f>+Actuals!S29</f>
        <v>0</v>
      </c>
      <c r="W59" s="130">
        <f>+Actuals!T29</f>
        <v>0</v>
      </c>
      <c r="X59" s="129">
        <f>+Actuals!U29</f>
        <v>0</v>
      </c>
      <c r="Y59" s="130">
        <f>+Actuals!V29</f>
        <v>0</v>
      </c>
      <c r="Z59" s="129">
        <f>+Actuals!W29</f>
        <v>0</v>
      </c>
      <c r="AA59" s="130">
        <f>+Actuals!X29</f>
        <v>0</v>
      </c>
      <c r="AB59" s="129">
        <f>+Actuals!Y29</f>
        <v>0</v>
      </c>
      <c r="AC59" s="130">
        <f>+Actuals!Z29</f>
        <v>0</v>
      </c>
      <c r="AD59" s="129">
        <f>+Actuals!AA29</f>
        <v>0</v>
      </c>
      <c r="AE59" s="130">
        <f>+Actuals!AB29</f>
        <v>0</v>
      </c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'TIE-OUT'!P60+RECLASS!P60</f>
        <v>0</v>
      </c>
      <c r="G60" s="82">
        <f>'TIE-OUT'!Q60+RECLASS!Q60</f>
        <v>0</v>
      </c>
      <c r="H60" s="129">
        <f>+Actuals!E30</f>
        <v>0</v>
      </c>
      <c r="I60" s="130">
        <f>+Actuals!F30</f>
        <v>0</v>
      </c>
      <c r="J60" s="129">
        <f>+Actuals!G30</f>
        <v>0</v>
      </c>
      <c r="K60" s="149">
        <f>+Actuals!H30</f>
        <v>0</v>
      </c>
      <c r="L60" s="129">
        <f>+Actuals!I30</f>
        <v>0</v>
      </c>
      <c r="M60" s="130">
        <f>+Actuals!J30</f>
        <v>0</v>
      </c>
      <c r="N60" s="129">
        <f>+Actuals!K30</f>
        <v>0</v>
      </c>
      <c r="O60" s="130">
        <f>+Actuals!L30</f>
        <v>0</v>
      </c>
      <c r="P60" s="129">
        <f>+Actuals!M30</f>
        <v>0</v>
      </c>
      <c r="Q60" s="130">
        <f>+Actuals!N30</f>
        <v>0</v>
      </c>
      <c r="R60" s="129">
        <f>+Actuals!O30</f>
        <v>0</v>
      </c>
      <c r="S60" s="130">
        <f>+Actuals!P30</f>
        <v>0</v>
      </c>
      <c r="T60" s="129">
        <f>+Actuals!Q30</f>
        <v>0</v>
      </c>
      <c r="U60" s="130">
        <f>+Actuals!R30</f>
        <v>0</v>
      </c>
      <c r="V60" s="129">
        <f>+Actuals!S30</f>
        <v>0</v>
      </c>
      <c r="W60" s="130">
        <f>+Actuals!T30</f>
        <v>0</v>
      </c>
      <c r="X60" s="129">
        <f>+Actuals!U30</f>
        <v>0</v>
      </c>
      <c r="Y60" s="130">
        <f>+Actuals!V30</f>
        <v>0</v>
      </c>
      <c r="Z60" s="129">
        <f>+Actuals!W30</f>
        <v>0</v>
      </c>
      <c r="AA60" s="130">
        <f>+Actuals!X30</f>
        <v>0</v>
      </c>
      <c r="AB60" s="129">
        <f>+Actuals!Y30</f>
        <v>0</v>
      </c>
      <c r="AC60" s="130">
        <f>+Actuals!Z30</f>
        <v>0</v>
      </c>
      <c r="AD60" s="129">
        <f>+Actuals!AA30</f>
        <v>0</v>
      </c>
      <c r="AE60" s="130">
        <f>+Actuals!AB30</f>
        <v>0</v>
      </c>
    </row>
    <row r="61" spans="1:31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-265942</v>
      </c>
      <c r="E64" s="38">
        <f>SUM(G64,I64,K64,M64,O64,Q64,S64,U64,W64,Y64,AA64,AC64,AE64)</f>
        <v>-37888.74</v>
      </c>
      <c r="F64" s="64">
        <f>'TIE-OUT'!P64+RECLASS!P64</f>
        <v>0</v>
      </c>
      <c r="G64" s="68">
        <f>'TIE-OUT'!Q64+RECLASS!Q64</f>
        <v>0</v>
      </c>
      <c r="H64" s="129">
        <f>+Actuals!E31</f>
        <v>-1284</v>
      </c>
      <c r="I64" s="130">
        <f>+Actuals!F31</f>
        <v>-26668.75</v>
      </c>
      <c r="J64" s="129">
        <f>+Actuals!G31</f>
        <v>-272507</v>
      </c>
      <c r="K64" s="149">
        <f>+Actuals!H31</f>
        <v>-11931.06</v>
      </c>
      <c r="L64" s="129">
        <f>+Actuals!I31</f>
        <v>16006</v>
      </c>
      <c r="M64" s="130">
        <f>+Actuals!J31</f>
        <v>846.07</v>
      </c>
      <c r="N64" s="129">
        <f>+Actuals!K31</f>
        <v>-8157</v>
      </c>
      <c r="O64" s="130">
        <f>+Actuals!L31</f>
        <v>0</v>
      </c>
      <c r="P64" s="129">
        <f>+Actuals!M31</f>
        <v>0</v>
      </c>
      <c r="Q64" s="130">
        <f>+Actuals!N31</f>
        <v>0</v>
      </c>
      <c r="R64" s="129">
        <f>+Actuals!O31</f>
        <v>0</v>
      </c>
      <c r="S64" s="130">
        <f>+Actuals!P31</f>
        <v>0</v>
      </c>
      <c r="T64" s="129">
        <f>+Actuals!Q31</f>
        <v>0</v>
      </c>
      <c r="U64" s="130">
        <f>+Actuals!R31</f>
        <v>0</v>
      </c>
      <c r="V64" s="129">
        <f>+Actuals!S31</f>
        <v>-744</v>
      </c>
      <c r="W64" s="130">
        <f>+Actuals!T31</f>
        <v>-148.80000000000001</v>
      </c>
      <c r="X64" s="129">
        <f>+Actuals!U31</f>
        <v>0</v>
      </c>
      <c r="Y64" s="130">
        <f>+Actuals!V31</f>
        <v>13.8</v>
      </c>
      <c r="Z64" s="129">
        <f>+Actuals!W31</f>
        <v>744</v>
      </c>
      <c r="AA64" s="130">
        <f>+Actuals!X31</f>
        <v>0</v>
      </c>
      <c r="AB64" s="129">
        <f>+Actuals!Y31</f>
        <v>0</v>
      </c>
      <c r="AC64" s="130">
        <f>+Actuals!Z31</f>
        <v>0</v>
      </c>
      <c r="AD64" s="129">
        <f>+Actuals!AA31</f>
        <v>0</v>
      </c>
      <c r="AE64" s="130">
        <f>+Actuals!AB31</f>
        <v>0</v>
      </c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'TIE-OUT'!P65+RECLASS!P65</f>
        <v>0</v>
      </c>
      <c r="G65" s="82">
        <f>'TIE-OUT'!Q65+RECLASS!Q65</f>
        <v>0</v>
      </c>
      <c r="H65" s="129">
        <f>+Actuals!E32</f>
        <v>0</v>
      </c>
      <c r="I65" s="130">
        <f>+Actuals!F32</f>
        <v>0</v>
      </c>
      <c r="J65" s="129">
        <f>+Actuals!G32</f>
        <v>0</v>
      </c>
      <c r="K65" s="162">
        <f>+Actuals!H32</f>
        <v>0</v>
      </c>
      <c r="L65" s="129">
        <f>+Actuals!I32</f>
        <v>0</v>
      </c>
      <c r="M65" s="130">
        <f>+Actuals!J32</f>
        <v>0</v>
      </c>
      <c r="N65" s="129">
        <f>+Actuals!K32</f>
        <v>0</v>
      </c>
      <c r="O65" s="130">
        <f>+Actuals!L32</f>
        <v>0</v>
      </c>
      <c r="P65" s="129">
        <f>+Actuals!M32</f>
        <v>0</v>
      </c>
      <c r="Q65" s="130">
        <f>+Actuals!N32</f>
        <v>0</v>
      </c>
      <c r="R65" s="129">
        <f>+Actuals!O32</f>
        <v>0</v>
      </c>
      <c r="S65" s="130">
        <f>+Actuals!P32</f>
        <v>0</v>
      </c>
      <c r="T65" s="129">
        <f>+Actuals!Q32</f>
        <v>0</v>
      </c>
      <c r="U65" s="130">
        <f>+Actuals!R32</f>
        <v>0</v>
      </c>
      <c r="V65" s="129">
        <f>+Actuals!S32</f>
        <v>0</v>
      </c>
      <c r="W65" s="130">
        <f>+Actuals!T32</f>
        <v>0</v>
      </c>
      <c r="X65" s="129">
        <f>+Actuals!U32</f>
        <v>0</v>
      </c>
      <c r="Y65" s="130">
        <f>+Actuals!V32</f>
        <v>0</v>
      </c>
      <c r="Z65" s="129">
        <f>+Actuals!W32</f>
        <v>0</v>
      </c>
      <c r="AA65" s="130">
        <f>+Actuals!X32</f>
        <v>0</v>
      </c>
      <c r="AB65" s="129">
        <f>+Actuals!Y32</f>
        <v>0</v>
      </c>
      <c r="AC65" s="130">
        <f>+Actuals!Z32</f>
        <v>0</v>
      </c>
      <c r="AD65" s="129">
        <f>+Actuals!AA32</f>
        <v>0</v>
      </c>
      <c r="AE65" s="130">
        <f>+Actuals!AB32</f>
        <v>0</v>
      </c>
    </row>
    <row r="66" spans="1:31" x14ac:dyDescent="0.25">
      <c r="A66" s="9"/>
      <c r="B66" s="7" t="s">
        <v>65</v>
      </c>
      <c r="C66" s="6"/>
      <c r="D66" s="61">
        <f>SUM(D64:D65)</f>
        <v>-265942</v>
      </c>
      <c r="E66" s="39">
        <f>SUM(E64:E65)</f>
        <v>-37888.74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-1284</v>
      </c>
      <c r="I66" s="39">
        <f t="shared" si="20"/>
        <v>-26668.75</v>
      </c>
      <c r="J66" s="61">
        <f t="shared" si="20"/>
        <v>-272507</v>
      </c>
      <c r="K66" s="150">
        <f t="shared" si="20"/>
        <v>-11931.06</v>
      </c>
      <c r="L66" s="61">
        <f t="shared" si="20"/>
        <v>16006</v>
      </c>
      <c r="M66" s="39">
        <f t="shared" si="20"/>
        <v>846.07</v>
      </c>
      <c r="N66" s="61">
        <f t="shared" si="20"/>
        <v>-8157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-744</v>
      </c>
      <c r="W66" s="39">
        <f t="shared" si="21"/>
        <v>-148.80000000000001</v>
      </c>
      <c r="X66" s="61">
        <f t="shared" si="21"/>
        <v>0</v>
      </c>
      <c r="Y66" s="39">
        <f t="shared" si="21"/>
        <v>13.8</v>
      </c>
      <c r="Z66" s="61">
        <f t="shared" si="21"/>
        <v>744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'TIE-OUT'!P70+RECLASS!P70</f>
        <v>0</v>
      </c>
      <c r="G70" s="68">
        <f>'TIE-OUT'!Q70+RECLASS!Q70</f>
        <v>0</v>
      </c>
      <c r="H70" s="129">
        <f>+Actuals!E33</f>
        <v>0</v>
      </c>
      <c r="I70" s="130">
        <f>+Actuals!F33</f>
        <v>0</v>
      </c>
      <c r="J70" s="129">
        <f>+Actuals!G33</f>
        <v>0</v>
      </c>
      <c r="K70" s="149">
        <f>+Actuals!H33</f>
        <v>0</v>
      </c>
      <c r="L70" s="129">
        <f>+Actuals!I33</f>
        <v>0</v>
      </c>
      <c r="M70" s="130">
        <f>+Actuals!J33</f>
        <v>0</v>
      </c>
      <c r="N70" s="129">
        <f>+Actuals!K33</f>
        <v>0</v>
      </c>
      <c r="O70" s="130">
        <f>+Actuals!L33</f>
        <v>0</v>
      </c>
      <c r="P70" s="129">
        <f>+Actuals!M33</f>
        <v>0</v>
      </c>
      <c r="Q70" s="130">
        <f>+Actuals!N33</f>
        <v>0</v>
      </c>
      <c r="R70" s="129">
        <f>+Actuals!O33</f>
        <v>0</v>
      </c>
      <c r="S70" s="130">
        <f>+Actuals!P33</f>
        <v>0</v>
      </c>
      <c r="T70" s="129">
        <f>+Actuals!Q33</f>
        <v>0</v>
      </c>
      <c r="U70" s="130">
        <f>+Actuals!R33</f>
        <v>0</v>
      </c>
      <c r="V70" s="129">
        <f>+Actuals!S33</f>
        <v>0</v>
      </c>
      <c r="W70" s="130">
        <f>+Actuals!T33</f>
        <v>0</v>
      </c>
      <c r="X70" s="129">
        <f>+Actuals!U33</f>
        <v>0</v>
      </c>
      <c r="Y70" s="130">
        <f>+Actuals!V33</f>
        <v>0</v>
      </c>
      <c r="Z70" s="129">
        <f>+Actuals!W33</f>
        <v>0</v>
      </c>
      <c r="AA70" s="130">
        <f>+Actuals!X33</f>
        <v>0</v>
      </c>
      <c r="AB70" s="129">
        <f>+Actuals!Y33</f>
        <v>0</v>
      </c>
      <c r="AC70" s="130">
        <f>+Actuals!Z33</f>
        <v>0</v>
      </c>
      <c r="AD70" s="129">
        <f>+Actuals!AA33</f>
        <v>0</v>
      </c>
      <c r="AE70" s="130">
        <f>+Actuals!AB33</f>
        <v>0</v>
      </c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'TIE-OUT'!P71+RECLASS!P71</f>
        <v>0</v>
      </c>
      <c r="G71" s="82">
        <f>'TIE-OUT'!Q71+RECLASS!Q71</f>
        <v>0</v>
      </c>
      <c r="H71" s="129">
        <f>+Actuals!E34</f>
        <v>0</v>
      </c>
      <c r="I71" s="130">
        <f>+Actuals!F34</f>
        <v>0</v>
      </c>
      <c r="J71" s="129">
        <f>+Actuals!G34</f>
        <v>0</v>
      </c>
      <c r="K71" s="149">
        <f>+Actuals!H34</f>
        <v>0</v>
      </c>
      <c r="L71" s="129">
        <f>+Actuals!I34</f>
        <v>0</v>
      </c>
      <c r="M71" s="130">
        <f>+Actuals!J34</f>
        <v>0</v>
      </c>
      <c r="N71" s="129">
        <f>+Actuals!K34</f>
        <v>0</v>
      </c>
      <c r="O71" s="130">
        <f>+Actuals!L34</f>
        <v>0</v>
      </c>
      <c r="P71" s="129">
        <f>+Actuals!M34</f>
        <v>0</v>
      </c>
      <c r="Q71" s="130">
        <f>+Actuals!N34</f>
        <v>0</v>
      </c>
      <c r="R71" s="129">
        <f>+Actuals!O34</f>
        <v>0</v>
      </c>
      <c r="S71" s="130">
        <f>+Actuals!P34</f>
        <v>0</v>
      </c>
      <c r="T71" s="129">
        <f>+Actuals!Q34</f>
        <v>0</v>
      </c>
      <c r="U71" s="130">
        <f>+Actuals!R34</f>
        <v>0</v>
      </c>
      <c r="V71" s="129">
        <f>+Actuals!S34</f>
        <v>0</v>
      </c>
      <c r="W71" s="130">
        <f>+Actuals!T34</f>
        <v>0</v>
      </c>
      <c r="X71" s="129">
        <f>+Actuals!U34</f>
        <v>0</v>
      </c>
      <c r="Y71" s="130">
        <f>+Actuals!V34</f>
        <v>0</v>
      </c>
      <c r="Z71" s="129">
        <f>+Actuals!W34</f>
        <v>0</v>
      </c>
      <c r="AA71" s="130">
        <f>+Actuals!X34</f>
        <v>0</v>
      </c>
      <c r="AB71" s="129">
        <f>+Actuals!Y34</f>
        <v>0</v>
      </c>
      <c r="AC71" s="130">
        <f>+Actuals!Z34</f>
        <v>0</v>
      </c>
      <c r="AD71" s="129">
        <f>+Actuals!AA34</f>
        <v>0</v>
      </c>
      <c r="AE71" s="130">
        <f>+Actuals!AB34</f>
        <v>0</v>
      </c>
    </row>
    <row r="72" spans="1:31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'TIE-OUT'!P73+RECLASS!P73</f>
        <v>0</v>
      </c>
      <c r="G73" s="60">
        <f>'TIE-OUT'!Q73+RECLASS!Q73</f>
        <v>0</v>
      </c>
      <c r="H73" s="129">
        <f>+Actuals!E35</f>
        <v>0</v>
      </c>
      <c r="I73" s="130">
        <f>+Actuals!F35</f>
        <v>0</v>
      </c>
      <c r="J73" s="129">
        <f>+Actuals!G35</f>
        <v>0</v>
      </c>
      <c r="K73" s="149">
        <f>+Actuals!H35</f>
        <v>0</v>
      </c>
      <c r="L73" s="129">
        <f>+Actuals!I35</f>
        <v>0</v>
      </c>
      <c r="M73" s="130">
        <f>+Actuals!J35</f>
        <v>0</v>
      </c>
      <c r="N73" s="129">
        <f>+Actuals!K35</f>
        <v>0</v>
      </c>
      <c r="O73" s="130">
        <f>+Actuals!L35</f>
        <v>0</v>
      </c>
      <c r="P73" s="129">
        <f>+Actuals!M35</f>
        <v>0</v>
      </c>
      <c r="Q73" s="130">
        <f>+Actuals!N35</f>
        <v>0</v>
      </c>
      <c r="R73" s="129">
        <f>+Actuals!O35</f>
        <v>0</v>
      </c>
      <c r="S73" s="130">
        <f>+Actuals!P35</f>
        <v>0</v>
      </c>
      <c r="T73" s="129">
        <f>+Actuals!Q35</f>
        <v>0</v>
      </c>
      <c r="U73" s="130">
        <f>+Actuals!R35</f>
        <v>0</v>
      </c>
      <c r="V73" s="129">
        <f>+Actuals!S35</f>
        <v>0</v>
      </c>
      <c r="W73" s="130">
        <f>+Actuals!T35</f>
        <v>0</v>
      </c>
      <c r="X73" s="129">
        <f>+Actuals!U35</f>
        <v>0</v>
      </c>
      <c r="Y73" s="130">
        <f>+Actuals!V35</f>
        <v>0</v>
      </c>
      <c r="Z73" s="129">
        <f>+Actuals!W35</f>
        <v>0</v>
      </c>
      <c r="AA73" s="130">
        <f>+Actuals!X35</f>
        <v>0</v>
      </c>
      <c r="AB73" s="129">
        <f>+Actuals!Y35</f>
        <v>0</v>
      </c>
      <c r="AC73" s="130">
        <f>+Actuals!Z35</f>
        <v>0</v>
      </c>
      <c r="AD73" s="129">
        <f>+Actuals!AA35</f>
        <v>0</v>
      </c>
      <c r="AE73" s="130">
        <f>+Actuals!AB35</f>
        <v>0</v>
      </c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0</v>
      </c>
      <c r="F74" s="60">
        <f>'TIE-OUT'!P74+RECLASS!P74</f>
        <v>0</v>
      </c>
      <c r="G74" s="60">
        <f>'TIE-OUT'!Q74+RECLASS!Q74</f>
        <v>0</v>
      </c>
      <c r="H74" s="129">
        <f>+Actuals!E36</f>
        <v>0</v>
      </c>
      <c r="I74" s="130">
        <f>+Actuals!F36</f>
        <v>0</v>
      </c>
      <c r="J74" s="129">
        <f>+Actuals!G36</f>
        <v>0</v>
      </c>
      <c r="K74" s="149">
        <f>+Actuals!H36</f>
        <v>0</v>
      </c>
      <c r="L74" s="129">
        <f>+Actuals!I36</f>
        <v>0</v>
      </c>
      <c r="M74" s="130">
        <f>+Actuals!J36</f>
        <v>0</v>
      </c>
      <c r="N74" s="129">
        <f>+Actuals!K36</f>
        <v>0</v>
      </c>
      <c r="O74" s="130">
        <f>+Actuals!L36</f>
        <v>0</v>
      </c>
      <c r="P74" s="129">
        <f>+Actuals!M36</f>
        <v>0</v>
      </c>
      <c r="Q74" s="130">
        <f>+Actuals!N36</f>
        <v>0</v>
      </c>
      <c r="R74" s="129">
        <f>+Actuals!O36</f>
        <v>0</v>
      </c>
      <c r="S74" s="130">
        <f>+Actuals!P36</f>
        <v>0</v>
      </c>
      <c r="T74" s="129">
        <f>+Actuals!Q36</f>
        <v>0</v>
      </c>
      <c r="U74" s="130">
        <f>+Actuals!R36</f>
        <v>0</v>
      </c>
      <c r="V74" s="129">
        <f>+Actuals!S36</f>
        <v>0</v>
      </c>
      <c r="W74" s="130">
        <f>+Actuals!T36</f>
        <v>0</v>
      </c>
      <c r="X74" s="129">
        <f>+Actuals!U36</f>
        <v>0</v>
      </c>
      <c r="Y74" s="130">
        <f>+Actuals!V36</f>
        <v>0</v>
      </c>
      <c r="Z74" s="129">
        <f>+Actuals!W36</f>
        <v>0</v>
      </c>
      <c r="AA74" s="130">
        <f>+Actuals!X36</f>
        <v>0</v>
      </c>
      <c r="AB74" s="129">
        <f>+Actuals!Y36</f>
        <v>0</v>
      </c>
      <c r="AC74" s="130">
        <f>+Actuals!Z36</f>
        <v>0</v>
      </c>
      <c r="AD74" s="129">
        <f>+Actuals!AA36</f>
        <v>0</v>
      </c>
      <c r="AE74" s="130">
        <f>+Actuals!AB36</f>
        <v>0</v>
      </c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'TIE-OUT'!P75+RECLASS!P75</f>
        <v>0</v>
      </c>
      <c r="G75" s="60">
        <f>'TIE-OUT'!Q75+RECLASS!Q75</f>
        <v>0</v>
      </c>
      <c r="H75" s="129">
        <f>+Actuals!E37</f>
        <v>0</v>
      </c>
      <c r="I75" s="130">
        <f>+Actuals!F37</f>
        <v>0</v>
      </c>
      <c r="J75" s="129">
        <f>+Actuals!G37</f>
        <v>0</v>
      </c>
      <c r="K75" s="149">
        <f>+Actuals!H37</f>
        <v>0</v>
      </c>
      <c r="L75" s="129">
        <f>+Actuals!I37</f>
        <v>0</v>
      </c>
      <c r="M75" s="130">
        <f>+Actuals!J37</f>
        <v>0</v>
      </c>
      <c r="N75" s="129">
        <f>+Actuals!K37</f>
        <v>0</v>
      </c>
      <c r="O75" s="130">
        <f>+Actuals!L37</f>
        <v>0</v>
      </c>
      <c r="P75" s="129">
        <f>+Actuals!M37</f>
        <v>0</v>
      </c>
      <c r="Q75" s="130">
        <f>+Actuals!N37</f>
        <v>0</v>
      </c>
      <c r="R75" s="129">
        <f>+Actuals!O37</f>
        <v>0</v>
      </c>
      <c r="S75" s="130">
        <f>+Actuals!P37</f>
        <v>0</v>
      </c>
      <c r="T75" s="129">
        <f>+Actuals!Q37</f>
        <v>0</v>
      </c>
      <c r="U75" s="130">
        <f>+Actuals!R37</f>
        <v>0</v>
      </c>
      <c r="V75" s="129">
        <f>+Actuals!S37</f>
        <v>0</v>
      </c>
      <c r="W75" s="130">
        <f>+Actuals!T37</f>
        <v>0</v>
      </c>
      <c r="X75" s="129">
        <f>+Actuals!U37</f>
        <v>0</v>
      </c>
      <c r="Y75" s="130">
        <f>+Actuals!V37</f>
        <v>0</v>
      </c>
      <c r="Z75" s="129">
        <f>+Actuals!W37</f>
        <v>0</v>
      </c>
      <c r="AA75" s="130">
        <f>+Actuals!X37</f>
        <v>0</v>
      </c>
      <c r="AB75" s="129">
        <f>+Actuals!Y37</f>
        <v>0</v>
      </c>
      <c r="AC75" s="130">
        <f>+Actuals!Z37</f>
        <v>0</v>
      </c>
      <c r="AD75" s="129">
        <f>+Actuals!AA37</f>
        <v>0</v>
      </c>
      <c r="AE75" s="130">
        <f>+Actuals!AB37</f>
        <v>0</v>
      </c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60">
        <f>'TIE-OUT'!P76+RECLASS!P76</f>
        <v>0</v>
      </c>
      <c r="G76" s="60">
        <f>'TIE-OUT'!Q76+RECLASS!Q76</f>
        <v>0</v>
      </c>
      <c r="H76" s="129">
        <f>+Actuals!E38</f>
        <v>0</v>
      </c>
      <c r="I76" s="130">
        <f>+Actuals!F38</f>
        <v>0</v>
      </c>
      <c r="J76" s="129">
        <f>+Actuals!G38</f>
        <v>0</v>
      </c>
      <c r="K76" s="149">
        <f>+Actuals!H38</f>
        <v>0</v>
      </c>
      <c r="L76" s="129">
        <f>+Actuals!I38</f>
        <v>0</v>
      </c>
      <c r="M76" s="130">
        <f>+Actuals!J38</f>
        <v>0</v>
      </c>
      <c r="N76" s="129">
        <f>+Actuals!K38</f>
        <v>0</v>
      </c>
      <c r="O76" s="130">
        <f>+Actuals!L38</f>
        <v>0</v>
      </c>
      <c r="P76" s="129">
        <f>+Actuals!M38</f>
        <v>0</v>
      </c>
      <c r="Q76" s="130">
        <f>+Actuals!N38</f>
        <v>0</v>
      </c>
      <c r="R76" s="129">
        <f>+Actuals!O38</f>
        <v>0</v>
      </c>
      <c r="S76" s="130">
        <f>+Actuals!P38</f>
        <v>0</v>
      </c>
      <c r="T76" s="129">
        <f>+Actuals!Q38</f>
        <v>0</v>
      </c>
      <c r="U76" s="130">
        <f>+Actuals!R38</f>
        <v>0</v>
      </c>
      <c r="V76" s="129">
        <f>+Actuals!S38</f>
        <v>0</v>
      </c>
      <c r="W76" s="130">
        <f>+Actuals!T38</f>
        <v>0</v>
      </c>
      <c r="X76" s="129">
        <f>+Actuals!U38</f>
        <v>0</v>
      </c>
      <c r="Y76" s="130">
        <f>+Actuals!V38</f>
        <v>0</v>
      </c>
      <c r="Z76" s="129">
        <f>+Actuals!W38</f>
        <v>0</v>
      </c>
      <c r="AA76" s="130">
        <f>+Actuals!X38</f>
        <v>0</v>
      </c>
      <c r="AB76" s="129">
        <f>+Actuals!Y38</f>
        <v>0</v>
      </c>
      <c r="AC76" s="130">
        <f>+Actuals!Z38</f>
        <v>0</v>
      </c>
      <c r="AD76" s="129">
        <f>+Actuals!AA38</f>
        <v>0</v>
      </c>
      <c r="AE76" s="130">
        <f>+Actuals!AB38</f>
        <v>0</v>
      </c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'TIE-OUT'!P77+RECLASS!P77</f>
        <v>0</v>
      </c>
      <c r="G77" s="60">
        <f>'TIE-OUT'!Q77+RECLASS!Q77</f>
        <v>0</v>
      </c>
      <c r="H77" s="129">
        <f>+Actuals!E39</f>
        <v>0</v>
      </c>
      <c r="I77" s="130">
        <f>+Actuals!F39</f>
        <v>0</v>
      </c>
      <c r="J77" s="129">
        <f>+Actuals!G39</f>
        <v>0</v>
      </c>
      <c r="K77" s="149">
        <f>+Actuals!H39</f>
        <v>0</v>
      </c>
      <c r="L77" s="129">
        <f>+Actuals!I39</f>
        <v>0</v>
      </c>
      <c r="M77" s="130">
        <f>+Actuals!J39</f>
        <v>0</v>
      </c>
      <c r="N77" s="129">
        <f>+Actuals!K39</f>
        <v>0</v>
      </c>
      <c r="O77" s="130">
        <f>+Actuals!L39</f>
        <v>0</v>
      </c>
      <c r="P77" s="129">
        <f>+Actuals!M39</f>
        <v>0</v>
      </c>
      <c r="Q77" s="130">
        <f>+Actuals!N39</f>
        <v>0</v>
      </c>
      <c r="R77" s="129">
        <f>+Actuals!O39</f>
        <v>0</v>
      </c>
      <c r="S77" s="130">
        <f>+Actuals!P39</f>
        <v>0</v>
      </c>
      <c r="T77" s="129">
        <f>+Actuals!Q39</f>
        <v>0</v>
      </c>
      <c r="U77" s="130">
        <f>+Actuals!R39</f>
        <v>0</v>
      </c>
      <c r="V77" s="129">
        <f>+Actuals!S39</f>
        <v>0</v>
      </c>
      <c r="W77" s="130">
        <f>+Actuals!T39</f>
        <v>0</v>
      </c>
      <c r="X77" s="129">
        <f>+Actuals!U39</f>
        <v>0</v>
      </c>
      <c r="Y77" s="130">
        <f>+Actuals!V39</f>
        <v>0</v>
      </c>
      <c r="Z77" s="129">
        <f>+Actuals!W39</f>
        <v>0</v>
      </c>
      <c r="AA77" s="130">
        <f>+Actuals!X39</f>
        <v>0</v>
      </c>
      <c r="AB77" s="129">
        <f>+Actuals!Y39</f>
        <v>0</v>
      </c>
      <c r="AC77" s="130">
        <f>+Actuals!Z39</f>
        <v>0</v>
      </c>
      <c r="AD77" s="129">
        <f>+Actuals!AA39</f>
        <v>0</v>
      </c>
      <c r="AE77" s="130">
        <f>+Actuals!AB39</f>
        <v>0</v>
      </c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'TIE-OUT'!P78+RECLASS!P78</f>
        <v>0</v>
      </c>
      <c r="G78" s="60">
        <f>'TIE-OUT'!Q78+RECLASS!Q78</f>
        <v>0</v>
      </c>
      <c r="H78" s="129">
        <f>+Actuals!E40</f>
        <v>0</v>
      </c>
      <c r="I78" s="130">
        <f>+Actuals!F40</f>
        <v>0</v>
      </c>
      <c r="J78" s="129">
        <f>+Actuals!G40</f>
        <v>0</v>
      </c>
      <c r="K78" s="149">
        <f>+Actuals!H40</f>
        <v>0</v>
      </c>
      <c r="L78" s="129">
        <f>+Actuals!I40</f>
        <v>0</v>
      </c>
      <c r="M78" s="130">
        <f>+Actuals!J40</f>
        <v>0</v>
      </c>
      <c r="N78" s="129">
        <f>+Actuals!K40</f>
        <v>0</v>
      </c>
      <c r="O78" s="130">
        <f>+Actuals!L40</f>
        <v>0</v>
      </c>
      <c r="P78" s="129">
        <f>+Actuals!M40</f>
        <v>0</v>
      </c>
      <c r="Q78" s="130">
        <f>+Actuals!N40</f>
        <v>0</v>
      </c>
      <c r="R78" s="129">
        <f>+Actuals!O40</f>
        <v>0</v>
      </c>
      <c r="S78" s="130">
        <f>+Actuals!P40</f>
        <v>0</v>
      </c>
      <c r="T78" s="129">
        <f>+Actuals!Q40</f>
        <v>0</v>
      </c>
      <c r="U78" s="130">
        <f>+Actuals!R40</f>
        <v>0</v>
      </c>
      <c r="V78" s="129">
        <f>+Actuals!S40</f>
        <v>0</v>
      </c>
      <c r="W78" s="130">
        <f>+Actuals!T40</f>
        <v>0</v>
      </c>
      <c r="X78" s="129">
        <f>+Actuals!U40</f>
        <v>0</v>
      </c>
      <c r="Y78" s="130">
        <f>+Actuals!V40</f>
        <v>0</v>
      </c>
      <c r="Z78" s="129">
        <f>+Actuals!W40</f>
        <v>0</v>
      </c>
      <c r="AA78" s="130">
        <f>+Actuals!X40</f>
        <v>0</v>
      </c>
      <c r="AB78" s="129">
        <f>+Actuals!Y40</f>
        <v>0</v>
      </c>
      <c r="AC78" s="130">
        <f>+Actuals!Z40</f>
        <v>0</v>
      </c>
      <c r="AD78" s="129">
        <f>+Actuals!AA40</f>
        <v>0</v>
      </c>
      <c r="AE78" s="130">
        <f>+Actuals!AB40</f>
        <v>0</v>
      </c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'TIE-OUT'!P79+RECLASS!P79</f>
        <v>0</v>
      </c>
      <c r="G79" s="60">
        <f>'TIE-OUT'!Q79+RECLASS!Q79</f>
        <v>0</v>
      </c>
      <c r="H79" s="129">
        <f>+Actuals!E41</f>
        <v>0</v>
      </c>
      <c r="I79" s="130">
        <f>+Actuals!F41</f>
        <v>0</v>
      </c>
      <c r="J79" s="129">
        <f>+Actuals!G41</f>
        <v>0</v>
      </c>
      <c r="K79" s="149">
        <f>+Actuals!H41</f>
        <v>0</v>
      </c>
      <c r="L79" s="129">
        <f>+Actuals!I41</f>
        <v>0</v>
      </c>
      <c r="M79" s="130">
        <f>+Actuals!J41</f>
        <v>0</v>
      </c>
      <c r="N79" s="129">
        <f>+Actuals!K41</f>
        <v>0</v>
      </c>
      <c r="O79" s="130">
        <f>+Actuals!L41</f>
        <v>0</v>
      </c>
      <c r="P79" s="129">
        <f>+Actuals!M41</f>
        <v>0</v>
      </c>
      <c r="Q79" s="130">
        <f>+Actuals!N41</f>
        <v>0</v>
      </c>
      <c r="R79" s="129">
        <f>+Actuals!O41</f>
        <v>0</v>
      </c>
      <c r="S79" s="130">
        <f>+Actuals!P41</f>
        <v>0</v>
      </c>
      <c r="T79" s="129">
        <f>+Actuals!Q41</f>
        <v>0</v>
      </c>
      <c r="U79" s="130">
        <f>+Actuals!R41</f>
        <v>0</v>
      </c>
      <c r="V79" s="129">
        <f>+Actuals!S41</f>
        <v>0</v>
      </c>
      <c r="W79" s="130">
        <f>+Actuals!T41</f>
        <v>0</v>
      </c>
      <c r="X79" s="129">
        <f>+Actuals!U41</f>
        <v>0</v>
      </c>
      <c r="Y79" s="130">
        <f>+Actuals!V41</f>
        <v>0</v>
      </c>
      <c r="Z79" s="129">
        <f>+Actuals!W41</f>
        <v>0</v>
      </c>
      <c r="AA79" s="130">
        <f>+Actuals!X41</f>
        <v>0</v>
      </c>
      <c r="AB79" s="129">
        <f>+Actuals!Y41</f>
        <v>0</v>
      </c>
      <c r="AC79" s="130">
        <f>+Actuals!Z41</f>
        <v>0</v>
      </c>
      <c r="AD79" s="129">
        <f>+Actuals!AA41</f>
        <v>0</v>
      </c>
      <c r="AE79" s="130">
        <f>+Actuals!AB41</f>
        <v>0</v>
      </c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'TIE-OUT'!P80+RECLASS!P80</f>
        <v>0</v>
      </c>
      <c r="G80" s="60">
        <f>'TIE-OUT'!Q80+RECLASS!Q80</f>
        <v>0</v>
      </c>
      <c r="H80" s="129">
        <f>+Actuals!E42</f>
        <v>0</v>
      </c>
      <c r="I80" s="130">
        <f>+Actuals!F42</f>
        <v>0</v>
      </c>
      <c r="J80" s="129">
        <f>+Actuals!G42</f>
        <v>0</v>
      </c>
      <c r="K80" s="149">
        <f>+Actuals!H42</f>
        <v>0</v>
      </c>
      <c r="L80" s="129">
        <f>+Actuals!I42</f>
        <v>0</v>
      </c>
      <c r="M80" s="130">
        <f>+Actuals!J42</f>
        <v>0</v>
      </c>
      <c r="N80" s="129">
        <f>+Actuals!K42</f>
        <v>0</v>
      </c>
      <c r="O80" s="130">
        <f>+Actuals!L42</f>
        <v>0</v>
      </c>
      <c r="P80" s="129">
        <f>+Actuals!M42</f>
        <v>0</v>
      </c>
      <c r="Q80" s="130">
        <f>+Actuals!N42</f>
        <v>0</v>
      </c>
      <c r="R80" s="129">
        <f>+Actuals!O42</f>
        <v>0</v>
      </c>
      <c r="S80" s="130">
        <f>+Actuals!P42</f>
        <v>0</v>
      </c>
      <c r="T80" s="129">
        <f>+Actuals!Q42</f>
        <v>0</v>
      </c>
      <c r="U80" s="130">
        <f>+Actuals!R42</f>
        <v>0</v>
      </c>
      <c r="V80" s="129">
        <f>+Actuals!S42</f>
        <v>0</v>
      </c>
      <c r="W80" s="130">
        <f>+Actuals!T42</f>
        <v>0</v>
      </c>
      <c r="X80" s="129">
        <f>+Actuals!U42</f>
        <v>0</v>
      </c>
      <c r="Y80" s="130">
        <f>+Actuals!V42</f>
        <v>0</v>
      </c>
      <c r="Z80" s="129">
        <f>+Actuals!W42</f>
        <v>0</v>
      </c>
      <c r="AA80" s="130">
        <f>+Actuals!X42</f>
        <v>0</v>
      </c>
      <c r="AB80" s="129">
        <f>+Actuals!Y42</f>
        <v>0</v>
      </c>
      <c r="AC80" s="130">
        <f>+Actuals!Z42</f>
        <v>0</v>
      </c>
      <c r="AD80" s="129">
        <f>+Actuals!AA42</f>
        <v>0</v>
      </c>
      <c r="AE80" s="130">
        <f>+Actuals!AB42</f>
        <v>0</v>
      </c>
    </row>
    <row r="81" spans="1:31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60">
        <f>'TIE-OUT'!P81+RECLASS!P81</f>
        <v>0</v>
      </c>
      <c r="G81" s="60">
        <f>'TIE-OUT'!Q81+RECLASS!Q81</f>
        <v>0</v>
      </c>
      <c r="H81" s="129">
        <f>+Actuals!E43</f>
        <v>0</v>
      </c>
      <c r="I81" s="162">
        <f>+Actuals!F43</f>
        <v>0</v>
      </c>
      <c r="J81" s="129">
        <f>+Actuals!G43</f>
        <v>0</v>
      </c>
      <c r="K81" s="149">
        <f>+Actuals!H43</f>
        <v>0</v>
      </c>
      <c r="L81" s="129">
        <f>+Actuals!I43</f>
        <v>0</v>
      </c>
      <c r="M81" s="130">
        <f>+Actuals!J43</f>
        <v>0</v>
      </c>
      <c r="N81" s="129">
        <f>+Actuals!K43</f>
        <v>0</v>
      </c>
      <c r="O81" s="130">
        <f>+Actuals!L43</f>
        <v>0</v>
      </c>
      <c r="P81" s="129">
        <f>+Actuals!M43</f>
        <v>0</v>
      </c>
      <c r="Q81" s="130">
        <f>+Actuals!N43</f>
        <v>0</v>
      </c>
      <c r="R81" s="129">
        <f>+Actuals!O43</f>
        <v>0</v>
      </c>
      <c r="S81" s="130">
        <f>+Actuals!P43</f>
        <v>0</v>
      </c>
      <c r="T81" s="129">
        <f>+Actuals!Q43</f>
        <v>0</v>
      </c>
      <c r="U81" s="130">
        <f>+Actuals!R43</f>
        <v>0</v>
      </c>
      <c r="V81" s="129">
        <f>+Actuals!S43</f>
        <v>0</v>
      </c>
      <c r="W81" s="130">
        <f>+Actuals!T43</f>
        <v>0</v>
      </c>
      <c r="X81" s="129">
        <f>+Actuals!U43</f>
        <v>0</v>
      </c>
      <c r="Y81" s="130">
        <f>+Actuals!V43</f>
        <v>0</v>
      </c>
      <c r="Z81" s="129">
        <f>+Actuals!W43</f>
        <v>0</v>
      </c>
      <c r="AA81" s="130">
        <f>+Actuals!X43</f>
        <v>0</v>
      </c>
      <c r="AB81" s="129">
        <f>+Actuals!Y43</f>
        <v>0</v>
      </c>
      <c r="AC81" s="130">
        <f>+Actuals!Z43</f>
        <v>0</v>
      </c>
      <c r="AD81" s="129">
        <f>+Actuals!AA43</f>
        <v>0</v>
      </c>
      <c r="AE81" s="130">
        <f>+Actuals!AB43</f>
        <v>0</v>
      </c>
    </row>
    <row r="82" spans="1:3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149157.6725000001</v>
      </c>
      <c r="F82" s="92">
        <f>F16+F24+F29+F36+F43+F45+F47+F49</f>
        <v>0</v>
      </c>
      <c r="G82" s="93">
        <f>SUM(G72:G81)+G16+G24+G29+G36+G43+G45+G47+G49+G51+G56+G61+G66</f>
        <v>55813.74</v>
      </c>
      <c r="H82" s="92">
        <f>H16+H24+H29+H36+H43+H45+H47+H49</f>
        <v>0</v>
      </c>
      <c r="I82" s="93">
        <f>SUM(I72:I81)+I16+I24+I29+I36+I43+I45+I47+I49+I51+I56+I61+I66</f>
        <v>-129450.97000000003</v>
      </c>
      <c r="J82" s="92">
        <f>J16+J24+J29+J36+J43+J45+J47+J49</f>
        <v>0</v>
      </c>
      <c r="K82" s="112">
        <f>SUM(K72:K81)+K16+K24+K29+K36+K43+K45+K47+K49+K51+K56+K61+K66</f>
        <v>213222.15230000002</v>
      </c>
      <c r="L82" s="92">
        <f>L16+L24+L29+L36+L43+L45+L47+L49</f>
        <v>0</v>
      </c>
      <c r="M82" s="93">
        <f>SUM(M72:M81)+M16+M24+M29+M36+M43+M45+M47+M49+M51+M56+M61+M66</f>
        <v>4109.6475999999984</v>
      </c>
      <c r="N82" s="92">
        <f>N16+N24+N29+N36+N43+N45+N47+N49</f>
        <v>0</v>
      </c>
      <c r="O82" s="93">
        <f>SUM(O72:O81)+O16+O24+O29+O36+O43+O45+O47+O49+O51+O56+O61+O66</f>
        <v>5618.1579000000002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-148.80000000000001</v>
      </c>
      <c r="X82" s="92">
        <f>X16+X24+X29+X36+X43+X45+X47+X49</f>
        <v>0</v>
      </c>
      <c r="Y82" s="93">
        <f>SUM(Y72:Y81)+Y16+Y24+Y29+Y36+Y43+Y45+Y47+Y49+Y51+Y56+Y61+Y66</f>
        <v>13.8</v>
      </c>
      <c r="Z82" s="92">
        <f>Z16+Z24+Z29+Z36+Z43+Z45+Z47+Z49</f>
        <v>0</v>
      </c>
      <c r="AA82" s="93">
        <f>SUM(AA72:AA81)+AA16+AA24+AA29+AA36+AA43+AA45+AA47+AA49+AA51+AA56+AA61+AA66</f>
        <v>-20.055299999999988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76"/>
  <sheetViews>
    <sheetView zoomScale="75" workbookViewId="0">
      <pane xSplit="3" ySplit="9" topLeftCell="T36" activePane="bottomRight" state="frozen"/>
      <selection activeCell="T652" sqref="T652"/>
      <selection pane="topRight" activeCell="T652" sqref="T652"/>
      <selection pane="bottomLeft" activeCell="T652" sqref="T652"/>
      <selection pane="bottomRight" activeCell="Z65" sqref="Z65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5" customWidth="1"/>
    <col min="12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189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39322724</v>
      </c>
      <c r="E11" s="38">
        <f>SUM(G11,I11,K11,M11,O11,Q11,S11,U11,W11,Y11,AA11,AC11,AE11)</f>
        <v>90465883</v>
      </c>
      <c r="F11" s="60">
        <f>'TIE-OUT'!T11+RECLASS!T11</f>
        <v>0</v>
      </c>
      <c r="G11" s="38">
        <f>'TIE-OUT'!U11+RECLASS!U11</f>
        <v>0</v>
      </c>
      <c r="H11" s="129">
        <v>35536904</v>
      </c>
      <c r="I11" s="129">
        <f>81462338-81462338+82233612</f>
        <v>82233612</v>
      </c>
      <c r="J11" s="129">
        <v>2037812</v>
      </c>
      <c r="K11" s="206">
        <v>4135993</v>
      </c>
      <c r="L11" s="129">
        <v>1389256</v>
      </c>
      <c r="M11" s="129">
        <v>3217629</v>
      </c>
      <c r="N11" s="129">
        <v>465947</v>
      </c>
      <c r="O11" s="129">
        <v>1167327</v>
      </c>
      <c r="P11" s="129">
        <v>-104006</v>
      </c>
      <c r="Q11" s="130">
        <v>-306421</v>
      </c>
      <c r="R11" s="129">
        <v>-72051</v>
      </c>
      <c r="S11" s="130">
        <v>-147376</v>
      </c>
      <c r="T11" s="129">
        <v>5177</v>
      </c>
      <c r="U11" s="130">
        <v>8942</v>
      </c>
      <c r="V11" s="129">
        <v>61279</v>
      </c>
      <c r="W11" s="130">
        <v>139837</v>
      </c>
      <c r="X11" s="129">
        <v>-9507</v>
      </c>
      <c r="Y11" s="130">
        <v>-23903</v>
      </c>
      <c r="Z11" s="129">
        <v>11913</v>
      </c>
      <c r="AA11" s="130">
        <v>40243</v>
      </c>
      <c r="AB11" s="129">
        <f>+Actuals!Y4</f>
        <v>0</v>
      </c>
      <c r="AC11" s="130">
        <f>+Actuals!Z4</f>
        <v>0</v>
      </c>
      <c r="AD11" s="129">
        <f>+Actuals!AA4</f>
        <v>0</v>
      </c>
      <c r="AE11" s="130">
        <f>+Actuals!AB4</f>
        <v>0</v>
      </c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-1831308.25</v>
      </c>
      <c r="F12" s="60">
        <f>'TIE-OUT'!T12+RECLASS!T12</f>
        <v>0</v>
      </c>
      <c r="G12" s="38">
        <f>'TIE-OUT'!U12+RECLASS!U12</f>
        <v>-1866308.25</v>
      </c>
      <c r="H12" s="129">
        <v>0</v>
      </c>
      <c r="I12" s="129">
        <v>0</v>
      </c>
      <c r="J12" s="129">
        <v>0</v>
      </c>
      <c r="K12" s="206">
        <v>0</v>
      </c>
      <c r="L12" s="129">
        <v>0</v>
      </c>
      <c r="M12" s="129">
        <v>0</v>
      </c>
      <c r="N12" s="129">
        <v>0</v>
      </c>
      <c r="O12" s="129">
        <v>35000</v>
      </c>
      <c r="P12" s="129">
        <f>+Actuals!M5</f>
        <v>0</v>
      </c>
      <c r="Q12" s="130">
        <f>+Actuals!N5</f>
        <v>0</v>
      </c>
      <c r="R12" s="129">
        <v>0</v>
      </c>
      <c r="S12" s="130">
        <v>0</v>
      </c>
      <c r="T12" s="129">
        <f>+Actuals!Q5</f>
        <v>0</v>
      </c>
      <c r="U12" s="130">
        <f>+Actuals!R5</f>
        <v>0</v>
      </c>
      <c r="V12" s="129">
        <f>+Actuals!S5</f>
        <v>0</v>
      </c>
      <c r="W12" s="130">
        <f>+Actuals!T5</f>
        <v>0</v>
      </c>
      <c r="X12" s="129">
        <f>+Actuals!U5</f>
        <v>0</v>
      </c>
      <c r="Y12" s="130">
        <f>+Actuals!V5</f>
        <v>0</v>
      </c>
      <c r="Z12" s="129">
        <f>+Actuals!W5</f>
        <v>0</v>
      </c>
      <c r="AA12" s="130">
        <f>+Actuals!X5</f>
        <v>0</v>
      </c>
      <c r="AB12" s="129">
        <f>+Actuals!Y5</f>
        <v>0</v>
      </c>
      <c r="AC12" s="130">
        <f>+Actuals!Z5</f>
        <v>0</v>
      </c>
      <c r="AD12" s="129">
        <f>+Actuals!AA5</f>
        <v>0</v>
      </c>
      <c r="AE12" s="130">
        <f>+Actuals!AB5</f>
        <v>0</v>
      </c>
    </row>
    <row r="13" spans="1:31" x14ac:dyDescent="0.25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'TIE-OUT'!T13+RECLASS!T13</f>
        <v>0</v>
      </c>
      <c r="G13" s="38">
        <f>'TIE-OUT'!U13+RECLASS!U13</f>
        <v>0</v>
      </c>
      <c r="H13" s="129">
        <v>0</v>
      </c>
      <c r="I13" s="129">
        <v>0</v>
      </c>
      <c r="J13" s="129">
        <v>0</v>
      </c>
      <c r="K13" s="206">
        <v>0</v>
      </c>
      <c r="L13" s="129">
        <v>0</v>
      </c>
      <c r="M13" s="129">
        <v>0</v>
      </c>
      <c r="N13" s="129">
        <v>0</v>
      </c>
      <c r="O13" s="129">
        <v>0</v>
      </c>
      <c r="P13" s="129">
        <f>+Actuals!M6</f>
        <v>0</v>
      </c>
      <c r="Q13" s="130">
        <f>+Actuals!N6</f>
        <v>0</v>
      </c>
      <c r="R13" s="129">
        <v>0</v>
      </c>
      <c r="S13" s="130">
        <v>0</v>
      </c>
      <c r="T13" s="129">
        <f>+Actuals!Q6</f>
        <v>0</v>
      </c>
      <c r="U13" s="130">
        <f>+Actuals!R6</f>
        <v>0</v>
      </c>
      <c r="V13" s="129">
        <f>+Actuals!S6</f>
        <v>0</v>
      </c>
      <c r="W13" s="130">
        <f>+Actuals!T6</f>
        <v>0</v>
      </c>
      <c r="X13" s="129">
        <f>+Actuals!U6</f>
        <v>0</v>
      </c>
      <c r="Y13" s="130">
        <f>+Actuals!V6</f>
        <v>0</v>
      </c>
      <c r="Z13" s="129">
        <f>+Actuals!W6</f>
        <v>0</v>
      </c>
      <c r="AA13" s="130">
        <f>+Actuals!X6</f>
        <v>0</v>
      </c>
      <c r="AB13" s="129">
        <f>+Actuals!Y6</f>
        <v>0</v>
      </c>
      <c r="AC13" s="130">
        <f>+Actuals!Z6</f>
        <v>0</v>
      </c>
      <c r="AD13" s="129">
        <f>+Actuals!AA6</f>
        <v>0</v>
      </c>
      <c r="AE13" s="130">
        <f>+Actuals!AB6</f>
        <v>0</v>
      </c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129">
        <v>0</v>
      </c>
      <c r="I14" s="129">
        <v>0</v>
      </c>
      <c r="J14" s="129">
        <v>0</v>
      </c>
      <c r="K14" s="206">
        <v>0</v>
      </c>
      <c r="L14" s="129">
        <v>0</v>
      </c>
      <c r="M14" s="129">
        <v>0</v>
      </c>
      <c r="N14" s="129">
        <v>0</v>
      </c>
      <c r="O14" s="129">
        <v>0</v>
      </c>
      <c r="P14" s="129">
        <f>+Actuals!M7</f>
        <v>0</v>
      </c>
      <c r="Q14" s="130">
        <f>+Actuals!N7</f>
        <v>0</v>
      </c>
      <c r="R14" s="129">
        <v>0</v>
      </c>
      <c r="S14" s="130">
        <v>0</v>
      </c>
      <c r="T14" s="129">
        <f>+Actuals!Q7</f>
        <v>0</v>
      </c>
      <c r="U14" s="130">
        <f>+Actuals!R7</f>
        <v>0</v>
      </c>
      <c r="V14" s="129">
        <f>+Actuals!S7</f>
        <v>0</v>
      </c>
      <c r="W14" s="130">
        <f>+Actuals!T7</f>
        <v>0</v>
      </c>
      <c r="X14" s="129">
        <f>+Actuals!U7</f>
        <v>0</v>
      </c>
      <c r="Y14" s="130">
        <f>+Actuals!V7</f>
        <v>0</v>
      </c>
      <c r="Z14" s="129">
        <f>+Actuals!W7</f>
        <v>0</v>
      </c>
      <c r="AA14" s="130">
        <f>+Actuals!X7</f>
        <v>0</v>
      </c>
      <c r="AB14" s="129">
        <f>+Actuals!Y7</f>
        <v>0</v>
      </c>
      <c r="AC14" s="130">
        <f>+Actuals!Z7</f>
        <v>0</v>
      </c>
      <c r="AD14" s="129">
        <f>+Actuals!AA7</f>
        <v>0</v>
      </c>
      <c r="AE14" s="130">
        <f>+Actuals!AB7</f>
        <v>0</v>
      </c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129">
        <v>0</v>
      </c>
      <c r="I15" s="129">
        <v>0</v>
      </c>
      <c r="J15" s="129">
        <v>0</v>
      </c>
      <c r="K15" s="206">
        <v>0</v>
      </c>
      <c r="L15" s="129">
        <v>0</v>
      </c>
      <c r="M15" s="129">
        <v>0</v>
      </c>
      <c r="N15" s="129">
        <v>0</v>
      </c>
      <c r="O15" s="129">
        <v>0</v>
      </c>
      <c r="P15" s="129">
        <f>+Actuals!M8</f>
        <v>0</v>
      </c>
      <c r="Q15" s="130">
        <f>+Actuals!N8</f>
        <v>0</v>
      </c>
      <c r="R15" s="129">
        <v>0</v>
      </c>
      <c r="S15" s="130">
        <v>0</v>
      </c>
      <c r="T15" s="129">
        <f>+Actuals!Q8</f>
        <v>0</v>
      </c>
      <c r="U15" s="130">
        <f>+Actuals!R8</f>
        <v>0</v>
      </c>
      <c r="V15" s="129">
        <f>+Actuals!S8</f>
        <v>0</v>
      </c>
      <c r="W15" s="130">
        <f>+Actuals!T8</f>
        <v>0</v>
      </c>
      <c r="X15" s="129">
        <f>+Actuals!U8</f>
        <v>0</v>
      </c>
      <c r="Y15" s="130">
        <f>+Actuals!V8</f>
        <v>0</v>
      </c>
      <c r="Z15" s="129">
        <f>+Actuals!W8</f>
        <v>0</v>
      </c>
      <c r="AA15" s="130">
        <f>+Actuals!X8</f>
        <v>0</v>
      </c>
      <c r="AB15" s="129">
        <f>+Actuals!Y8</f>
        <v>0</v>
      </c>
      <c r="AC15" s="130">
        <f>+Actuals!Z8</f>
        <v>0</v>
      </c>
      <c r="AD15" s="129">
        <f>+Actuals!AA8</f>
        <v>0</v>
      </c>
      <c r="AE15" s="130">
        <f>+Actuals!AB8</f>
        <v>0</v>
      </c>
    </row>
    <row r="16" spans="1:31" x14ac:dyDescent="0.25">
      <c r="A16" s="9"/>
      <c r="B16" s="7" t="s">
        <v>31</v>
      </c>
      <c r="C16" s="6"/>
      <c r="D16" s="61">
        <f>SUM(D11:D15)</f>
        <v>39322724</v>
      </c>
      <c r="E16" s="39">
        <f>SUM(E11:E15)</f>
        <v>88634574.75</v>
      </c>
      <c r="F16" s="61">
        <f t="shared" ref="F16:AE16" si="1">SUM(F11:F15)</f>
        <v>0</v>
      </c>
      <c r="G16" s="39">
        <f t="shared" si="1"/>
        <v>-1866308.25</v>
      </c>
      <c r="H16" s="61">
        <f t="shared" si="1"/>
        <v>35536904</v>
      </c>
      <c r="I16" s="61">
        <f t="shared" si="1"/>
        <v>82233612</v>
      </c>
      <c r="J16" s="61">
        <f t="shared" si="1"/>
        <v>2037812</v>
      </c>
      <c r="K16" s="204">
        <f t="shared" si="1"/>
        <v>4135993</v>
      </c>
      <c r="L16" s="61">
        <f t="shared" si="1"/>
        <v>1389256</v>
      </c>
      <c r="M16" s="61">
        <f t="shared" si="1"/>
        <v>3217629</v>
      </c>
      <c r="N16" s="61">
        <f>SUM(N11:N15)</f>
        <v>465947</v>
      </c>
      <c r="O16" s="61">
        <f>SUM(O11:O15)</f>
        <v>1202327</v>
      </c>
      <c r="P16" s="61">
        <f t="shared" si="1"/>
        <v>-104006</v>
      </c>
      <c r="Q16" s="39">
        <f t="shared" si="1"/>
        <v>-306421</v>
      </c>
      <c r="R16" s="61">
        <f t="shared" si="1"/>
        <v>-72051</v>
      </c>
      <c r="S16" s="39">
        <f t="shared" si="1"/>
        <v>-147376</v>
      </c>
      <c r="T16" s="61">
        <f t="shared" si="1"/>
        <v>5177</v>
      </c>
      <c r="U16" s="39">
        <f t="shared" si="1"/>
        <v>8942</v>
      </c>
      <c r="V16" s="61">
        <f t="shared" ref="V16:AA16" si="2">SUM(V11:V15)</f>
        <v>61279</v>
      </c>
      <c r="W16" s="39">
        <f t="shared" si="2"/>
        <v>139837</v>
      </c>
      <c r="X16" s="61">
        <f t="shared" si="2"/>
        <v>-9507</v>
      </c>
      <c r="Y16" s="39">
        <f t="shared" si="2"/>
        <v>-23903</v>
      </c>
      <c r="Z16" s="61">
        <f t="shared" si="2"/>
        <v>11913</v>
      </c>
      <c r="AA16" s="39">
        <f t="shared" si="2"/>
        <v>40243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8"/>
      <c r="L17" s="60"/>
      <c r="M17" s="60"/>
      <c r="N17" s="60"/>
      <c r="O17" s="60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60"/>
      <c r="J18" s="60"/>
      <c r="K18" s="178"/>
      <c r="L18" s="60"/>
      <c r="M18" s="60"/>
      <c r="N18" s="60"/>
      <c r="O18" s="60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-47180876</v>
      </c>
      <c r="E19" s="38">
        <f t="shared" si="3"/>
        <v>-104502296</v>
      </c>
      <c r="F19" s="64">
        <f>'TIE-OUT'!T19+RECLASS!T19</f>
        <v>0</v>
      </c>
      <c r="G19" s="68">
        <f>'TIE-OUT'!U19+RECLASS!U19</f>
        <v>0</v>
      </c>
      <c r="H19" s="129">
        <v>-46479770</v>
      </c>
      <c r="I19" s="129">
        <v>-103031209</v>
      </c>
      <c r="J19" s="129">
        <v>1331527</v>
      </c>
      <c r="K19" s="206">
        <v>2961911</v>
      </c>
      <c r="L19" s="129">
        <v>-1868162</v>
      </c>
      <c r="M19" s="129">
        <v>-4048939</v>
      </c>
      <c r="N19" s="129">
        <v>39594</v>
      </c>
      <c r="O19" s="129">
        <v>65664</v>
      </c>
      <c r="P19" s="129">
        <v>-30590</v>
      </c>
      <c r="Q19" s="130">
        <v>-57343</v>
      </c>
      <c r="R19" s="129">
        <v>61682</v>
      </c>
      <c r="S19" s="130">
        <v>162216</v>
      </c>
      <c r="T19" s="129">
        <v>-63239</v>
      </c>
      <c r="U19" s="130">
        <v>-112805</v>
      </c>
      <c r="V19" s="129">
        <v>11030</v>
      </c>
      <c r="W19" s="130">
        <v>14216</v>
      </c>
      <c r="X19" s="129">
        <v>-64229</v>
      </c>
      <c r="Y19" s="130">
        <v>-192899</v>
      </c>
      <c r="Z19" s="129">
        <v>-118719</v>
      </c>
      <c r="AA19" s="130">
        <v>-263108</v>
      </c>
      <c r="AB19" s="129">
        <f>+Actuals!Y9</f>
        <v>0</v>
      </c>
      <c r="AC19" s="130">
        <f>+Actuals!Z9</f>
        <v>0</v>
      </c>
      <c r="AD19" s="129">
        <f>+Actuals!AA9</f>
        <v>0</v>
      </c>
      <c r="AE19" s="130">
        <f>+Actuals!AB9</f>
        <v>0</v>
      </c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-2670689.64</v>
      </c>
      <c r="F20" s="60">
        <f>'TIE-OUT'!T20+RECLASS!T20</f>
        <v>0</v>
      </c>
      <c r="G20" s="38">
        <f>'TIE-OUT'!U20+RECLASS!U20</f>
        <v>-2670689.64</v>
      </c>
      <c r="H20" s="129">
        <v>0</v>
      </c>
      <c r="I20" s="129">
        <v>0</v>
      </c>
      <c r="J20" s="129">
        <v>0</v>
      </c>
      <c r="K20" s="206">
        <v>0</v>
      </c>
      <c r="L20" s="129">
        <v>0</v>
      </c>
      <c r="M20" s="129">
        <v>0</v>
      </c>
      <c r="N20" s="129">
        <v>0</v>
      </c>
      <c r="O20" s="129">
        <v>0</v>
      </c>
      <c r="P20" s="129">
        <f>+Actuals!M10</f>
        <v>0</v>
      </c>
      <c r="Q20" s="130">
        <f>+Actuals!N10</f>
        <v>0</v>
      </c>
      <c r="R20" s="129">
        <v>0</v>
      </c>
      <c r="S20" s="130">
        <v>0</v>
      </c>
      <c r="T20" s="129">
        <f>+Actuals!Q10</f>
        <v>0</v>
      </c>
      <c r="U20" s="130">
        <f>+Actuals!R10</f>
        <v>0</v>
      </c>
      <c r="V20" s="129">
        <f>+Actuals!S10</f>
        <v>0</v>
      </c>
      <c r="W20" s="130">
        <f>+Actuals!T10</f>
        <v>0</v>
      </c>
      <c r="X20" s="129">
        <f>+Actuals!U10</f>
        <v>0</v>
      </c>
      <c r="Y20" s="130">
        <f>+Actuals!V10</f>
        <v>0</v>
      </c>
      <c r="Z20" s="129">
        <f>+Actuals!W10</f>
        <v>0</v>
      </c>
      <c r="AA20" s="130">
        <f>+Actuals!X10</f>
        <v>0</v>
      </c>
      <c r="AB20" s="129">
        <f>+Actuals!Y10</f>
        <v>0</v>
      </c>
      <c r="AC20" s="130">
        <f>+Actuals!Z10</f>
        <v>0</v>
      </c>
      <c r="AD20" s="129">
        <f>+Actuals!AA10</f>
        <v>0</v>
      </c>
      <c r="AE20" s="130">
        <f>+Actuals!AB10</f>
        <v>0</v>
      </c>
    </row>
    <row r="21" spans="1:31" x14ac:dyDescent="0.25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60">
        <f>'TIE-OUT'!T21+RECLASS!T21</f>
        <v>0</v>
      </c>
      <c r="G21" s="38">
        <f>'TIE-OUT'!U21+RECLASS!U21</f>
        <v>0</v>
      </c>
      <c r="H21" s="129">
        <v>0</v>
      </c>
      <c r="I21" s="129">
        <v>0</v>
      </c>
      <c r="J21" s="129">
        <v>0</v>
      </c>
      <c r="K21" s="206">
        <v>0</v>
      </c>
      <c r="L21" s="129">
        <v>0</v>
      </c>
      <c r="M21" s="129">
        <v>0</v>
      </c>
      <c r="N21" s="129">
        <v>0</v>
      </c>
      <c r="O21" s="129">
        <v>0</v>
      </c>
      <c r="P21" s="129">
        <f>+Actuals!M11</f>
        <v>0</v>
      </c>
      <c r="Q21" s="130">
        <f>+Actuals!N11</f>
        <v>0</v>
      </c>
      <c r="R21" s="129">
        <v>0</v>
      </c>
      <c r="S21" s="130">
        <v>0</v>
      </c>
      <c r="T21" s="129">
        <f>+Actuals!Q11</f>
        <v>0</v>
      </c>
      <c r="U21" s="130">
        <f>+Actuals!R11</f>
        <v>0</v>
      </c>
      <c r="V21" s="129">
        <f>+Actuals!S11</f>
        <v>0</v>
      </c>
      <c r="W21" s="130">
        <f>+Actuals!T11</f>
        <v>0</v>
      </c>
      <c r="X21" s="129">
        <f>+Actuals!U11</f>
        <v>0</v>
      </c>
      <c r="Y21" s="130">
        <f>+Actuals!V11</f>
        <v>0</v>
      </c>
      <c r="Z21" s="129">
        <f>+Actuals!W11</f>
        <v>0</v>
      </c>
      <c r="AA21" s="130">
        <f>+Actuals!X11</f>
        <v>0</v>
      </c>
      <c r="AB21" s="129">
        <f>+Actuals!Y11</f>
        <v>0</v>
      </c>
      <c r="AC21" s="130">
        <f>+Actuals!Z11</f>
        <v>0</v>
      </c>
      <c r="AD21" s="129">
        <f>+Actuals!AA11</f>
        <v>0</v>
      </c>
      <c r="AE21" s="130">
        <f>+Actuals!AB11</f>
        <v>0</v>
      </c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'TIE-OUT'!T22+RECLASS!T22</f>
        <v>0</v>
      </c>
      <c r="G22" s="38">
        <f>'TIE-OUT'!U22+RECLASS!U22</f>
        <v>0</v>
      </c>
      <c r="H22" s="129">
        <v>0</v>
      </c>
      <c r="I22" s="129">
        <v>0</v>
      </c>
      <c r="J22" s="129">
        <v>0</v>
      </c>
      <c r="K22" s="206">
        <v>0</v>
      </c>
      <c r="L22" s="129">
        <v>0</v>
      </c>
      <c r="M22" s="129">
        <v>0</v>
      </c>
      <c r="N22" s="129">
        <v>0</v>
      </c>
      <c r="O22" s="129">
        <v>0</v>
      </c>
      <c r="P22" s="129">
        <f>+Actuals!M12</f>
        <v>0</v>
      </c>
      <c r="Q22" s="130">
        <f>+Actuals!N12</f>
        <v>0</v>
      </c>
      <c r="R22" s="129">
        <v>0</v>
      </c>
      <c r="S22" s="130">
        <v>0</v>
      </c>
      <c r="T22" s="129">
        <f>+Actuals!Q12</f>
        <v>0</v>
      </c>
      <c r="U22" s="130">
        <f>+Actuals!R12</f>
        <v>0</v>
      </c>
      <c r="V22" s="129">
        <f>+Actuals!S12</f>
        <v>0</v>
      </c>
      <c r="W22" s="130">
        <f>+Actuals!T12</f>
        <v>0</v>
      </c>
      <c r="X22" s="129">
        <f>+Actuals!U12</f>
        <v>0</v>
      </c>
      <c r="Y22" s="130">
        <f>+Actuals!V12</f>
        <v>0</v>
      </c>
      <c r="Z22" s="129">
        <f>+Actuals!W12</f>
        <v>0</v>
      </c>
      <c r="AA22" s="130">
        <f>+Actuals!X12</f>
        <v>0</v>
      </c>
      <c r="AB22" s="129">
        <f>+Actuals!Y12</f>
        <v>0</v>
      </c>
      <c r="AC22" s="130">
        <f>+Actuals!Z12</f>
        <v>0</v>
      </c>
      <c r="AD22" s="129">
        <f>+Actuals!AA12</f>
        <v>0</v>
      </c>
      <c r="AE22" s="130">
        <f>+Actuals!AB12</f>
        <v>0</v>
      </c>
    </row>
    <row r="23" spans="1:31" x14ac:dyDescent="0.25">
      <c r="A23" s="9">
        <v>10</v>
      </c>
      <c r="B23" s="7"/>
      <c r="C23" s="18" t="s">
        <v>33</v>
      </c>
      <c r="D23" s="60">
        <f t="shared" si="3"/>
        <v>0</v>
      </c>
      <c r="E23" s="38">
        <f t="shared" si="3"/>
        <v>0</v>
      </c>
      <c r="F23" s="81">
        <f>'TIE-OUT'!T23+RECLASS!T23</f>
        <v>0</v>
      </c>
      <c r="G23" s="82">
        <f>'TIE-OUT'!U23+RECLASS!U23</f>
        <v>0</v>
      </c>
      <c r="H23" s="129">
        <v>0</v>
      </c>
      <c r="I23" s="129">
        <v>0</v>
      </c>
      <c r="J23" s="129">
        <v>0</v>
      </c>
      <c r="K23" s="206">
        <v>0</v>
      </c>
      <c r="L23" s="129">
        <v>0</v>
      </c>
      <c r="M23" s="129">
        <v>0</v>
      </c>
      <c r="N23" s="129">
        <v>0</v>
      </c>
      <c r="O23" s="129">
        <v>0</v>
      </c>
      <c r="P23" s="129">
        <f>+Actuals!M13</f>
        <v>0</v>
      </c>
      <c r="Q23" s="130">
        <f>+Actuals!N13</f>
        <v>0</v>
      </c>
      <c r="R23" s="129">
        <v>0</v>
      </c>
      <c r="S23" s="130">
        <v>0</v>
      </c>
      <c r="T23" s="129">
        <f>+Actuals!Q13</f>
        <v>0</v>
      </c>
      <c r="U23" s="130">
        <f>+Actuals!R13</f>
        <v>0</v>
      </c>
      <c r="V23" s="129">
        <f>+Actuals!S13</f>
        <v>0</v>
      </c>
      <c r="W23" s="130">
        <f>+Actuals!T13</f>
        <v>0</v>
      </c>
      <c r="X23" s="129">
        <f>+Actuals!U13</f>
        <v>0</v>
      </c>
      <c r="Y23" s="130">
        <f>+Actuals!V13</f>
        <v>0</v>
      </c>
      <c r="Z23" s="129">
        <f>+Actuals!W13</f>
        <v>0</v>
      </c>
      <c r="AA23" s="130">
        <f>+Actuals!X13</f>
        <v>0</v>
      </c>
      <c r="AB23" s="129">
        <f>+Actuals!Y13</f>
        <v>0</v>
      </c>
      <c r="AC23" s="130">
        <f>+Actuals!Z13</f>
        <v>0</v>
      </c>
      <c r="AD23" s="129">
        <f>+Actuals!AA13</f>
        <v>0</v>
      </c>
      <c r="AE23" s="130">
        <f>+Actuals!AB13</f>
        <v>0</v>
      </c>
    </row>
    <row r="24" spans="1:31" x14ac:dyDescent="0.25">
      <c r="A24" s="9"/>
      <c r="B24" s="7" t="s">
        <v>34</v>
      </c>
      <c r="C24" s="6"/>
      <c r="D24" s="61">
        <f>SUM(D19:D23)</f>
        <v>-47180876</v>
      </c>
      <c r="E24" s="39">
        <f>SUM(E19:E23)</f>
        <v>-107172985.64</v>
      </c>
      <c r="F24" s="61">
        <f t="shared" ref="F24:AE24" si="4">SUM(F19:F23)</f>
        <v>0</v>
      </c>
      <c r="G24" s="39">
        <f t="shared" si="4"/>
        <v>-2670689.64</v>
      </c>
      <c r="H24" s="61">
        <f t="shared" si="4"/>
        <v>-46479770</v>
      </c>
      <c r="I24" s="61">
        <f t="shared" si="4"/>
        <v>-103031209</v>
      </c>
      <c r="J24" s="61">
        <f t="shared" si="4"/>
        <v>1331527</v>
      </c>
      <c r="K24" s="204">
        <f t="shared" si="4"/>
        <v>2961911</v>
      </c>
      <c r="L24" s="61">
        <f t="shared" si="4"/>
        <v>-1868162</v>
      </c>
      <c r="M24" s="61">
        <f t="shared" si="4"/>
        <v>-4048939</v>
      </c>
      <c r="N24" s="61">
        <f>SUM(N19:N23)</f>
        <v>39594</v>
      </c>
      <c r="O24" s="61">
        <f>SUM(O19:O23)</f>
        <v>65664</v>
      </c>
      <c r="P24" s="61">
        <f t="shared" si="4"/>
        <v>-30590</v>
      </c>
      <c r="Q24" s="39">
        <f t="shared" si="4"/>
        <v>-57343</v>
      </c>
      <c r="R24" s="61">
        <f t="shared" si="4"/>
        <v>61682</v>
      </c>
      <c r="S24" s="39">
        <f t="shared" si="4"/>
        <v>162216</v>
      </c>
      <c r="T24" s="61">
        <f t="shared" si="4"/>
        <v>-63239</v>
      </c>
      <c r="U24" s="39">
        <f t="shared" si="4"/>
        <v>-112805</v>
      </c>
      <c r="V24" s="61">
        <f t="shared" ref="V24:AA24" si="5">SUM(V19:V23)</f>
        <v>11030</v>
      </c>
      <c r="W24" s="39">
        <f t="shared" si="5"/>
        <v>14216</v>
      </c>
      <c r="X24" s="61">
        <f t="shared" si="5"/>
        <v>-64229</v>
      </c>
      <c r="Y24" s="39">
        <f t="shared" si="5"/>
        <v>-192899</v>
      </c>
      <c r="Z24" s="61">
        <f t="shared" si="5"/>
        <v>-118719</v>
      </c>
      <c r="AA24" s="39">
        <f t="shared" si="5"/>
        <v>-263108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8"/>
      <c r="L25" s="60"/>
      <c r="M25" s="60"/>
      <c r="N25" s="60"/>
      <c r="O25" s="60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60"/>
      <c r="J26" s="60"/>
      <c r="K26" s="178"/>
      <c r="L26" s="60"/>
      <c r="M26" s="60"/>
      <c r="N26" s="60"/>
      <c r="O26" s="60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8522284</v>
      </c>
      <c r="E27" s="38">
        <f>SUM(G27,I27,K27,M27,O27,Q27,S27,U27,W27,Y27,AA27,AC27,AE27)</f>
        <v>19602710</v>
      </c>
      <c r="F27" s="64">
        <f>'TIE-OUT'!T27+RECLASS!T27</f>
        <v>0</v>
      </c>
      <c r="G27" s="68">
        <f>'TIE-OUT'!U27+RECLASS!U27</f>
        <v>0</v>
      </c>
      <c r="H27" s="129">
        <f>10508422+7006</f>
        <v>10515428</v>
      </c>
      <c r="I27" s="129">
        <f>24169630+16095</f>
        <v>24185725</v>
      </c>
      <c r="J27" s="129">
        <v>-1930071</v>
      </c>
      <c r="K27" s="206">
        <f>-4431391-196</f>
        <v>-4431587</v>
      </c>
      <c r="L27" s="129">
        <f>9675-744</f>
        <v>8931</v>
      </c>
      <c r="M27" s="129">
        <f>22465-1495</f>
        <v>20970</v>
      </c>
      <c r="N27" s="129">
        <v>-121973</v>
      </c>
      <c r="O27" s="129">
        <v>-284397</v>
      </c>
      <c r="P27" s="129">
        <v>21404</v>
      </c>
      <c r="Q27" s="130">
        <v>46507</v>
      </c>
      <c r="R27" s="129">
        <v>9672</v>
      </c>
      <c r="S27" s="130">
        <v>23648</v>
      </c>
      <c r="T27" s="129">
        <f>+Actuals!Q14</f>
        <v>0</v>
      </c>
      <c r="U27" s="130">
        <f>+Actuals!R14</f>
        <v>0</v>
      </c>
      <c r="V27" s="129">
        <v>744</v>
      </c>
      <c r="W27" s="130">
        <v>1691</v>
      </c>
      <c r="X27" s="129">
        <v>16106</v>
      </c>
      <c r="Y27" s="130">
        <v>35431</v>
      </c>
      <c r="Z27" s="129">
        <v>2043</v>
      </c>
      <c r="AA27" s="130">
        <v>4722</v>
      </c>
      <c r="AB27" s="129">
        <f>+Actuals!Y14</f>
        <v>0</v>
      </c>
      <c r="AC27" s="130">
        <f>+Actuals!Z14</f>
        <v>0</v>
      </c>
      <c r="AD27" s="129">
        <f>+Actuals!AA14</f>
        <v>0</v>
      </c>
      <c r="AE27" s="130">
        <f>+Actuals!AB14</f>
        <v>0</v>
      </c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-3755561</v>
      </c>
      <c r="E28" s="38">
        <f>SUM(G28,I28,K28,M28,O28,Q28,S28,U28,W28,Y28,AA28,AC28,AE28)</f>
        <v>-8576323</v>
      </c>
      <c r="F28" s="81">
        <f>'TIE-OUT'!T28+RECLASS!T28</f>
        <v>0</v>
      </c>
      <c r="G28" s="82">
        <f>'TIE-OUT'!U28+RECLASS!U28</f>
        <v>0</v>
      </c>
      <c r="H28" s="129">
        <v>-4003094</v>
      </c>
      <c r="I28" s="129">
        <v>-7953074</v>
      </c>
      <c r="J28" s="129">
        <f>-10602+249632</f>
        <v>239030</v>
      </c>
      <c r="K28" s="206">
        <f>-1196558+554609</f>
        <v>-641949</v>
      </c>
      <c r="L28" s="129">
        <f>29997+18205</f>
        <v>48202</v>
      </c>
      <c r="M28" s="129">
        <f>65093+40446</f>
        <v>105539</v>
      </c>
      <c r="N28" s="129">
        <f>-8157-29519</f>
        <v>-37676</v>
      </c>
      <c r="O28" s="129">
        <f>-63924-18315</f>
        <v>-82239</v>
      </c>
      <c r="P28" s="129">
        <f>+Actuals!M15</f>
        <v>0</v>
      </c>
      <c r="Q28" s="130">
        <f>+Actuals!N15</f>
        <v>0</v>
      </c>
      <c r="R28" s="129">
        <v>0</v>
      </c>
      <c r="S28" s="130">
        <v>0</v>
      </c>
      <c r="T28" s="129">
        <f>+Actuals!Q15</f>
        <v>0</v>
      </c>
      <c r="U28" s="130">
        <f>+Actuals!R15</f>
        <v>0</v>
      </c>
      <c r="V28" s="129">
        <v>-1279</v>
      </c>
      <c r="W28" s="130">
        <v>-2929</v>
      </c>
      <c r="X28" s="129">
        <v>0</v>
      </c>
      <c r="Y28" s="130">
        <v>0</v>
      </c>
      <c r="Z28" s="129">
        <v>-744</v>
      </c>
      <c r="AA28" s="130">
        <v>-1671</v>
      </c>
      <c r="AB28" s="129">
        <f>+Actuals!Y15</f>
        <v>0</v>
      </c>
      <c r="AC28" s="130">
        <f>+Actuals!Z15</f>
        <v>0</v>
      </c>
      <c r="AD28" s="129">
        <f>+Actuals!AA15</f>
        <v>0</v>
      </c>
      <c r="AE28" s="130">
        <f>+Actuals!AB15</f>
        <v>0</v>
      </c>
    </row>
    <row r="29" spans="1:31" x14ac:dyDescent="0.25">
      <c r="A29" s="9"/>
      <c r="B29" s="7" t="s">
        <v>38</v>
      </c>
      <c r="C29" s="18"/>
      <c r="D29" s="61">
        <f>SUM(D27:D28)</f>
        <v>4766723</v>
      </c>
      <c r="E29" s="39">
        <f>SUM(E27:E28)</f>
        <v>11026387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6512334</v>
      </c>
      <c r="I29" s="61">
        <f t="shared" si="6"/>
        <v>16232651</v>
      </c>
      <c r="J29" s="61">
        <f t="shared" si="6"/>
        <v>-1691041</v>
      </c>
      <c r="K29" s="204">
        <f t="shared" si="6"/>
        <v>-5073536</v>
      </c>
      <c r="L29" s="61">
        <f t="shared" si="6"/>
        <v>57133</v>
      </c>
      <c r="M29" s="61">
        <f t="shared" si="6"/>
        <v>126509</v>
      </c>
      <c r="N29" s="61">
        <f>SUM(N27:N28)</f>
        <v>-159649</v>
      </c>
      <c r="O29" s="61">
        <f>SUM(O27:O28)</f>
        <v>-366636</v>
      </c>
      <c r="P29" s="61">
        <f t="shared" si="6"/>
        <v>21404</v>
      </c>
      <c r="Q29" s="39">
        <f t="shared" si="6"/>
        <v>46507</v>
      </c>
      <c r="R29" s="61">
        <f t="shared" si="6"/>
        <v>9672</v>
      </c>
      <c r="S29" s="39">
        <f t="shared" si="6"/>
        <v>23648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-535</v>
      </c>
      <c r="W29" s="39">
        <f t="shared" si="7"/>
        <v>-1238</v>
      </c>
      <c r="X29" s="61">
        <f t="shared" si="7"/>
        <v>16106</v>
      </c>
      <c r="Y29" s="39">
        <f t="shared" si="7"/>
        <v>35431</v>
      </c>
      <c r="Z29" s="61">
        <f t="shared" si="7"/>
        <v>1299</v>
      </c>
      <c r="AA29" s="39">
        <f t="shared" si="7"/>
        <v>3051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8"/>
      <c r="L30" s="60"/>
      <c r="M30" s="60"/>
      <c r="N30" s="60"/>
      <c r="O30" s="60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60"/>
      <c r="J31" s="60"/>
      <c r="K31" s="178"/>
      <c r="L31" s="60"/>
      <c r="M31" s="60"/>
      <c r="N31" s="60"/>
      <c r="O31" s="60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-277529</v>
      </c>
      <c r="E32" s="38">
        <f t="shared" si="8"/>
        <v>-624441</v>
      </c>
      <c r="F32" s="64">
        <f>'TIE-OUT'!T32+RECLASS!T32</f>
        <v>0</v>
      </c>
      <c r="G32" s="68">
        <f>'TIE-OUT'!U32+RECLASS!U32</f>
        <v>0</v>
      </c>
      <c r="H32" s="129">
        <v>0</v>
      </c>
      <c r="I32" s="129">
        <v>0</v>
      </c>
      <c r="J32" s="129">
        <v>-287158</v>
      </c>
      <c r="K32" s="206">
        <v>-635573</v>
      </c>
      <c r="L32" s="129">
        <v>114166</v>
      </c>
      <c r="M32" s="129">
        <v>189080</v>
      </c>
      <c r="N32" s="129">
        <v>-16408</v>
      </c>
      <c r="O32" s="129">
        <v>-67729</v>
      </c>
      <c r="P32" s="129">
        <v>-298987</v>
      </c>
      <c r="Q32" s="130">
        <v>-697467</v>
      </c>
      <c r="R32" s="129">
        <v>-93190</v>
      </c>
      <c r="S32" s="130">
        <v>-96860</v>
      </c>
      <c r="T32" s="129">
        <v>281389</v>
      </c>
      <c r="U32" s="130">
        <v>633125</v>
      </c>
      <c r="V32" s="129">
        <v>-282195</v>
      </c>
      <c r="W32" s="130">
        <v>-634939</v>
      </c>
      <c r="X32" s="129">
        <v>114158</v>
      </c>
      <c r="Y32" s="130">
        <v>256856</v>
      </c>
      <c r="Z32" s="129">
        <v>190696</v>
      </c>
      <c r="AA32" s="130">
        <v>429066</v>
      </c>
      <c r="AB32" s="129">
        <f>+Actuals!Y16</f>
        <v>0</v>
      </c>
      <c r="AC32" s="130">
        <f>+Actuals!Z16</f>
        <v>0</v>
      </c>
      <c r="AD32" s="129">
        <f>+Actuals!AA16</f>
        <v>0</v>
      </c>
      <c r="AE32" s="130">
        <f>+Actuals!AB16</f>
        <v>0</v>
      </c>
    </row>
    <row r="33" spans="1:31" x14ac:dyDescent="0.25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'TIE-OUT'!T33+RECLASS!T33</f>
        <v>0</v>
      </c>
      <c r="G33" s="38">
        <f>'TIE-OUT'!U33+RECLASS!U33</f>
        <v>0</v>
      </c>
      <c r="H33" s="129">
        <v>0</v>
      </c>
      <c r="I33" s="129">
        <v>0</v>
      </c>
      <c r="J33" s="129">
        <v>0</v>
      </c>
      <c r="K33" s="206">
        <v>0</v>
      </c>
      <c r="L33" s="129">
        <v>0</v>
      </c>
      <c r="M33" s="129">
        <v>0</v>
      </c>
      <c r="N33" s="129">
        <v>0</v>
      </c>
      <c r="O33" s="129">
        <v>0</v>
      </c>
      <c r="P33" s="129">
        <f>+Actuals!M17</f>
        <v>0</v>
      </c>
      <c r="Q33" s="130">
        <f>+Actuals!N17</f>
        <v>0</v>
      </c>
      <c r="R33" s="129">
        <v>0</v>
      </c>
      <c r="S33" s="130">
        <v>0</v>
      </c>
      <c r="T33" s="129">
        <f>+Actuals!Q17</f>
        <v>0</v>
      </c>
      <c r="U33" s="130">
        <f>+Actuals!R17</f>
        <v>0</v>
      </c>
      <c r="V33" s="129"/>
      <c r="W33" s="130"/>
      <c r="X33" s="129"/>
      <c r="Y33" s="130"/>
      <c r="Z33" s="129"/>
      <c r="AA33" s="130"/>
      <c r="AB33" s="129">
        <f>+Actuals!Y17</f>
        <v>0</v>
      </c>
      <c r="AC33" s="130">
        <f>+Actuals!Z17</f>
        <v>0</v>
      </c>
      <c r="AD33" s="129">
        <f>+Actuals!AA17</f>
        <v>0</v>
      </c>
      <c r="AE33" s="130">
        <f>+Actuals!AB17</f>
        <v>0</v>
      </c>
    </row>
    <row r="34" spans="1:31" x14ac:dyDescent="0.25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'TIE-OUT'!T34+RECLASS!T34</f>
        <v>0</v>
      </c>
      <c r="G34" s="38">
        <f>'TIE-OUT'!U34+RECLASS!U34</f>
        <v>0</v>
      </c>
      <c r="H34" s="129">
        <v>0</v>
      </c>
      <c r="I34" s="129">
        <v>0</v>
      </c>
      <c r="J34" s="129">
        <v>0</v>
      </c>
      <c r="K34" s="206">
        <v>0</v>
      </c>
      <c r="L34" s="129">
        <v>0</v>
      </c>
      <c r="M34" s="129">
        <v>0</v>
      </c>
      <c r="N34" s="129">
        <v>0</v>
      </c>
      <c r="O34" s="129">
        <v>0</v>
      </c>
      <c r="P34" s="129">
        <f>+Actuals!M18</f>
        <v>0</v>
      </c>
      <c r="Q34" s="130">
        <f>+Actuals!N18</f>
        <v>0</v>
      </c>
      <c r="R34" s="129">
        <v>0</v>
      </c>
      <c r="S34" s="130">
        <v>0</v>
      </c>
      <c r="T34" s="129">
        <f>+Actuals!Q18</f>
        <v>0</v>
      </c>
      <c r="U34" s="130">
        <f>+Actuals!R18</f>
        <v>0</v>
      </c>
      <c r="V34" s="129">
        <f>+Actuals!S18</f>
        <v>0</v>
      </c>
      <c r="W34" s="130">
        <f>+Actuals!T18</f>
        <v>0</v>
      </c>
      <c r="X34" s="129">
        <f>+Actuals!U18</f>
        <v>0</v>
      </c>
      <c r="Y34" s="130">
        <f>+Actuals!V18</f>
        <v>0</v>
      </c>
      <c r="Z34" s="129">
        <f>+Actuals!W18</f>
        <v>0</v>
      </c>
      <c r="AA34" s="130">
        <f>+Actuals!X18</f>
        <v>0</v>
      </c>
      <c r="AB34" s="129">
        <f>+Actuals!Y18</f>
        <v>0</v>
      </c>
      <c r="AC34" s="130">
        <f>+Actuals!Z18</f>
        <v>0</v>
      </c>
      <c r="AD34" s="129">
        <f>+Actuals!AA18</f>
        <v>0</v>
      </c>
      <c r="AE34" s="130">
        <f>+Actuals!AB18</f>
        <v>0</v>
      </c>
    </row>
    <row r="35" spans="1:31" x14ac:dyDescent="0.25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81">
        <f>'TIE-OUT'!T35+RECLASS!T35</f>
        <v>0</v>
      </c>
      <c r="G35" s="82">
        <f>'TIE-OUT'!U35+RECLASS!U35</f>
        <v>0</v>
      </c>
      <c r="H35" s="129">
        <v>0</v>
      </c>
      <c r="I35" s="129">
        <v>0</v>
      </c>
      <c r="J35" s="129">
        <v>0</v>
      </c>
      <c r="K35" s="206">
        <v>0</v>
      </c>
      <c r="L35" s="129">
        <v>0</v>
      </c>
      <c r="M35" s="129">
        <v>0</v>
      </c>
      <c r="N35" s="129">
        <v>0</v>
      </c>
      <c r="O35" s="129">
        <v>0</v>
      </c>
      <c r="P35" s="129">
        <f>+Actuals!M19</f>
        <v>0</v>
      </c>
      <c r="Q35" s="130">
        <f>+Actuals!N19</f>
        <v>0</v>
      </c>
      <c r="R35" s="129">
        <v>0</v>
      </c>
      <c r="S35" s="130">
        <v>0</v>
      </c>
      <c r="T35" s="129">
        <f>+Actuals!Q19</f>
        <v>0</v>
      </c>
      <c r="U35" s="130">
        <f>+Actuals!R19</f>
        <v>0</v>
      </c>
      <c r="V35" s="129">
        <f>+Actuals!S19</f>
        <v>0</v>
      </c>
      <c r="W35" s="130">
        <f>+Actuals!T19</f>
        <v>0</v>
      </c>
      <c r="X35" s="129">
        <f>+Actuals!U19</f>
        <v>0</v>
      </c>
      <c r="Y35" s="130">
        <f>+Actuals!V19</f>
        <v>0</v>
      </c>
      <c r="Z35" s="129">
        <f>+Actuals!W19</f>
        <v>0</v>
      </c>
      <c r="AA35" s="130">
        <f>+Actuals!X19</f>
        <v>0</v>
      </c>
      <c r="AB35" s="129">
        <f>+Actuals!Y19</f>
        <v>0</v>
      </c>
      <c r="AC35" s="130">
        <f>+Actuals!Z19</f>
        <v>0</v>
      </c>
      <c r="AD35" s="129">
        <f>+Actuals!AA19</f>
        <v>0</v>
      </c>
      <c r="AE35" s="130">
        <f>+Actuals!AB19</f>
        <v>0</v>
      </c>
    </row>
    <row r="36" spans="1:31" x14ac:dyDescent="0.25">
      <c r="A36" s="9"/>
      <c r="B36" s="7" t="s">
        <v>44</v>
      </c>
      <c r="C36" s="6"/>
      <c r="D36" s="61">
        <f>SUM(D32:D35)</f>
        <v>-277529</v>
      </c>
      <c r="E36" s="39">
        <f>SUM(E32:E35)</f>
        <v>-624441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-287158</v>
      </c>
      <c r="K36" s="204">
        <f t="shared" si="9"/>
        <v>-635573</v>
      </c>
      <c r="L36" s="61">
        <f t="shared" si="9"/>
        <v>114166</v>
      </c>
      <c r="M36" s="61">
        <f t="shared" si="9"/>
        <v>189080</v>
      </c>
      <c r="N36" s="61">
        <f>SUM(N32:N35)</f>
        <v>-16408</v>
      </c>
      <c r="O36" s="61">
        <f>SUM(O32:O35)</f>
        <v>-67729</v>
      </c>
      <c r="P36" s="61">
        <f t="shared" si="9"/>
        <v>-298987</v>
      </c>
      <c r="Q36" s="39">
        <f t="shared" si="9"/>
        <v>-697467</v>
      </c>
      <c r="R36" s="61">
        <f t="shared" si="9"/>
        <v>-93190</v>
      </c>
      <c r="S36" s="39">
        <f t="shared" si="9"/>
        <v>-96860</v>
      </c>
      <c r="T36" s="61">
        <f t="shared" si="9"/>
        <v>281389</v>
      </c>
      <c r="U36" s="39">
        <f t="shared" si="9"/>
        <v>633125</v>
      </c>
      <c r="V36" s="61">
        <f t="shared" ref="V36:AA36" si="10">SUM(V32:V35)</f>
        <v>-282195</v>
      </c>
      <c r="W36" s="39">
        <f t="shared" si="10"/>
        <v>-634939</v>
      </c>
      <c r="X36" s="61">
        <f t="shared" si="10"/>
        <v>114158</v>
      </c>
      <c r="Y36" s="39">
        <f t="shared" si="10"/>
        <v>256856</v>
      </c>
      <c r="Z36" s="61">
        <f t="shared" si="10"/>
        <v>190696</v>
      </c>
      <c r="AA36" s="39">
        <f t="shared" si="10"/>
        <v>429066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8"/>
      <c r="L37" s="60"/>
      <c r="M37" s="60"/>
      <c r="N37" s="60"/>
      <c r="O37" s="60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60"/>
      <c r="J38" s="60"/>
      <c r="K38" s="178"/>
      <c r="L38" s="60"/>
      <c r="M38" s="60"/>
      <c r="N38" s="60"/>
      <c r="O38" s="60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2807729</v>
      </c>
      <c r="E39" s="38">
        <f t="shared" si="11"/>
        <v>6379160</v>
      </c>
      <c r="F39" s="64">
        <f>'TIE-OUT'!T39+RECLASS!T39</f>
        <v>0</v>
      </c>
      <c r="G39" s="68">
        <f>'TIE-OUT'!U39+RECLASS!U39</f>
        <v>0</v>
      </c>
      <c r="H39" s="129">
        <v>0</v>
      </c>
      <c r="I39" s="129">
        <v>0</v>
      </c>
      <c r="J39" s="129">
        <v>2846226</v>
      </c>
      <c r="K39" s="206">
        <v>6466625</v>
      </c>
      <c r="L39" s="129">
        <v>-25169</v>
      </c>
      <c r="M39" s="129">
        <v>-57184</v>
      </c>
      <c r="N39" s="129">
        <v>8157</v>
      </c>
      <c r="O39" s="129">
        <v>18533</v>
      </c>
      <c r="P39" s="129">
        <v>-11986</v>
      </c>
      <c r="Q39" s="130">
        <v>-27232</v>
      </c>
      <c r="R39" s="129">
        <v>13547</v>
      </c>
      <c r="S39" s="130">
        <v>30779</v>
      </c>
      <c r="T39" s="129">
        <f>+Actuals!Q20</f>
        <v>0</v>
      </c>
      <c r="U39" s="130">
        <f>+Actuals!R20</f>
        <v>0</v>
      </c>
      <c r="V39" s="129">
        <f>+Actuals!S20</f>
        <v>0</v>
      </c>
      <c r="W39" s="130">
        <f>+Actuals!T20</f>
        <v>0</v>
      </c>
      <c r="X39" s="129">
        <f>+Actuals!U20</f>
        <v>0</v>
      </c>
      <c r="Y39" s="130">
        <f>+Actuals!V20</f>
        <v>0</v>
      </c>
      <c r="Z39" s="129">
        <v>-23046</v>
      </c>
      <c r="AA39" s="130">
        <v>-52361</v>
      </c>
      <c r="AB39" s="129">
        <f>+Actuals!Y20</f>
        <v>0</v>
      </c>
      <c r="AC39" s="130">
        <f>+Actuals!Z20</f>
        <v>0</v>
      </c>
      <c r="AD39" s="129">
        <f>+Actuals!AA20</f>
        <v>0</v>
      </c>
      <c r="AE39" s="130">
        <f>+Actuals!AB20</f>
        <v>0</v>
      </c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'TIE-OUT'!T40+RECLASS!T40</f>
        <v>0</v>
      </c>
      <c r="G40" s="38">
        <f>'TIE-OUT'!U40+RECLASS!U40</f>
        <v>0</v>
      </c>
      <c r="H40" s="129">
        <v>0</v>
      </c>
      <c r="I40" s="129">
        <v>0</v>
      </c>
      <c r="J40" s="129">
        <v>0</v>
      </c>
      <c r="K40" s="206">
        <v>0</v>
      </c>
      <c r="L40" s="129">
        <v>0</v>
      </c>
      <c r="M40" s="129">
        <v>0</v>
      </c>
      <c r="N40" s="129">
        <v>0</v>
      </c>
      <c r="O40" s="129">
        <v>0</v>
      </c>
      <c r="P40" s="129">
        <f>+Actuals!M21</f>
        <v>0</v>
      </c>
      <c r="Q40" s="130">
        <f>+Actuals!N21</f>
        <v>0</v>
      </c>
      <c r="R40" s="129">
        <v>0</v>
      </c>
      <c r="S40" s="130">
        <v>0</v>
      </c>
      <c r="T40" s="129">
        <f>+Actuals!Q21</f>
        <v>0</v>
      </c>
      <c r="U40" s="130">
        <f>+Actuals!R21</f>
        <v>0</v>
      </c>
      <c r="V40" s="129">
        <f>+Actuals!S21</f>
        <v>0</v>
      </c>
      <c r="W40" s="130">
        <f>+Actuals!T21</f>
        <v>0</v>
      </c>
      <c r="X40" s="129">
        <f>+Actuals!U21</f>
        <v>0</v>
      </c>
      <c r="Y40" s="130">
        <f>+Actuals!V21</f>
        <v>0</v>
      </c>
      <c r="Z40" s="129">
        <f>+Actuals!W21</f>
        <v>0</v>
      </c>
      <c r="AA40" s="130">
        <f>+Actuals!X21</f>
        <v>0</v>
      </c>
      <c r="AB40" s="129">
        <f>+Actuals!Y21</f>
        <v>0</v>
      </c>
      <c r="AC40" s="130">
        <f>+Actuals!Z21</f>
        <v>0</v>
      </c>
      <c r="AD40" s="129">
        <f>+Actuals!AA21</f>
        <v>0</v>
      </c>
      <c r="AE40" s="130">
        <f>+Actuals!AB21</f>
        <v>0</v>
      </c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24675</v>
      </c>
      <c r="F41" s="81">
        <f>'TIE-OUT'!T41+RECLASS!T41</f>
        <v>0</v>
      </c>
      <c r="G41" s="82">
        <f>'TIE-OUT'!U41+RECLASS!U41</f>
        <v>0</v>
      </c>
      <c r="H41" s="129">
        <v>0</v>
      </c>
      <c r="I41" s="129">
        <v>0</v>
      </c>
      <c r="J41" s="129">
        <v>0</v>
      </c>
      <c r="K41" s="206">
        <v>0</v>
      </c>
      <c r="L41" s="129">
        <v>0</v>
      </c>
      <c r="M41" s="129">
        <v>0</v>
      </c>
      <c r="N41" s="129">
        <v>0</v>
      </c>
      <c r="O41" s="129">
        <v>0</v>
      </c>
      <c r="P41" s="129">
        <f>+Actuals!M22</f>
        <v>0</v>
      </c>
      <c r="Q41" s="130">
        <f>+Actuals!N22</f>
        <v>0</v>
      </c>
      <c r="R41" s="129">
        <v>0</v>
      </c>
      <c r="S41" s="130">
        <v>0</v>
      </c>
      <c r="T41" s="129">
        <f>+Actuals!Q22</f>
        <v>0</v>
      </c>
      <c r="U41" s="130">
        <f>+Actuals!R22</f>
        <v>0</v>
      </c>
      <c r="V41" s="129">
        <f>+Actuals!S22</f>
        <v>0</v>
      </c>
      <c r="W41" s="130">
        <f>+Actuals!T22</f>
        <v>0</v>
      </c>
      <c r="X41" s="129">
        <f>+Actuals!U22</f>
        <v>0</v>
      </c>
      <c r="Y41" s="162">
        <f>+Actuals!V22+24675</f>
        <v>24675</v>
      </c>
      <c r="Z41" s="129">
        <f>+Actuals!W22</f>
        <v>0</v>
      </c>
      <c r="AA41" s="130"/>
      <c r="AB41" s="129">
        <f>+Actuals!Y22</f>
        <v>0</v>
      </c>
      <c r="AC41" s="130">
        <f>+Actuals!Z22</f>
        <v>0</v>
      </c>
      <c r="AD41" s="129">
        <f>+Actuals!AA22</f>
        <v>0</v>
      </c>
      <c r="AE41" s="130">
        <f>+Actuals!AB22</f>
        <v>0</v>
      </c>
    </row>
    <row r="42" spans="1:31" x14ac:dyDescent="0.25">
      <c r="A42" s="9"/>
      <c r="B42" s="7"/>
      <c r="C42" s="53" t="s">
        <v>49</v>
      </c>
      <c r="D42" s="61">
        <f>SUM(D40:D41)</f>
        <v>0</v>
      </c>
      <c r="E42" s="39">
        <f>SUM(E40:E41)</f>
        <v>24675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204">
        <f t="shared" si="12"/>
        <v>0</v>
      </c>
      <c r="L42" s="61">
        <f t="shared" si="12"/>
        <v>0</v>
      </c>
      <c r="M42" s="61">
        <f t="shared" si="12"/>
        <v>0</v>
      </c>
      <c r="N42" s="61">
        <f>SUM(N40:N41)</f>
        <v>0</v>
      </c>
      <c r="O42" s="61">
        <f>SUM(O40:O41)</f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24675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50</v>
      </c>
      <c r="C43" s="6"/>
      <c r="D43" s="61">
        <f>D42+D39</f>
        <v>2807729</v>
      </c>
      <c r="E43" s="39">
        <f>E42+E39</f>
        <v>6403835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2846226</v>
      </c>
      <c r="K43" s="204">
        <f t="shared" si="14"/>
        <v>6466625</v>
      </c>
      <c r="L43" s="61">
        <f t="shared" si="14"/>
        <v>-25169</v>
      </c>
      <c r="M43" s="61">
        <f t="shared" si="14"/>
        <v>-57184</v>
      </c>
      <c r="N43" s="61">
        <f>N42+N39</f>
        <v>8157</v>
      </c>
      <c r="O43" s="61">
        <f>O42+O39</f>
        <v>18533</v>
      </c>
      <c r="P43" s="61">
        <f t="shared" si="14"/>
        <v>-11986</v>
      </c>
      <c r="Q43" s="39">
        <f t="shared" si="14"/>
        <v>-27232</v>
      </c>
      <c r="R43" s="61">
        <f t="shared" si="14"/>
        <v>13547</v>
      </c>
      <c r="S43" s="39">
        <f t="shared" si="14"/>
        <v>30779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24675</v>
      </c>
      <c r="Z43" s="61">
        <f t="shared" si="15"/>
        <v>-23046</v>
      </c>
      <c r="AA43" s="39">
        <f t="shared" si="15"/>
        <v>-52361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8"/>
      <c r="L44" s="60"/>
      <c r="M44" s="60"/>
      <c r="N44" s="60"/>
      <c r="O44" s="60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'TIE-OUT'!T45+RECLASS!T45</f>
        <v>0</v>
      </c>
      <c r="G45" s="68">
        <f>'TIE-OUT'!U45+RECLASS!U45</f>
        <v>0</v>
      </c>
      <c r="H45" s="129">
        <v>0</v>
      </c>
      <c r="I45" s="129">
        <v>0</v>
      </c>
      <c r="J45" s="129">
        <v>0</v>
      </c>
      <c r="K45" s="206">
        <v>0</v>
      </c>
      <c r="L45" s="129">
        <v>0</v>
      </c>
      <c r="M45" s="129">
        <v>0</v>
      </c>
      <c r="N45" s="129">
        <v>0</v>
      </c>
      <c r="O45" s="129">
        <v>0</v>
      </c>
      <c r="P45" s="129">
        <f>+Actuals!M23</f>
        <v>0</v>
      </c>
      <c r="Q45" s="130">
        <f>+Actuals!N23</f>
        <v>0</v>
      </c>
      <c r="R45" s="129">
        <v>0</v>
      </c>
      <c r="S45" s="130">
        <v>0</v>
      </c>
      <c r="T45" s="129">
        <f>+Actuals!Q23</f>
        <v>0</v>
      </c>
      <c r="U45" s="130">
        <f>+Actuals!R23</f>
        <v>0</v>
      </c>
      <c r="V45" s="129">
        <f>+Actuals!S23</f>
        <v>0</v>
      </c>
      <c r="W45" s="130">
        <f>+Actuals!T23</f>
        <v>0</v>
      </c>
      <c r="X45" s="129">
        <f>+Actuals!U23</f>
        <v>0</v>
      </c>
      <c r="Y45" s="130">
        <f>+Actuals!V23</f>
        <v>0</v>
      </c>
      <c r="Z45" s="129">
        <f>+Actuals!W23</f>
        <v>0</v>
      </c>
      <c r="AA45" s="130">
        <f>+Actuals!X23</f>
        <v>0</v>
      </c>
      <c r="AB45" s="129">
        <f>+Actuals!Y23</f>
        <v>0</v>
      </c>
      <c r="AC45" s="130">
        <f>+Actuals!Z23</f>
        <v>0</v>
      </c>
      <c r="AD45" s="129">
        <f>+Actuals!AA23</f>
        <v>0</v>
      </c>
      <c r="AE45" s="130">
        <f>+Actuals!AB23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8"/>
      <c r="L46" s="60"/>
      <c r="M46" s="60"/>
      <c r="N46" s="60"/>
      <c r="O46" s="60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'TIE-OUT'!T47+RECLASS!T47</f>
        <v>0</v>
      </c>
      <c r="G47" s="38">
        <f>'TIE-OUT'!U47+RECLASS!U47</f>
        <v>0</v>
      </c>
      <c r="H47" s="129">
        <v>0</v>
      </c>
      <c r="I47" s="129">
        <v>0</v>
      </c>
      <c r="J47" s="129">
        <v>0</v>
      </c>
      <c r="K47" s="206">
        <v>0</v>
      </c>
      <c r="L47" s="129">
        <v>0</v>
      </c>
      <c r="M47" s="129">
        <v>0</v>
      </c>
      <c r="N47" s="129">
        <v>0</v>
      </c>
      <c r="O47" s="129">
        <v>0</v>
      </c>
      <c r="P47" s="129">
        <f>+Actuals!M24</f>
        <v>0</v>
      </c>
      <c r="Q47" s="130">
        <f>+Actuals!N24</f>
        <v>0</v>
      </c>
      <c r="R47" s="129">
        <v>0</v>
      </c>
      <c r="S47" s="130">
        <v>0</v>
      </c>
      <c r="T47" s="129">
        <f>+Actuals!Q24</f>
        <v>0</v>
      </c>
      <c r="U47" s="130">
        <f>+Actuals!R24</f>
        <v>0</v>
      </c>
      <c r="V47" s="129"/>
      <c r="W47" s="130"/>
      <c r="X47" s="129"/>
      <c r="Y47" s="130"/>
      <c r="Z47" s="129"/>
      <c r="AA47" s="130"/>
      <c r="AB47" s="129">
        <f>+Actuals!Y24</f>
        <v>0</v>
      </c>
      <c r="AC47" s="130">
        <f>+Actuals!Z24</f>
        <v>0</v>
      </c>
      <c r="AD47" s="129">
        <f>+Actuals!AA24</f>
        <v>0</v>
      </c>
      <c r="AE47" s="130">
        <f>+Actuals!AB24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8"/>
      <c r="L48" s="60"/>
      <c r="M48" s="60"/>
      <c r="N48" s="60"/>
      <c r="O48" s="60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561229</v>
      </c>
      <c r="E49" s="38">
        <f>SUM(G49,I49,K49,M49,O49,Q49,S49,U49,W49,Y49,AA49,AC49,AE49)</f>
        <v>1241989</v>
      </c>
      <c r="F49" s="60">
        <f>'TIE-OUT'!T49+RECLASS!T49</f>
        <v>0</v>
      </c>
      <c r="G49" s="38">
        <f>'TIE-OUT'!U49+RECLASS!U49</f>
        <v>0</v>
      </c>
      <c r="H49" s="129">
        <v>4430532</v>
      </c>
      <c r="I49" s="129">
        <v>9968697</v>
      </c>
      <c r="J49" s="129">
        <v>-4237366</v>
      </c>
      <c r="K49" s="206">
        <v>-9541221</v>
      </c>
      <c r="L49" s="129">
        <v>332776</v>
      </c>
      <c r="M49" s="129">
        <v>736433</v>
      </c>
      <c r="N49" s="129">
        <v>-337641</v>
      </c>
      <c r="O49" s="129">
        <v>-747200</v>
      </c>
      <c r="P49" s="129">
        <v>424165</v>
      </c>
      <c r="Q49" s="130">
        <v>938667</v>
      </c>
      <c r="R49" s="129">
        <v>80340</v>
      </c>
      <c r="S49" s="130">
        <v>177792</v>
      </c>
      <c r="T49" s="129">
        <v>-223327</v>
      </c>
      <c r="U49" s="130">
        <v>-494223</v>
      </c>
      <c r="V49" s="129">
        <v>210421</v>
      </c>
      <c r="W49" s="130">
        <v>465662</v>
      </c>
      <c r="X49" s="129">
        <v>-56528</v>
      </c>
      <c r="Y49" s="130">
        <v>-125096</v>
      </c>
      <c r="Z49" s="129">
        <v>-62143</v>
      </c>
      <c r="AA49" s="130">
        <v>-137522</v>
      </c>
      <c r="AB49" s="129">
        <f>+Actuals!Y25</f>
        <v>0</v>
      </c>
      <c r="AC49" s="130">
        <f>+Actuals!Z25</f>
        <v>0</v>
      </c>
      <c r="AD49" s="129">
        <f>+Actuals!AA25</f>
        <v>0</v>
      </c>
      <c r="AE49" s="130">
        <f>+Actuals!AB25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8"/>
      <c r="L50" s="60"/>
      <c r="M50" s="60"/>
      <c r="N50" s="60"/>
      <c r="O50" s="60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'TIE-OUT'!T51+RECLASS!T51</f>
        <v>0</v>
      </c>
      <c r="G51" s="38">
        <f>'TIE-OUT'!U51+RECLASS!U51</f>
        <v>0</v>
      </c>
      <c r="H51" s="129">
        <v>0</v>
      </c>
      <c r="I51" s="129">
        <v>0</v>
      </c>
      <c r="J51" s="129">
        <f>-121136+121136</f>
        <v>0</v>
      </c>
      <c r="K51" s="206">
        <f>-277401+277401</f>
        <v>0</v>
      </c>
      <c r="L51" s="129">
        <f>3739-3739</f>
        <v>0</v>
      </c>
      <c r="M51" s="129">
        <f>8488-8488</f>
        <v>0</v>
      </c>
      <c r="N51" s="129">
        <f>3739-3739</f>
        <v>0</v>
      </c>
      <c r="O51" s="129">
        <f>8488-8488</f>
        <v>0</v>
      </c>
      <c r="P51" s="129">
        <f>+Actuals!M26</f>
        <v>0</v>
      </c>
      <c r="Q51" s="130">
        <f>+Actuals!N26</f>
        <v>0</v>
      </c>
      <c r="R51" s="129">
        <v>0</v>
      </c>
      <c r="S51" s="130">
        <v>0</v>
      </c>
      <c r="T51" s="129">
        <f>+Actuals!Q26</f>
        <v>0</v>
      </c>
      <c r="U51" s="130">
        <f>+Actuals!R26</f>
        <v>0</v>
      </c>
      <c r="V51" s="129">
        <f>+Actuals!S26</f>
        <v>0</v>
      </c>
      <c r="W51" s="130">
        <f>+Actuals!T26</f>
        <v>0</v>
      </c>
      <c r="X51" s="129">
        <f>+Actuals!U26</f>
        <v>0</v>
      </c>
      <c r="Y51" s="130">
        <f>+Actuals!V26</f>
        <v>0</v>
      </c>
      <c r="Z51" s="129">
        <f>+Actuals!W26</f>
        <v>0</v>
      </c>
      <c r="AA51" s="130">
        <f>+Actuals!X26</f>
        <v>0</v>
      </c>
      <c r="AB51" s="129">
        <f>+Actuals!Y26</f>
        <v>0</v>
      </c>
      <c r="AC51" s="130">
        <f>+Actuals!Z26</f>
        <v>0</v>
      </c>
      <c r="AD51" s="129">
        <f>+Actuals!AA26</f>
        <v>0</v>
      </c>
      <c r="AE51" s="130">
        <f>+Actuals!AB26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8"/>
      <c r="L52" s="60"/>
      <c r="M52" s="60"/>
      <c r="N52" s="60"/>
      <c r="O52" s="60"/>
      <c r="P52" s="60"/>
      <c r="Q52" s="38"/>
      <c r="R52" s="129">
        <v>0</v>
      </c>
      <c r="S52" s="130">
        <v>0</v>
      </c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60"/>
      <c r="J53" s="60"/>
      <c r="K53" s="178"/>
      <c r="L53" s="60"/>
      <c r="M53" s="60"/>
      <c r="N53" s="60"/>
      <c r="O53" s="60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0</v>
      </c>
      <c r="E54" s="38">
        <f>SUM(G54,I54,K54,M54,O54,Q54,S54,U54,W54,Y54,AA54,AC54,AE54)</f>
        <v>-658951</v>
      </c>
      <c r="F54" s="64">
        <f>'TIE-OUT'!T54+RECLASS!T54</f>
        <v>0</v>
      </c>
      <c r="G54" s="68">
        <f>'TIE-OUT'!U54+RECLASS!U54</f>
        <v>0</v>
      </c>
      <c r="H54" s="129">
        <f>-5059112+5059112</f>
        <v>0</v>
      </c>
      <c r="I54" s="129">
        <f>-1188502+1188502-688630-170321</f>
        <v>-858951</v>
      </c>
      <c r="J54" s="129">
        <f>-2037750+2037750</f>
        <v>0</v>
      </c>
      <c r="K54" s="206">
        <f>105565-105565</f>
        <v>0</v>
      </c>
      <c r="L54" s="129">
        <f>2183963-2183963</f>
        <v>0</v>
      </c>
      <c r="M54" s="129">
        <f>-1424+1424</f>
        <v>0</v>
      </c>
      <c r="N54" s="129">
        <f>2183963-2183963</f>
        <v>0</v>
      </c>
      <c r="O54" s="129">
        <f>-1424+1424</f>
        <v>0</v>
      </c>
      <c r="P54" s="129">
        <f>+Actuals!M27</f>
        <v>0</v>
      </c>
      <c r="Q54" s="130">
        <f>+Actuals!N27</f>
        <v>0</v>
      </c>
      <c r="R54" s="129">
        <v>0</v>
      </c>
      <c r="S54" s="159">
        <v>200000</v>
      </c>
      <c r="T54" s="129">
        <f>+Actuals!Q27</f>
        <v>0</v>
      </c>
      <c r="U54" s="130">
        <f>+Actuals!R27</f>
        <v>0</v>
      </c>
      <c r="V54" s="129">
        <f>+Actuals!S27</f>
        <v>0</v>
      </c>
      <c r="W54" s="130">
        <f>+Actuals!T27</f>
        <v>0</v>
      </c>
      <c r="X54" s="129">
        <f>+Actuals!U27</f>
        <v>0</v>
      </c>
      <c r="Y54" s="130">
        <f>+Actuals!V27</f>
        <v>0</v>
      </c>
      <c r="Z54" s="129">
        <f>+Actuals!W27</f>
        <v>0</v>
      </c>
      <c r="AA54" s="130">
        <f>+Actuals!X27</f>
        <v>0</v>
      </c>
      <c r="AB54" s="129">
        <f>+Actuals!Y27</f>
        <v>0</v>
      </c>
      <c r="AC54" s="130">
        <f>+Actuals!Z27</f>
        <v>0</v>
      </c>
      <c r="AD54" s="129">
        <f>+Actuals!AA27</f>
        <v>0</v>
      </c>
      <c r="AE54" s="130">
        <f>+Actuals!AB27</f>
        <v>0</v>
      </c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'TIE-OUT'!T55+RECLASS!T55</f>
        <v>0</v>
      </c>
      <c r="G55" s="82">
        <f>'TIE-OUT'!U55+RECLASS!U55</f>
        <v>0</v>
      </c>
      <c r="H55" s="129">
        <v>0</v>
      </c>
      <c r="I55" s="129">
        <v>0</v>
      </c>
      <c r="J55" s="129">
        <v>0</v>
      </c>
      <c r="K55" s="206">
        <v>0</v>
      </c>
      <c r="L55" s="129">
        <v>0</v>
      </c>
      <c r="M55" s="129">
        <v>0</v>
      </c>
      <c r="N55" s="129">
        <v>0</v>
      </c>
      <c r="O55" s="129">
        <v>0</v>
      </c>
      <c r="P55" s="129">
        <f>+Actuals!M28</f>
        <v>0</v>
      </c>
      <c r="Q55" s="130">
        <f>+Actuals!N28</f>
        <v>0</v>
      </c>
      <c r="R55" s="129">
        <v>0</v>
      </c>
      <c r="S55" s="130">
        <v>0</v>
      </c>
      <c r="T55" s="129">
        <f>+Actuals!Q28</f>
        <v>0</v>
      </c>
      <c r="U55" s="130">
        <f>+Actuals!R28</f>
        <v>0</v>
      </c>
      <c r="V55" s="129">
        <f>+Actuals!S28</f>
        <v>0</v>
      </c>
      <c r="W55" s="130">
        <f>+Actuals!T28</f>
        <v>0</v>
      </c>
      <c r="X55" s="129">
        <f>+Actuals!U28</f>
        <v>0</v>
      </c>
      <c r="Y55" s="130">
        <f>+Actuals!V28</f>
        <v>0</v>
      </c>
      <c r="Z55" s="129">
        <f>+Actuals!W28</f>
        <v>0</v>
      </c>
      <c r="AA55" s="130">
        <f>+Actuals!X28</f>
        <v>0</v>
      </c>
      <c r="AB55" s="129">
        <f>+Actuals!Y28</f>
        <v>0</v>
      </c>
      <c r="AC55" s="130">
        <f>+Actuals!Z28</f>
        <v>0</v>
      </c>
      <c r="AD55" s="129">
        <f>+Actuals!AA28</f>
        <v>0</v>
      </c>
      <c r="AE55" s="130">
        <f>+Actuals!AB28</f>
        <v>0</v>
      </c>
    </row>
    <row r="56" spans="1:31" x14ac:dyDescent="0.25">
      <c r="A56" s="9"/>
      <c r="B56" s="7" t="s">
        <v>58</v>
      </c>
      <c r="C56" s="6"/>
      <c r="D56" s="61">
        <f>SUM(D54:D55)</f>
        <v>0</v>
      </c>
      <c r="E56" s="39">
        <f>SUM(E54:E55)</f>
        <v>-658951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61">
        <f t="shared" si="16"/>
        <v>-858951</v>
      </c>
      <c r="J56" s="61">
        <f t="shared" si="16"/>
        <v>0</v>
      </c>
      <c r="K56" s="204">
        <f t="shared" si="16"/>
        <v>0</v>
      </c>
      <c r="L56" s="61">
        <f t="shared" si="16"/>
        <v>0</v>
      </c>
      <c r="M56" s="61">
        <f t="shared" si="16"/>
        <v>0</v>
      </c>
      <c r="N56" s="61">
        <f>SUM(N54:N55)</f>
        <v>0</v>
      </c>
      <c r="O56" s="61">
        <f>SUM(O54:O55)</f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200000</v>
      </c>
      <c r="T56" s="61">
        <f t="shared" si="16"/>
        <v>0</v>
      </c>
      <c r="U56" s="39">
        <f t="shared" si="16"/>
        <v>0</v>
      </c>
      <c r="V56" s="61">
        <f t="shared" ref="V56:AA56" si="17">SUM(V54:V55)</f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8"/>
      <c r="L57" s="60"/>
      <c r="M57" s="60"/>
      <c r="N57" s="60"/>
      <c r="O57" s="60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60"/>
      <c r="J58" s="60"/>
      <c r="K58" s="178"/>
      <c r="L58" s="60"/>
      <c r="M58" s="60"/>
      <c r="N58" s="60"/>
      <c r="O58" s="60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'TIE-OUT'!T59+RECLASS!T59</f>
        <v>0</v>
      </c>
      <c r="G59" s="68">
        <f>'TIE-OUT'!U59+RECLASS!U59</f>
        <v>0</v>
      </c>
      <c r="H59" s="129">
        <f>37021551-37021551</f>
        <v>0</v>
      </c>
      <c r="I59" s="129">
        <f>663128-663128</f>
        <v>0</v>
      </c>
      <c r="J59" s="129">
        <f>4191492-4191492</f>
        <v>0</v>
      </c>
      <c r="K59" s="206">
        <f>-16156+16156</f>
        <v>0</v>
      </c>
      <c r="L59" s="129">
        <f>-142550+142550</f>
        <v>0</v>
      </c>
      <c r="M59" s="129">
        <f>-742+742</f>
        <v>0</v>
      </c>
      <c r="N59" s="129">
        <f>-142550+142550</f>
        <v>0</v>
      </c>
      <c r="O59" s="129">
        <f>-742+742</f>
        <v>0</v>
      </c>
      <c r="P59" s="129">
        <f>+Actuals!M29</f>
        <v>0</v>
      </c>
      <c r="Q59" s="130">
        <f>+Actuals!N29</f>
        <v>0</v>
      </c>
      <c r="R59" s="129">
        <v>0</v>
      </c>
      <c r="S59" s="130">
        <v>0</v>
      </c>
      <c r="T59" s="129">
        <f>+Actuals!Q29</f>
        <v>0</v>
      </c>
      <c r="U59" s="130">
        <f>+Actuals!R29</f>
        <v>0</v>
      </c>
      <c r="V59" s="129">
        <f>+Actuals!S29</f>
        <v>0</v>
      </c>
      <c r="W59" s="130">
        <f>+Actuals!T29</f>
        <v>0</v>
      </c>
      <c r="X59" s="129">
        <f>+Actuals!U29</f>
        <v>0</v>
      </c>
      <c r="Y59" s="130">
        <f>+Actuals!V29</f>
        <v>0</v>
      </c>
      <c r="Z59" s="129">
        <f>+Actuals!W29</f>
        <v>0</v>
      </c>
      <c r="AA59" s="130">
        <f>+Actuals!X29</f>
        <v>0</v>
      </c>
      <c r="AB59" s="129">
        <f>+Actuals!Y29</f>
        <v>0</v>
      </c>
      <c r="AC59" s="130">
        <f>+Actuals!Z29</f>
        <v>0</v>
      </c>
      <c r="AD59" s="129">
        <f>+Actuals!AA29</f>
        <v>0</v>
      </c>
      <c r="AE59" s="130">
        <f>+Actuals!AB29</f>
        <v>0</v>
      </c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36</v>
      </c>
      <c r="F60" s="81">
        <f>'TIE-OUT'!T60+RECLASS!T60</f>
        <v>0</v>
      </c>
      <c r="G60" s="82">
        <f>'TIE-OUT'!U60+RECLASS!U60</f>
        <v>0</v>
      </c>
      <c r="H60" s="129">
        <v>0</v>
      </c>
      <c r="I60" s="129">
        <v>0</v>
      </c>
      <c r="J60" s="129">
        <v>0</v>
      </c>
      <c r="K60" s="206">
        <v>0</v>
      </c>
      <c r="L60" s="129">
        <v>0</v>
      </c>
      <c r="M60" s="129">
        <v>0</v>
      </c>
      <c r="N60" s="129">
        <v>0</v>
      </c>
      <c r="O60" s="129">
        <v>0</v>
      </c>
      <c r="P60" s="129">
        <f>+Actuals!M30</f>
        <v>0</v>
      </c>
      <c r="Q60" s="130">
        <f>+Actuals!N30</f>
        <v>0</v>
      </c>
      <c r="R60" s="129">
        <v>0</v>
      </c>
      <c r="S60" s="130">
        <v>0</v>
      </c>
      <c r="T60" s="129">
        <f>+Actuals!Q30</f>
        <v>0</v>
      </c>
      <c r="U60" s="130">
        <f>+Actuals!R30</f>
        <v>0</v>
      </c>
      <c r="V60" s="129">
        <f>+Actuals!S30</f>
        <v>0</v>
      </c>
      <c r="W60" s="130">
        <f>+Actuals!T30</f>
        <v>0</v>
      </c>
      <c r="X60" s="129">
        <f>+Actuals!U30</f>
        <v>0</v>
      </c>
      <c r="Y60" s="162">
        <v>36</v>
      </c>
      <c r="Z60" s="129">
        <f>+Actuals!W30</f>
        <v>0</v>
      </c>
      <c r="AA60" s="130"/>
      <c r="AB60" s="129">
        <f>+Actuals!Y30</f>
        <v>0</v>
      </c>
      <c r="AC60" s="130">
        <f>+Actuals!Z30</f>
        <v>0</v>
      </c>
      <c r="AD60" s="129">
        <f>+Actuals!AA30</f>
        <v>0</v>
      </c>
      <c r="AE60" s="130">
        <f>+Actuals!AB30</f>
        <v>0</v>
      </c>
    </row>
    <row r="61" spans="1:31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36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204">
        <f t="shared" si="18"/>
        <v>0</v>
      </c>
      <c r="L61" s="61">
        <f t="shared" si="18"/>
        <v>0</v>
      </c>
      <c r="M61" s="61">
        <f t="shared" si="18"/>
        <v>0</v>
      </c>
      <c r="N61" s="61">
        <f>SUM(N59:N60)</f>
        <v>0</v>
      </c>
      <c r="O61" s="61">
        <f>SUM(O59:O60)</f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36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8"/>
      <c r="L62" s="60"/>
      <c r="M62" s="60"/>
      <c r="N62" s="60"/>
      <c r="O62" s="60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60"/>
      <c r="J63" s="60"/>
      <c r="K63" s="178"/>
      <c r="L63" s="60"/>
      <c r="M63" s="60"/>
      <c r="N63" s="60"/>
      <c r="O63" s="60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2123642</v>
      </c>
      <c r="E64" s="38">
        <f>SUM(G64,I64,K64,M64,O64,Q64,S64,U64,W64,Y64,AA64,AC64,AE64)</f>
        <v>0</v>
      </c>
      <c r="F64" s="64">
        <f>'TIE-OUT'!T64+RECLASS!T64</f>
        <v>0</v>
      </c>
      <c r="G64" s="68">
        <f>'TIE-OUT'!U64+RECLASS!U64</f>
        <v>0</v>
      </c>
      <c r="H64" s="129">
        <v>0</v>
      </c>
      <c r="I64" s="129">
        <f>-196+196</f>
        <v>0</v>
      </c>
      <c r="J64" s="129">
        <f>2123642+6296709+272507-6569216</f>
        <v>2123642</v>
      </c>
      <c r="K64" s="206">
        <f>11887+56007+196-68090</f>
        <v>0</v>
      </c>
      <c r="L64" s="129">
        <f>-13170+13170</f>
        <v>0</v>
      </c>
      <c r="M64" s="129">
        <f>-1443+1443</f>
        <v>0</v>
      </c>
      <c r="N64" s="129">
        <f>-13170+13170</f>
        <v>0</v>
      </c>
      <c r="O64" s="129">
        <f>-1443+1443</f>
        <v>0</v>
      </c>
      <c r="P64" s="129">
        <f>+Actuals!M31</f>
        <v>0</v>
      </c>
      <c r="Q64" s="130">
        <f>+Actuals!N31</f>
        <v>0</v>
      </c>
      <c r="R64" s="129">
        <v>0</v>
      </c>
      <c r="S64" s="159"/>
      <c r="T64" s="129">
        <f>+Actuals!Q31</f>
        <v>0</v>
      </c>
      <c r="U64" s="130">
        <f>+Actuals!R31</f>
        <v>0</v>
      </c>
      <c r="V64" s="129"/>
      <c r="W64" s="130"/>
      <c r="X64" s="129"/>
      <c r="Y64" s="130"/>
      <c r="Z64" s="129"/>
      <c r="AA64" s="130"/>
      <c r="AB64" s="129">
        <f>+Actuals!Y31</f>
        <v>0</v>
      </c>
      <c r="AC64" s="130">
        <f>+Actuals!Z31</f>
        <v>0</v>
      </c>
      <c r="AD64" s="129">
        <f>+Actuals!AA31</f>
        <v>0</v>
      </c>
      <c r="AE64" s="130">
        <f>+Actuals!AB31</f>
        <v>0</v>
      </c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22302</v>
      </c>
      <c r="E65" s="38">
        <f>SUM(G65,I65,K65,M65,O65,Q65,S65,U65,W65,Y65,AA65,AC65,AE65)</f>
        <v>0</v>
      </c>
      <c r="F65" s="81">
        <f>'TIE-OUT'!T65+RECLASS!T65</f>
        <v>0</v>
      </c>
      <c r="G65" s="82">
        <f>'TIE-OUT'!U65+RECLASS!U65</f>
        <v>0</v>
      </c>
      <c r="H65" s="129">
        <f>4899429-4899429</f>
        <v>0</v>
      </c>
      <c r="I65" s="129">
        <f>243229+26669-269898</f>
        <v>0</v>
      </c>
      <c r="J65" s="129">
        <v>0</v>
      </c>
      <c r="K65" s="206">
        <v>0</v>
      </c>
      <c r="L65" s="129">
        <v>0</v>
      </c>
      <c r="M65" s="129">
        <v>0</v>
      </c>
      <c r="N65" s="129">
        <v>0</v>
      </c>
      <c r="O65" s="129">
        <v>0</v>
      </c>
      <c r="P65" s="129">
        <f>+Actuals!M32</f>
        <v>0</v>
      </c>
      <c r="Q65" s="130">
        <f>+Actuals!N32</f>
        <v>0</v>
      </c>
      <c r="R65" s="129">
        <v>0</v>
      </c>
      <c r="S65" s="130">
        <v>0</v>
      </c>
      <c r="T65" s="129">
        <f>+Actuals!Q32</f>
        <v>0</v>
      </c>
      <c r="U65" s="130">
        <f>+Actuals!R32</f>
        <v>0</v>
      </c>
      <c r="V65" s="129">
        <f>+Actuals!S32</f>
        <v>0</v>
      </c>
      <c r="W65" s="130">
        <f>+Actuals!T32</f>
        <v>0</v>
      </c>
      <c r="X65" s="129">
        <f>+Actuals!U32</f>
        <v>0</v>
      </c>
      <c r="Y65" s="130">
        <f>+Actuals!V32</f>
        <v>0</v>
      </c>
      <c r="Z65" s="129">
        <v>22302</v>
      </c>
      <c r="AA65" s="130">
        <f>+Actuals!X32</f>
        <v>0</v>
      </c>
      <c r="AB65" s="129">
        <f>+Actuals!Y32</f>
        <v>0</v>
      </c>
      <c r="AC65" s="130">
        <f>+Actuals!Z32</f>
        <v>0</v>
      </c>
      <c r="AD65" s="129">
        <f>+Actuals!AA32</f>
        <v>0</v>
      </c>
      <c r="AE65" s="130">
        <f>+Actuals!AB32</f>
        <v>0</v>
      </c>
    </row>
    <row r="66" spans="1:31" x14ac:dyDescent="0.25">
      <c r="A66" s="9"/>
      <c r="B66" s="7" t="s">
        <v>65</v>
      </c>
      <c r="C66" s="6"/>
      <c r="D66" s="61">
        <f>SUM(D64:D65)</f>
        <v>2145944</v>
      </c>
      <c r="E66" s="39">
        <f>SUM(E64:E65)</f>
        <v>0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61">
        <f t="shared" si="20"/>
        <v>0</v>
      </c>
      <c r="J66" s="61">
        <f t="shared" si="20"/>
        <v>2123642</v>
      </c>
      <c r="K66" s="204">
        <f t="shared" si="20"/>
        <v>0</v>
      </c>
      <c r="L66" s="61">
        <f t="shared" si="20"/>
        <v>0</v>
      </c>
      <c r="M66" s="61">
        <f t="shared" si="20"/>
        <v>0</v>
      </c>
      <c r="N66" s="61">
        <f>SUM(N64:N65)</f>
        <v>0</v>
      </c>
      <c r="O66" s="61">
        <f>SUM(O64:O65)</f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22302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8"/>
      <c r="L67" s="60"/>
      <c r="M67" s="60"/>
      <c r="N67" s="60"/>
      <c r="O67" s="60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60"/>
      <c r="J68" s="60"/>
      <c r="K68" s="178"/>
      <c r="L68" s="60"/>
      <c r="M68" s="60"/>
      <c r="N68" s="60"/>
      <c r="O68" s="60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60"/>
      <c r="J69" s="60"/>
      <c r="K69" s="178"/>
      <c r="L69" s="60"/>
      <c r="M69" s="60"/>
      <c r="N69" s="60"/>
      <c r="O69" s="60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'TIE-OUT'!T70+RECLASS!T70</f>
        <v>0</v>
      </c>
      <c r="G70" s="68">
        <f>'TIE-OUT'!U70+RECLASS!U70</f>
        <v>0</v>
      </c>
      <c r="H70" s="129">
        <v>0</v>
      </c>
      <c r="I70" s="129">
        <v>0</v>
      </c>
      <c r="J70" s="129">
        <v>0</v>
      </c>
      <c r="K70" s="206">
        <v>0</v>
      </c>
      <c r="L70" s="129">
        <v>0</v>
      </c>
      <c r="M70" s="129">
        <v>0</v>
      </c>
      <c r="N70" s="129">
        <v>0</v>
      </c>
      <c r="O70" s="129">
        <v>0</v>
      </c>
      <c r="P70" s="129">
        <f>+Actuals!M33</f>
        <v>0</v>
      </c>
      <c r="Q70" s="130">
        <f>+Actuals!N33</f>
        <v>0</v>
      </c>
      <c r="R70" s="129">
        <v>0</v>
      </c>
      <c r="S70" s="130">
        <v>0</v>
      </c>
      <c r="T70" s="129">
        <f>+Actuals!Q33</f>
        <v>0</v>
      </c>
      <c r="U70" s="130">
        <f>+Actuals!R33</f>
        <v>0</v>
      </c>
      <c r="V70" s="129">
        <f>+Actuals!S33</f>
        <v>0</v>
      </c>
      <c r="W70" s="130">
        <f>+Actuals!T33</f>
        <v>0</v>
      </c>
      <c r="X70" s="129">
        <f>+Actuals!U33</f>
        <v>0</v>
      </c>
      <c r="Y70" s="130">
        <f>+Actuals!V33</f>
        <v>0</v>
      </c>
      <c r="Z70" s="129">
        <f>+Actuals!W33</f>
        <v>0</v>
      </c>
      <c r="AA70" s="130">
        <f>+Actuals!X33</f>
        <v>0</v>
      </c>
      <c r="AB70" s="129">
        <f>+Actuals!Y33</f>
        <v>0</v>
      </c>
      <c r="AC70" s="130">
        <f>+Actuals!Z33</f>
        <v>0</v>
      </c>
      <c r="AD70" s="129">
        <f>+Actuals!AA33</f>
        <v>0</v>
      </c>
      <c r="AE70" s="130">
        <f>+Actuals!AB33</f>
        <v>0</v>
      </c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'TIE-OUT'!T71+RECLASS!T71</f>
        <v>0</v>
      </c>
      <c r="G71" s="82">
        <f>'TIE-OUT'!U71+RECLASS!U71</f>
        <v>0</v>
      </c>
      <c r="H71" s="129">
        <v>0</v>
      </c>
      <c r="I71" s="129">
        <v>0</v>
      </c>
      <c r="J71" s="129">
        <v>0</v>
      </c>
      <c r="K71" s="206">
        <v>0</v>
      </c>
      <c r="L71" s="129">
        <v>0</v>
      </c>
      <c r="M71" s="129">
        <v>0</v>
      </c>
      <c r="N71" s="129">
        <v>0</v>
      </c>
      <c r="O71" s="129">
        <v>0</v>
      </c>
      <c r="P71" s="129">
        <f>+Actuals!M34</f>
        <v>0</v>
      </c>
      <c r="Q71" s="130">
        <f>+Actuals!N34</f>
        <v>0</v>
      </c>
      <c r="R71" s="129">
        <v>0</v>
      </c>
      <c r="S71" s="130">
        <v>0</v>
      </c>
      <c r="T71" s="129">
        <f>+Actuals!Q34</f>
        <v>0</v>
      </c>
      <c r="U71" s="130">
        <f>+Actuals!R34</f>
        <v>0</v>
      </c>
      <c r="V71" s="129">
        <f>+Actuals!S34</f>
        <v>0</v>
      </c>
      <c r="W71" s="130">
        <f>+Actuals!T34</f>
        <v>0</v>
      </c>
      <c r="X71" s="129">
        <f>+Actuals!U34</f>
        <v>0</v>
      </c>
      <c r="Y71" s="130">
        <f>+Actuals!V34</f>
        <v>0</v>
      </c>
      <c r="Z71" s="129">
        <f>+Actuals!W34</f>
        <v>0</v>
      </c>
      <c r="AA71" s="130">
        <f>+Actuals!X34</f>
        <v>0</v>
      </c>
      <c r="AB71" s="129">
        <f>+Actuals!Y34</f>
        <v>0</v>
      </c>
      <c r="AC71" s="130">
        <f>+Actuals!Z34</f>
        <v>0</v>
      </c>
      <c r="AD71" s="129">
        <f>+Actuals!AA34</f>
        <v>0</v>
      </c>
      <c r="AE71" s="130">
        <f>+Actuals!AB34</f>
        <v>0</v>
      </c>
    </row>
    <row r="72" spans="1:31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204">
        <f t="shared" si="22"/>
        <v>0</v>
      </c>
      <c r="L72" s="61">
        <f t="shared" si="22"/>
        <v>0</v>
      </c>
      <c r="M72" s="61">
        <f t="shared" si="22"/>
        <v>0</v>
      </c>
      <c r="N72" s="61">
        <f>SUM(N70:N71)</f>
        <v>0</v>
      </c>
      <c r="O72" s="61">
        <f>SUM(O70:O71)</f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'TIE-OUT'!T73+RECLASS!T73</f>
        <v>0</v>
      </c>
      <c r="G73" s="60">
        <f>'TIE-OUT'!U73+RECLASS!U73</f>
        <v>0</v>
      </c>
      <c r="H73" s="129">
        <v>0</v>
      </c>
      <c r="I73" s="129">
        <v>0</v>
      </c>
      <c r="J73" s="129">
        <v>0</v>
      </c>
      <c r="K73" s="206">
        <v>0</v>
      </c>
      <c r="L73" s="129">
        <v>0</v>
      </c>
      <c r="M73" s="129">
        <v>0</v>
      </c>
      <c r="N73" s="129">
        <v>0</v>
      </c>
      <c r="O73" s="129">
        <v>0</v>
      </c>
      <c r="P73" s="129">
        <f>+Actuals!M35</f>
        <v>0</v>
      </c>
      <c r="Q73" s="130">
        <f>+Actuals!N35</f>
        <v>0</v>
      </c>
      <c r="R73" s="129">
        <v>0</v>
      </c>
      <c r="S73" s="130">
        <v>0</v>
      </c>
      <c r="T73" s="129">
        <f>+Actuals!Q35</f>
        <v>0</v>
      </c>
      <c r="U73" s="130">
        <f>+Actuals!R35</f>
        <v>0</v>
      </c>
      <c r="V73" s="129">
        <f>+Actuals!S35</f>
        <v>0</v>
      </c>
      <c r="W73" s="130">
        <f>+Actuals!T35</f>
        <v>0</v>
      </c>
      <c r="X73" s="129">
        <f>+Actuals!U35</f>
        <v>0</v>
      </c>
      <c r="Y73" s="130">
        <f>+Actuals!V35</f>
        <v>0</v>
      </c>
      <c r="Z73" s="129">
        <f>+Actuals!W35</f>
        <v>0</v>
      </c>
      <c r="AA73" s="130">
        <f>+Actuals!X35</f>
        <v>0</v>
      </c>
      <c r="AB73" s="129">
        <f>+Actuals!Y35</f>
        <v>0</v>
      </c>
      <c r="AC73" s="130">
        <f>+Actuals!Z35</f>
        <v>0</v>
      </c>
      <c r="AD73" s="129">
        <f>+Actuals!AA35</f>
        <v>0</v>
      </c>
      <c r="AE73" s="130">
        <f>+Actuals!AB35</f>
        <v>0</v>
      </c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1725539</v>
      </c>
      <c r="F74" s="60">
        <f>'TIE-OUT'!T74+RECLASS!T74</f>
        <v>0</v>
      </c>
      <c r="G74" s="60">
        <f>'TIE-OUT'!U74+RECLASS!U74</f>
        <v>284287</v>
      </c>
      <c r="H74" s="129">
        <v>0</v>
      </c>
      <c r="I74" s="129">
        <v>0</v>
      </c>
      <c r="J74" s="129">
        <v>0</v>
      </c>
      <c r="K74" s="209">
        <v>-5518</v>
      </c>
      <c r="L74" s="129">
        <v>0</v>
      </c>
      <c r="M74" s="203">
        <v>0</v>
      </c>
      <c r="N74" s="129">
        <v>0</v>
      </c>
      <c r="O74" s="203">
        <v>1446770</v>
      </c>
      <c r="P74" s="129">
        <f>+Actuals!M36</f>
        <v>0</v>
      </c>
      <c r="Q74" s="130">
        <f>+Actuals!N36</f>
        <v>0</v>
      </c>
      <c r="R74" s="129">
        <v>0</v>
      </c>
      <c r="S74" s="130">
        <v>0</v>
      </c>
      <c r="T74" s="129">
        <f>+Actuals!Q36</f>
        <v>0</v>
      </c>
      <c r="U74" s="130">
        <f>+Actuals!R36</f>
        <v>0</v>
      </c>
      <c r="V74" s="129">
        <f>+Actuals!S36</f>
        <v>0</v>
      </c>
      <c r="W74" s="130">
        <f>+Actuals!T36</f>
        <v>0</v>
      </c>
      <c r="X74" s="129">
        <f>+Actuals!U36</f>
        <v>0</v>
      </c>
      <c r="Y74" s="130">
        <f>+Actuals!V36</f>
        <v>0</v>
      </c>
      <c r="Z74" s="129">
        <f>+Actuals!W36</f>
        <v>0</v>
      </c>
      <c r="AA74" s="130">
        <f>+Actuals!X36</f>
        <v>0</v>
      </c>
      <c r="AB74" s="129">
        <f>+Actuals!Y36</f>
        <v>0</v>
      </c>
      <c r="AC74" s="130">
        <f>+Actuals!Z36</f>
        <v>0</v>
      </c>
      <c r="AD74" s="129">
        <f>+Actuals!AA36</f>
        <v>0</v>
      </c>
      <c r="AE74" s="130">
        <f>+Actuals!AB36</f>
        <v>0</v>
      </c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'TIE-OUT'!T75+RECLASS!T75</f>
        <v>0</v>
      </c>
      <c r="G75" s="60">
        <f>'TIE-OUT'!U75+RECLASS!U75</f>
        <v>0</v>
      </c>
      <c r="H75" s="129">
        <v>0</v>
      </c>
      <c r="I75" s="129">
        <v>0</v>
      </c>
      <c r="J75" s="129">
        <v>0</v>
      </c>
      <c r="K75" s="206">
        <v>0</v>
      </c>
      <c r="L75" s="129">
        <v>0</v>
      </c>
      <c r="M75" s="129">
        <v>0</v>
      </c>
      <c r="N75" s="129">
        <v>0</v>
      </c>
      <c r="O75" s="129">
        <v>0</v>
      </c>
      <c r="P75" s="129">
        <f>+Actuals!M37</f>
        <v>0</v>
      </c>
      <c r="Q75" s="130">
        <f>+Actuals!N37</f>
        <v>0</v>
      </c>
      <c r="R75" s="129">
        <v>0</v>
      </c>
      <c r="S75" s="130">
        <v>0</v>
      </c>
      <c r="T75" s="129">
        <f>+Actuals!Q37</f>
        <v>0</v>
      </c>
      <c r="U75" s="130">
        <f>+Actuals!R37</f>
        <v>0</v>
      </c>
      <c r="V75" s="129">
        <f>+Actuals!S37</f>
        <v>0</v>
      </c>
      <c r="W75" s="130">
        <f>+Actuals!T37</f>
        <v>0</v>
      </c>
      <c r="X75" s="129">
        <f>+Actuals!U37</f>
        <v>0</v>
      </c>
      <c r="Y75" s="130">
        <f>+Actuals!V37</f>
        <v>0</v>
      </c>
      <c r="Z75" s="129">
        <f>+Actuals!W37</f>
        <v>0</v>
      </c>
      <c r="AA75" s="130">
        <f>+Actuals!X37</f>
        <v>0</v>
      </c>
      <c r="AB75" s="129">
        <f>+Actuals!Y37</f>
        <v>0</v>
      </c>
      <c r="AC75" s="130">
        <f>+Actuals!Z37</f>
        <v>0</v>
      </c>
      <c r="AD75" s="129">
        <f>+Actuals!AA37</f>
        <v>0</v>
      </c>
      <c r="AE75" s="130">
        <f>+Actuals!AB37</f>
        <v>0</v>
      </c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60">
        <f>'TIE-OUT'!T76+RECLASS!T76</f>
        <v>0</v>
      </c>
      <c r="G76" s="60">
        <f>'TIE-OUT'!U76+RECLASS!U76</f>
        <v>0</v>
      </c>
      <c r="H76" s="129">
        <v>0</v>
      </c>
      <c r="I76" s="129">
        <v>0</v>
      </c>
      <c r="J76" s="129">
        <v>0</v>
      </c>
      <c r="K76" s="206">
        <v>0</v>
      </c>
      <c r="L76" s="129">
        <v>0</v>
      </c>
      <c r="M76" s="129">
        <v>0</v>
      </c>
      <c r="N76" s="129">
        <v>0</v>
      </c>
      <c r="O76" s="129">
        <v>0</v>
      </c>
      <c r="P76" s="129">
        <f>+Actuals!M38</f>
        <v>0</v>
      </c>
      <c r="Q76" s="130">
        <f>+Actuals!N38</f>
        <v>0</v>
      </c>
      <c r="R76" s="129">
        <v>0</v>
      </c>
      <c r="S76" s="130">
        <v>0</v>
      </c>
      <c r="T76" s="129">
        <f>+Actuals!Q38</f>
        <v>0</v>
      </c>
      <c r="U76" s="130">
        <f>+Actuals!R38</f>
        <v>0</v>
      </c>
      <c r="V76" s="129">
        <f>+Actuals!S38</f>
        <v>0</v>
      </c>
      <c r="W76" s="130">
        <f>+Actuals!T38</f>
        <v>0</v>
      </c>
      <c r="X76" s="129">
        <f>+Actuals!U38</f>
        <v>0</v>
      </c>
      <c r="Y76" s="130">
        <f>+Actuals!V38</f>
        <v>0</v>
      </c>
      <c r="Z76" s="129">
        <f>+Actuals!W38</f>
        <v>0</v>
      </c>
      <c r="AA76" s="130">
        <f>+Actuals!X38</f>
        <v>0</v>
      </c>
      <c r="AB76" s="129">
        <f>+Actuals!Y38</f>
        <v>0</v>
      </c>
      <c r="AC76" s="130">
        <f>+Actuals!Z38</f>
        <v>0</v>
      </c>
      <c r="AD76" s="129">
        <f>+Actuals!AA38</f>
        <v>0</v>
      </c>
      <c r="AE76" s="130">
        <f>+Actuals!AB38</f>
        <v>0</v>
      </c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-15000</v>
      </c>
      <c r="F77" s="60">
        <f>'TIE-OUT'!T77+RECLASS!T77</f>
        <v>0</v>
      </c>
      <c r="G77" s="60">
        <f>'TIE-OUT'!U77+RECLASS!U77</f>
        <v>-15000</v>
      </c>
      <c r="H77" s="129">
        <v>0</v>
      </c>
      <c r="I77" s="129">
        <v>0</v>
      </c>
      <c r="J77" s="129">
        <v>0</v>
      </c>
      <c r="K77" s="206">
        <v>0</v>
      </c>
      <c r="L77" s="129">
        <v>0</v>
      </c>
      <c r="M77" s="129">
        <v>0</v>
      </c>
      <c r="N77" s="129">
        <v>0</v>
      </c>
      <c r="O77" s="129">
        <v>0</v>
      </c>
      <c r="P77" s="129">
        <f>+Actuals!M39</f>
        <v>0</v>
      </c>
      <c r="Q77" s="130">
        <f>+Actuals!N39</f>
        <v>0</v>
      </c>
      <c r="R77" s="129">
        <v>0</v>
      </c>
      <c r="S77" s="130">
        <v>0</v>
      </c>
      <c r="T77" s="129">
        <f>+Actuals!Q39</f>
        <v>0</v>
      </c>
      <c r="U77" s="130">
        <f>+Actuals!R39</f>
        <v>0</v>
      </c>
      <c r="V77" s="129">
        <f>+Actuals!S39</f>
        <v>0</v>
      </c>
      <c r="W77" s="130">
        <f>+Actuals!T39</f>
        <v>0</v>
      </c>
      <c r="X77" s="129">
        <f>+Actuals!U39</f>
        <v>0</v>
      </c>
      <c r="Y77" s="130">
        <f>+Actuals!V39</f>
        <v>0</v>
      </c>
      <c r="Z77" s="129">
        <f>+Actuals!W39</f>
        <v>0</v>
      </c>
      <c r="AA77" s="130">
        <f>+Actuals!X39</f>
        <v>0</v>
      </c>
      <c r="AB77" s="129">
        <f>+Actuals!Y39</f>
        <v>0</v>
      </c>
      <c r="AC77" s="130">
        <f>+Actuals!Z39</f>
        <v>0</v>
      </c>
      <c r="AD77" s="129">
        <f>+Actuals!AA39</f>
        <v>0</v>
      </c>
      <c r="AE77" s="130">
        <f>+Actuals!AB39</f>
        <v>0</v>
      </c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'TIE-OUT'!T78+RECLASS!T78</f>
        <v>0</v>
      </c>
      <c r="G78" s="60">
        <f>'TIE-OUT'!U78+RECLASS!U78</f>
        <v>0</v>
      </c>
      <c r="H78" s="129">
        <v>0</v>
      </c>
      <c r="I78" s="129">
        <v>0</v>
      </c>
      <c r="J78" s="129">
        <v>0</v>
      </c>
      <c r="K78" s="206">
        <v>0</v>
      </c>
      <c r="L78" s="129">
        <v>0</v>
      </c>
      <c r="M78" s="129">
        <v>0</v>
      </c>
      <c r="N78" s="129">
        <v>0</v>
      </c>
      <c r="O78" s="129">
        <v>0</v>
      </c>
      <c r="P78" s="129">
        <f>+Actuals!M40</f>
        <v>0</v>
      </c>
      <c r="Q78" s="130">
        <f>+Actuals!N40</f>
        <v>0</v>
      </c>
      <c r="R78" s="129">
        <v>0</v>
      </c>
      <c r="S78" s="130">
        <v>0</v>
      </c>
      <c r="T78" s="129">
        <f>+Actuals!Q40</f>
        <v>0</v>
      </c>
      <c r="U78" s="130">
        <f>+Actuals!R40</f>
        <v>0</v>
      </c>
      <c r="V78" s="129">
        <f>+Actuals!S40</f>
        <v>0</v>
      </c>
      <c r="W78" s="130">
        <f>+Actuals!T40</f>
        <v>0</v>
      </c>
      <c r="X78" s="129">
        <f>+Actuals!U40</f>
        <v>0</v>
      </c>
      <c r="Y78" s="130">
        <f>+Actuals!V40</f>
        <v>0</v>
      </c>
      <c r="Z78" s="129">
        <f>+Actuals!W40</f>
        <v>0</v>
      </c>
      <c r="AA78" s="130">
        <f>+Actuals!X40</f>
        <v>0</v>
      </c>
      <c r="AB78" s="129">
        <f>+Actuals!Y40</f>
        <v>0</v>
      </c>
      <c r="AC78" s="130">
        <f>+Actuals!Z40</f>
        <v>0</v>
      </c>
      <c r="AD78" s="129">
        <f>+Actuals!AA40</f>
        <v>0</v>
      </c>
      <c r="AE78" s="130">
        <f>+Actuals!AB40</f>
        <v>0</v>
      </c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'TIE-OUT'!T79+RECLASS!T79</f>
        <v>0</v>
      </c>
      <c r="G79" s="60">
        <f>'TIE-OUT'!U79+RECLASS!U79</f>
        <v>0</v>
      </c>
      <c r="H79" s="129">
        <v>0</v>
      </c>
      <c r="I79" s="129">
        <v>0</v>
      </c>
      <c r="J79" s="129">
        <v>0</v>
      </c>
      <c r="K79" s="206">
        <v>0</v>
      </c>
      <c r="L79" s="129">
        <v>0</v>
      </c>
      <c r="M79" s="129">
        <v>0</v>
      </c>
      <c r="N79" s="129">
        <v>0</v>
      </c>
      <c r="O79" s="129">
        <v>0</v>
      </c>
      <c r="P79" s="129">
        <f>+Actuals!M41</f>
        <v>0</v>
      </c>
      <c r="Q79" s="130">
        <f>+Actuals!N41</f>
        <v>0</v>
      </c>
      <c r="R79" s="129">
        <v>0</v>
      </c>
      <c r="S79" s="130">
        <v>0</v>
      </c>
      <c r="T79" s="129">
        <f>+Actuals!Q41</f>
        <v>0</v>
      </c>
      <c r="U79" s="130">
        <f>+Actuals!R41</f>
        <v>0</v>
      </c>
      <c r="V79" s="129">
        <f>+Actuals!S41</f>
        <v>0</v>
      </c>
      <c r="W79" s="130">
        <f>+Actuals!T41</f>
        <v>0</v>
      </c>
      <c r="X79" s="129">
        <f>+Actuals!U41</f>
        <v>0</v>
      </c>
      <c r="Y79" s="130">
        <f>+Actuals!V41</f>
        <v>0</v>
      </c>
      <c r="Z79" s="129">
        <f>+Actuals!W41</f>
        <v>0</v>
      </c>
      <c r="AA79" s="130">
        <f>+Actuals!X41</f>
        <v>0</v>
      </c>
      <c r="AB79" s="129">
        <f>+Actuals!Y41</f>
        <v>0</v>
      </c>
      <c r="AC79" s="130">
        <f>+Actuals!Z41</f>
        <v>0</v>
      </c>
      <c r="AD79" s="129">
        <f>+Actuals!AA41</f>
        <v>0</v>
      </c>
      <c r="AE79" s="130">
        <f>+Actuals!AB41</f>
        <v>0</v>
      </c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'TIE-OUT'!T80+RECLASS!T80</f>
        <v>0</v>
      </c>
      <c r="G80" s="60">
        <f>'TIE-OUT'!U80+RECLASS!U80</f>
        <v>0</v>
      </c>
      <c r="H80" s="129">
        <v>0</v>
      </c>
      <c r="I80" s="129">
        <v>0</v>
      </c>
      <c r="J80" s="129">
        <v>0</v>
      </c>
      <c r="K80" s="206">
        <v>0</v>
      </c>
      <c r="L80" s="129">
        <v>0</v>
      </c>
      <c r="M80" s="129">
        <v>0</v>
      </c>
      <c r="N80" s="129">
        <v>0</v>
      </c>
      <c r="O80" s="129">
        <v>0</v>
      </c>
      <c r="P80" s="129">
        <f>+Actuals!M42</f>
        <v>0</v>
      </c>
      <c r="Q80" s="130">
        <f>+Actuals!N42</f>
        <v>0</v>
      </c>
      <c r="R80" s="129">
        <v>0</v>
      </c>
      <c r="S80" s="130">
        <v>0</v>
      </c>
      <c r="T80" s="129">
        <f>+Actuals!Q42</f>
        <v>0</v>
      </c>
      <c r="U80" s="130">
        <f>+Actuals!R42</f>
        <v>0</v>
      </c>
      <c r="V80" s="129">
        <f>+Actuals!S42</f>
        <v>0</v>
      </c>
      <c r="W80" s="130">
        <f>+Actuals!T42</f>
        <v>0</v>
      </c>
      <c r="X80" s="129">
        <f>+Actuals!U42</f>
        <v>0</v>
      </c>
      <c r="Y80" s="130">
        <f>+Actuals!V42</f>
        <v>0</v>
      </c>
      <c r="Z80" s="129">
        <f>+Actuals!W42</f>
        <v>0</v>
      </c>
      <c r="AA80" s="130">
        <f>+Actuals!X42</f>
        <v>0</v>
      </c>
      <c r="AB80" s="129">
        <f>+Actuals!Y42</f>
        <v>0</v>
      </c>
      <c r="AC80" s="130">
        <f>+Actuals!Z42</f>
        <v>0</v>
      </c>
      <c r="AD80" s="129">
        <f>+Actuals!AA42</f>
        <v>0</v>
      </c>
      <c r="AE80" s="130">
        <f>+Actuals!AB42</f>
        <v>0</v>
      </c>
    </row>
    <row r="81" spans="1:31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60000</v>
      </c>
      <c r="F81" s="60">
        <f>'TIE-OUT'!T81+RECLASS!T81</f>
        <v>0</v>
      </c>
      <c r="G81" s="60">
        <f>'TIE-OUT'!U81+RECLASS!U81</f>
        <v>0</v>
      </c>
      <c r="H81" s="129">
        <v>0</v>
      </c>
      <c r="I81" s="129">
        <v>60000</v>
      </c>
      <c r="J81" s="129">
        <v>0</v>
      </c>
      <c r="K81" s="206">
        <v>0</v>
      </c>
      <c r="L81" s="129">
        <v>0</v>
      </c>
      <c r="M81" s="129">
        <v>0</v>
      </c>
      <c r="N81" s="129">
        <v>0</v>
      </c>
      <c r="O81" s="129">
        <v>0</v>
      </c>
      <c r="P81" s="129">
        <f>+Actuals!M43</f>
        <v>0</v>
      </c>
      <c r="Q81" s="130">
        <f>+Actuals!N43</f>
        <v>0</v>
      </c>
      <c r="R81" s="129">
        <v>0</v>
      </c>
      <c r="S81" s="130">
        <v>0</v>
      </c>
      <c r="T81" s="129">
        <f>+Actuals!Q43</f>
        <v>0</v>
      </c>
      <c r="U81" s="130">
        <f>+Actuals!R43</f>
        <v>0</v>
      </c>
      <c r="V81" s="129">
        <f>+Actuals!S43</f>
        <v>0</v>
      </c>
      <c r="W81" s="130">
        <f>+Actuals!T43</f>
        <v>0</v>
      </c>
      <c r="X81" s="129">
        <f>+Actuals!U43</f>
        <v>0</v>
      </c>
      <c r="Y81" s="130">
        <f>+Actuals!V43</f>
        <v>0</v>
      </c>
      <c r="Z81" s="129">
        <f>+Actuals!W43</f>
        <v>0</v>
      </c>
      <c r="AA81" s="130">
        <f>+Actuals!X43</f>
        <v>0</v>
      </c>
      <c r="AB81" s="129">
        <f>+Actuals!Y43</f>
        <v>0</v>
      </c>
      <c r="AC81" s="130">
        <f>+Actuals!Z43</f>
        <v>0</v>
      </c>
      <c r="AD81" s="129">
        <f>+Actuals!AA43</f>
        <v>0</v>
      </c>
      <c r="AE81" s="130">
        <f>+Actuals!AB43</f>
        <v>0</v>
      </c>
    </row>
    <row r="82" spans="1:3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620983.1099999994</v>
      </c>
      <c r="F82" s="92">
        <f>F16+F24+F29+F36+F43+F45+F47+F49</f>
        <v>0</v>
      </c>
      <c r="G82" s="93">
        <f>SUM(G72:G81)+G16+G24+G29+G36+G43+G45+G47+G49+G51+G56+G61+G66</f>
        <v>-4267710.8900000006</v>
      </c>
      <c r="H82" s="92">
        <f>H16+H24+H29+H36+H43+H45+H47+H49</f>
        <v>0</v>
      </c>
      <c r="I82" s="93">
        <f>SUM(I72:I81)+I16+I24+I29+I36+I43+I45+I47+I49+I51+I56+I61+I66</f>
        <v>4604800</v>
      </c>
      <c r="J82" s="92">
        <f>J16+J24+J29+J36+J43+J45+J47+J49</f>
        <v>0</v>
      </c>
      <c r="K82" s="112">
        <f>SUM(K72:K81)+K16+K24+K29+K36+K43+K45+K47+K49+K51+K56+K61+K66</f>
        <v>-1691319</v>
      </c>
      <c r="L82" s="92">
        <f>L16+L24+L29+L36+L43+L45+L47+L49</f>
        <v>0</v>
      </c>
      <c r="M82" s="93">
        <f>SUM(M72:M81)+M16+M24+M29+M36+M43+M45+M47+M49+M51+M56+M61+M66</f>
        <v>163528</v>
      </c>
      <c r="N82" s="92">
        <f>N16+N24+N29+N36+N43+N45+N47+N49</f>
        <v>0</v>
      </c>
      <c r="O82" s="93">
        <f>SUM(O72:O81)+O16+O24+O29+O36+O43+O45+O47+O49+O51+O56+O61+O66</f>
        <v>1551729</v>
      </c>
      <c r="P82" s="92">
        <f>P16+P24+P29+P36+P43+P45+P47+P49</f>
        <v>0</v>
      </c>
      <c r="Q82" s="93">
        <f>SUM(Q72:Q81)+Q16+Q24+Q29+Q36+Q43+Q45+Q47+Q49+Q51+Q56+Q61+Q66</f>
        <v>-103289</v>
      </c>
      <c r="R82" s="92">
        <f>R16+R24+R29+R36+R43+R45+R47+R49</f>
        <v>0</v>
      </c>
      <c r="S82" s="93">
        <f>SUM(S72:S81)+S16+S24+S29+S36+S43+S45+S47+S49+S51+S56+S61+S66</f>
        <v>350199</v>
      </c>
      <c r="T82" s="92">
        <f>T16+T24+T29+T36+T43+T45+T47+T49</f>
        <v>0</v>
      </c>
      <c r="U82" s="93">
        <f>SUM(U72:U81)+U16+U24+U29+U36+U43+U45+U47+U49+U51+U56+U61+U66</f>
        <v>35039</v>
      </c>
      <c r="V82" s="92">
        <f>V16+V24+V29+V36+V43+V45+V47+V49</f>
        <v>0</v>
      </c>
      <c r="W82" s="93">
        <f>SUM(W72:W81)+W16+W24+W29+W36+W43+W45+W47+W49+W51+W56+W61+W66</f>
        <v>-16462</v>
      </c>
      <c r="X82" s="92">
        <f>X16+X24+X29+X36+X43+X45+X47+X49</f>
        <v>0</v>
      </c>
      <c r="Y82" s="93">
        <f>SUM(Y72:Y81)+Y16+Y24+Y29+Y36+Y43+Y45+Y47+Y49+Y51+Y56+Y61+Y66</f>
        <v>-24900</v>
      </c>
      <c r="Z82" s="92">
        <f>Z16+Z24+Z29+Z36+Z43+Z45+Z47+Z49</f>
        <v>0</v>
      </c>
      <c r="AA82" s="93">
        <f>SUM(AA72:AA81)+AA16+AA24+AA29+AA36+AA43+AA45+AA47+AA49+AA51+AA56+AA61+AA66</f>
        <v>19369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75" right="0.75" top="1" bottom="1" header="0.5" footer="0.5"/>
  <pageSetup paperSize="5" scale="42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K7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49651476</v>
      </c>
      <c r="E11" s="38">
        <f>SUM(G11,I11,K11,M11,O11,Q11,S11,U11,W11,Y11,AA11,AC11,AE11)</f>
        <v>116704243.35000001</v>
      </c>
      <c r="F11" s="60">
        <f>('TIE-OUT'!P11+'TIE-OUT'!R11+'TIE-OUT'!T11)+(RECLASS!P11+RECLASS!R11+RECLASS!T11)</f>
        <v>0</v>
      </c>
      <c r="G11" s="38">
        <f>('TIE-OUT'!Q11+'TIE-OUT'!S11+'TIE-OUT'!U11)+(RECLASS!Q11+RECLASS!S11+RECLASS!U11)</f>
        <v>0</v>
      </c>
      <c r="H11" s="60">
        <f>'TX-EGM-GL'!H11+'TX-HPLR-GL '!H11+'TX-HPLC-GL'!H11</f>
        <v>48038034</v>
      </c>
      <c r="I11" s="38">
        <f>'TX-EGM-GL'!I11+'TX-HPLR-GL '!I11+'TX-HPLC-GL'!I11</f>
        <v>114509626.19</v>
      </c>
      <c r="J11" s="60">
        <f>'TX-EGM-GL'!J11+'TX-HPLR-GL '!J11+'TX-HPLC-GL'!J11</f>
        <v>1597622</v>
      </c>
      <c r="K11" s="38">
        <f>'TX-EGM-GL'!K11+'TX-HPLR-GL '!K11+'TX-HPLC-GL'!K11</f>
        <v>3204753.48</v>
      </c>
      <c r="L11" s="60">
        <f>'TX-EGM-GL'!L11+'TX-HPLR-GL '!L11</f>
        <v>7448</v>
      </c>
      <c r="M11" s="38">
        <f>'TX-EGM-GL'!M11+'TX-HPLR-GL '!M11</f>
        <v>-1220345.3</v>
      </c>
      <c r="N11" s="60">
        <f>'TX-EGM-GL'!N11+'TX-HPLR-GL '!N11</f>
        <v>0</v>
      </c>
      <c r="O11" s="38">
        <f>'TX-EGM-GL'!O11+'TX-HPLR-GL '!O11</f>
        <v>187797.81</v>
      </c>
      <c r="P11" s="60">
        <f>'TX-EGM-GL'!P11+'TX-HPLR-GL '!P11</f>
        <v>15674</v>
      </c>
      <c r="Q11" s="38">
        <f>'TX-EGM-GL'!Q11+'TX-HPLR-GL '!Q11</f>
        <v>28400.85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0</v>
      </c>
      <c r="U11" s="38">
        <f>'TX-EGM-GL'!U11+'TX-HPLR-GL '!U11</f>
        <v>0</v>
      </c>
      <c r="V11" s="60">
        <f>'TX-EGM-GL'!V11+'TX-HPLR-GL '!V11</f>
        <v>0</v>
      </c>
      <c r="W11" s="38">
        <f>'TX-EGM-GL'!W11+'TX-HPLR-GL '!W11</f>
        <v>0</v>
      </c>
      <c r="X11" s="60">
        <f>'TX-EGM-GL'!X11+'TX-HPLR-GL '!X11</f>
        <v>15000</v>
      </c>
      <c r="Y11" s="38">
        <f>'TX-EGM-GL'!Y11+'TX-HPLR-GL '!Y11</f>
        <v>49969.56</v>
      </c>
      <c r="Z11" s="60">
        <f>'TX-EGM-GL'!Z11+'TX-HPLR-GL '!Z11</f>
        <v>-22302</v>
      </c>
      <c r="AA11" s="38">
        <f>'TX-EGM-GL'!AA11+'TX-HPLR-GL '!AA11</f>
        <v>-55959.24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-2684221.61</v>
      </c>
      <c r="F12" s="60">
        <f>('TIE-OUT'!P12+'TIE-OUT'!R12+'TIE-OUT'!T12)+(RECLASS!P12+RECLASS!R12+RECLASS!T12)</f>
        <v>0</v>
      </c>
      <c r="G12" s="38">
        <f>('TIE-OUT'!Q12+'TIE-OUT'!S12+'TIE-OUT'!U12)+(RECLASS!Q12+RECLASS!S12+RECLASS!U12)</f>
        <v>-2683738.2599999998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-483.35000000000036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5">
      <c r="A13" s="9">
        <v>3</v>
      </c>
      <c r="B13" s="7"/>
      <c r="C13" s="18" t="s">
        <v>28</v>
      </c>
      <c r="D13" s="60">
        <f t="shared" si="0"/>
        <v>2987342</v>
      </c>
      <c r="E13" s="38">
        <f t="shared" si="0"/>
        <v>6773411</v>
      </c>
      <c r="F13" s="60">
        <f>('TIE-OUT'!P13+'TIE-OUT'!R13+'TIE-OUT'!T13)+(RECLASS!P13+RECLASS!R13+RECLASS!T13)</f>
        <v>0</v>
      </c>
      <c r="G13" s="38">
        <f>('TIE-OUT'!Q13+'TIE-OUT'!S13+'TIE-OUT'!U13)+(RECLASS!Q13+RECLASS!S13+RECLASS!U13)</f>
        <v>0</v>
      </c>
      <c r="H13" s="60">
        <f>'TX-EGM-GL'!H13+'TX-HPLR-GL '!H13+'TX-HPLC-GL'!H13</f>
        <v>2987342</v>
      </c>
      <c r="I13" s="38">
        <f>'TX-EGM-GL'!I13+'TX-HPLR-GL '!I13+'TX-HPLC-GL'!I13</f>
        <v>6773411</v>
      </c>
      <c r="J13" s="60">
        <f>'TX-EGM-GL'!J13+'TX-HPLR-GL '!J13+'TX-HPLC-GL'!J13</f>
        <v>-316045</v>
      </c>
      <c r="K13" s="38">
        <f>'TX-EGM-GL'!K13+'TX-HPLR-GL '!K13+'TX-HPLC-GL'!K13</f>
        <v>-734878</v>
      </c>
      <c r="L13" s="60">
        <f>'TX-EGM-GL'!L13+'TX-HPLR-GL '!L13</f>
        <v>0</v>
      </c>
      <c r="M13" s="38">
        <f>'TX-EGM-GL'!M13+'TX-HPLR-GL '!M13</f>
        <v>0</v>
      </c>
      <c r="N13" s="60">
        <f>'TX-EGM-GL'!N13+'TX-HPLR-GL '!N13</f>
        <v>38000</v>
      </c>
      <c r="O13" s="38">
        <f>'TX-EGM-GL'!O13+'TX-HPLR-GL '!O13</f>
        <v>87540</v>
      </c>
      <c r="P13" s="60">
        <f>'TX-EGM-GL'!P13+'TX-HPLR-GL '!P13</f>
        <v>38000</v>
      </c>
      <c r="Q13" s="38">
        <f>'TX-EGM-GL'!Q13+'TX-HPLR-GL '!Q13</f>
        <v>87540</v>
      </c>
      <c r="R13" s="60">
        <f>'TX-EGM-GL'!R13+'TX-HPLR-GL '!R13</f>
        <v>240045</v>
      </c>
      <c r="S13" s="38">
        <f>'TX-EGM-GL'!S13+'TX-HPLR-GL '!S13</f>
        <v>559798</v>
      </c>
      <c r="T13" s="60">
        <f>'TX-EGM-GL'!T13+'TX-HPLR-GL '!T13</f>
        <v>-240045</v>
      </c>
      <c r="U13" s="38">
        <f>'TX-EGM-GL'!U13+'TX-HPLR-GL '!U13</f>
        <v>-559798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240045</v>
      </c>
      <c r="Y13" s="38">
        <f>'TX-EGM-GL'!Y13+'TX-HPLR-GL '!Y13</f>
        <v>559798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('TIE-OUT'!P14+'TIE-OUT'!R14+'TIE-OUT'!T14)+(RECLASS!P14+RECLASS!R14+RECLASS!T14)</f>
        <v>0</v>
      </c>
      <c r="G14" s="38">
        <f>('TIE-OUT'!Q14+'TIE-OUT'!S14+'TIE-OUT'!U14)+(RECLASS!Q14+RECLASS!S14+RECLASS!U14)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('TIE-OUT'!P15+'TIE-OUT'!R15+'TIE-OUT'!T15)+(RECLASS!P15+RECLASS!R15+RECLASS!T15)</f>
        <v>0</v>
      </c>
      <c r="G15" s="82">
        <f>('TIE-OUT'!Q15+'TIE-OUT'!S15+'TIE-OUT'!U15)+(RECLASS!Q15+RECLASS!S15+RECLASS!U15)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5">
      <c r="A16" s="9"/>
      <c r="B16" s="7" t="s">
        <v>31</v>
      </c>
      <c r="C16" s="6"/>
      <c r="D16" s="61">
        <f>SUM(D11:D15)</f>
        <v>52638818</v>
      </c>
      <c r="E16" s="39">
        <f>SUM(E11:E15)</f>
        <v>120793432.74000001</v>
      </c>
      <c r="F16" s="61">
        <f t="shared" ref="F16:AD16" si="1">SUM(F11:F15)</f>
        <v>0</v>
      </c>
      <c r="G16" s="39">
        <f t="shared" si="1"/>
        <v>-2683738.2599999998</v>
      </c>
      <c r="H16" s="61">
        <f t="shared" si="1"/>
        <v>51025376</v>
      </c>
      <c r="I16" s="39">
        <f t="shared" si="1"/>
        <v>121283037.19</v>
      </c>
      <c r="J16" s="61">
        <f>SUM(J11:J15)</f>
        <v>1281577</v>
      </c>
      <c r="K16" s="39">
        <f>SUM(K11:K15)</f>
        <v>2469392.13</v>
      </c>
      <c r="L16" s="61">
        <f t="shared" si="1"/>
        <v>7448</v>
      </c>
      <c r="M16" s="39">
        <f t="shared" si="1"/>
        <v>-1220345.3</v>
      </c>
      <c r="N16" s="61">
        <f t="shared" si="1"/>
        <v>38000</v>
      </c>
      <c r="O16" s="39">
        <f t="shared" si="1"/>
        <v>275337.81</v>
      </c>
      <c r="P16" s="61">
        <f t="shared" si="1"/>
        <v>53674</v>
      </c>
      <c r="Q16" s="39">
        <f t="shared" si="1"/>
        <v>115940.85</v>
      </c>
      <c r="R16" s="61">
        <f t="shared" si="1"/>
        <v>240045</v>
      </c>
      <c r="S16" s="39">
        <f t="shared" si="1"/>
        <v>559798</v>
      </c>
      <c r="T16" s="61">
        <f t="shared" si="1"/>
        <v>-240045</v>
      </c>
      <c r="U16" s="39">
        <f t="shared" ref="U16:AA16" si="2">SUM(U11:U15)</f>
        <v>-559798</v>
      </c>
      <c r="V16" s="61">
        <f t="shared" si="2"/>
        <v>0</v>
      </c>
      <c r="W16" s="39">
        <f t="shared" si="2"/>
        <v>0</v>
      </c>
      <c r="X16" s="61">
        <f t="shared" si="2"/>
        <v>255045</v>
      </c>
      <c r="Y16" s="39">
        <f t="shared" si="2"/>
        <v>609767.56000000006</v>
      </c>
      <c r="Z16" s="61">
        <f t="shared" si="2"/>
        <v>-22302</v>
      </c>
      <c r="AA16" s="39">
        <f t="shared" si="2"/>
        <v>-55959.24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-48300240</v>
      </c>
      <c r="E19" s="38">
        <f t="shared" si="3"/>
        <v>-107039462.38000001</v>
      </c>
      <c r="F19" s="64">
        <f>('TIE-OUT'!P19+'TIE-OUT'!R19+'TIE-OUT'!T19)+(RECLASS!P19+RECLASS!R19+RECLASS!T19)</f>
        <v>0</v>
      </c>
      <c r="G19" s="68">
        <f>('TIE-OUT'!Q19+'TIE-OUT'!S19+'TIE-OUT'!U19)+(RECLASS!Q19+RECLASS!S19+RECLASS!U19)</f>
        <v>0</v>
      </c>
      <c r="H19" s="60">
        <f>'TX-EGM-GL'!H19+'TX-HPLR-GL '!H19+'TX-HPLC-GL'!H19</f>
        <v>-49819210</v>
      </c>
      <c r="I19" s="38">
        <f>'TX-EGM-GL'!I19+'TX-HPLR-GL '!I19+'TX-HPLC-GL'!I19</f>
        <v>-110200283.98</v>
      </c>
      <c r="J19" s="60">
        <f>'TX-EGM-GL'!J19+'TX-HPLR-GL '!J19+'TX-HPLC-GL'!J19</f>
        <v>1552434</v>
      </c>
      <c r="K19" s="38">
        <f>'TX-EGM-GL'!K19+'TX-HPLR-GL '!K19+'TX-HPLC-GL'!K19</f>
        <v>3241334</v>
      </c>
      <c r="L19" s="60">
        <f>'TX-EGM-GL'!L19+'TX-HPLR-GL '!L19</f>
        <v>-17838</v>
      </c>
      <c r="M19" s="38">
        <f>'TX-EGM-GL'!M19+'TX-HPLR-GL '!M19</f>
        <v>-39215.06</v>
      </c>
      <c r="N19" s="60">
        <f>'TX-EGM-GL'!N19+'TX-HPLR-GL '!N19</f>
        <v>0</v>
      </c>
      <c r="O19" s="38">
        <f>'TX-EGM-GL'!O19+'TX-HPLR-GL '!O19</f>
        <v>0</v>
      </c>
      <c r="P19" s="60">
        <f>'TX-EGM-GL'!P19+'TX-HPLR-GL '!P19</f>
        <v>-15626</v>
      </c>
      <c r="Q19" s="38">
        <f>'TX-EGM-GL'!Q19+'TX-HPLR-GL '!Q19</f>
        <v>-37212.78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-4084.56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-3038018.46</v>
      </c>
      <c r="F20" s="60">
        <f>('TIE-OUT'!P20+'TIE-OUT'!R20+'TIE-OUT'!T20)+(RECLASS!P20+RECLASS!R20+RECLASS!T20)</f>
        <v>0</v>
      </c>
      <c r="G20" s="38">
        <f>('TIE-OUT'!Q20+'TIE-OUT'!S20+'TIE-OUT'!U20)+(RECLASS!Q20+RECLASS!S20+RECLASS!U20)</f>
        <v>-3038018.46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5">
      <c r="A21" s="9">
        <v>8</v>
      </c>
      <c r="B21" s="7"/>
      <c r="C21" s="18" t="s">
        <v>28</v>
      </c>
      <c r="D21" s="60">
        <f t="shared" si="3"/>
        <v>-3320661</v>
      </c>
      <c r="E21" s="38">
        <f t="shared" si="3"/>
        <v>-7525079</v>
      </c>
      <c r="F21" s="60">
        <f>('TIE-OUT'!P21+'TIE-OUT'!R21+'TIE-OUT'!T21)+(RECLASS!P21+RECLASS!R21+RECLASS!T21)</f>
        <v>0</v>
      </c>
      <c r="G21" s="38">
        <f>('TIE-OUT'!Q21+'TIE-OUT'!S21+'TIE-OUT'!U21)+(RECLASS!Q21+RECLASS!S21+RECLASS!U21)</f>
        <v>0</v>
      </c>
      <c r="H21" s="60">
        <f>'TX-EGM-GL'!H21+'TX-HPLR-GL '!H21+'TX-HPLC-GL'!H21</f>
        <v>-3320661</v>
      </c>
      <c r="I21" s="38">
        <f>'TX-EGM-GL'!I21+'TX-HPLR-GL '!I21+'TX-HPLC-GL'!I21</f>
        <v>-7525079</v>
      </c>
      <c r="J21" s="60">
        <f>'TX-EGM-GL'!J21+'TX-HPLR-GL '!J21+'TX-HPLC-GL'!J21</f>
        <v>121986</v>
      </c>
      <c r="K21" s="38">
        <f>'TX-EGM-GL'!K21+'TX-HPLR-GL '!K21+'TX-HPLC-GL'!K21</f>
        <v>249831</v>
      </c>
      <c r="L21" s="60">
        <f>'TX-EGM-GL'!L21+'TX-HPLR-GL '!L21</f>
        <v>0</v>
      </c>
      <c r="M21" s="38">
        <f>'TX-EGM-GL'!M21+'TX-HPLR-GL '!M21</f>
        <v>0</v>
      </c>
      <c r="N21" s="60">
        <f>'TX-EGM-GL'!N21+'TX-HPLR-GL '!N21</f>
        <v>-38000</v>
      </c>
      <c r="O21" s="38">
        <f>'TX-EGM-GL'!O21+'TX-HPLR-GL '!O21</f>
        <v>-87540</v>
      </c>
      <c r="P21" s="60">
        <f>'TX-EGM-GL'!P21+'TX-HPLR-GL '!P21</f>
        <v>-38000</v>
      </c>
      <c r="Q21" s="38">
        <f>'TX-EGM-GL'!Q21+'TX-HPLR-GL '!Q21</f>
        <v>-87540</v>
      </c>
      <c r="R21" s="60">
        <f>'TX-EGM-GL'!R21+'TX-HPLR-GL '!R21</f>
        <v>-45986</v>
      </c>
      <c r="S21" s="38">
        <f>'TX-EGM-GL'!S21+'TX-HPLR-GL '!S21</f>
        <v>-74751</v>
      </c>
      <c r="T21" s="60">
        <f>'TX-EGM-GL'!T21+'TX-HPLR-GL '!T21</f>
        <v>45986</v>
      </c>
      <c r="U21" s="38">
        <f>'TX-EGM-GL'!U21+'TX-HPLR-GL '!U21</f>
        <v>74751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-45986</v>
      </c>
      <c r="Y21" s="38">
        <f>'TX-EGM-GL'!Y21+'TX-HPLR-GL '!Y21</f>
        <v>-74751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('TIE-OUT'!P22+'TIE-OUT'!R22+'TIE-OUT'!T22)+(RECLASS!P22+RECLASS!R22+RECLASS!T22)</f>
        <v>0</v>
      </c>
      <c r="G22" s="38">
        <f>('TIE-OUT'!Q22+'TIE-OUT'!S22+'TIE-OUT'!U22)+(RECLASS!Q22+RECLASS!S22+RECLASS!U22)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5">
      <c r="A23" s="9">
        <v>10</v>
      </c>
      <c r="B23" s="7"/>
      <c r="C23" s="18" t="s">
        <v>33</v>
      </c>
      <c r="D23" s="60">
        <f t="shared" si="3"/>
        <v>3705</v>
      </c>
      <c r="E23" s="38">
        <f t="shared" si="3"/>
        <v>8336.25</v>
      </c>
      <c r="F23" s="81">
        <f>('TIE-OUT'!P23+'TIE-OUT'!R23+'TIE-OUT'!T23)+(RECLASS!P23+RECLASS!R23+RECLASS!T23)</f>
        <v>0</v>
      </c>
      <c r="G23" s="82">
        <f>('TIE-OUT'!Q23+'TIE-OUT'!S23+'TIE-OUT'!U23)+(RECLASS!Q23+RECLASS!S23+RECLASS!U23)</f>
        <v>0</v>
      </c>
      <c r="H23" s="60">
        <f>'TX-EGM-GL'!H23+'TX-HPLR-GL '!H23+'TX-HPLC-GL'!H23</f>
        <v>108</v>
      </c>
      <c r="I23" s="38">
        <f>'TX-EGM-GL'!I23+'TX-HPLR-GL '!I23+'TX-HPLC-GL'!I23</f>
        <v>243</v>
      </c>
      <c r="J23" s="60">
        <f>'TX-EGM-GL'!J23+'TX-HPLR-GL '!J23+'TX-HPLC-GL'!J23</f>
        <v>3597</v>
      </c>
      <c r="K23" s="38">
        <f>'TX-EGM-GL'!K23+'TX-HPLR-GL '!K23+'TX-HPLC-GL'!K23</f>
        <v>8093.25</v>
      </c>
      <c r="L23" s="60">
        <f>'TX-EGM-GL'!L23+'TX-HPLR-GL '!L23</f>
        <v>0</v>
      </c>
      <c r="M23" s="38">
        <f>'TX-EGM-GL'!M23+'TX-HPLR-GL '!M23</f>
        <v>0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171</v>
      </c>
      <c r="Q23" s="38">
        <f>'TX-EGM-GL'!Q23+'TX-HPLR-GL '!Q23</f>
        <v>384.75</v>
      </c>
      <c r="R23" s="60">
        <f>'TX-EGM-GL'!R23+'TX-HPLR-GL '!R23</f>
        <v>-423493</v>
      </c>
      <c r="S23" s="38">
        <f>'TX-EGM-GL'!S23+'TX-HPLR-GL '!S23</f>
        <v>-952859.25</v>
      </c>
      <c r="T23" s="60">
        <f>'TX-EGM-GL'!T23+'TX-HPLR-GL '!T23</f>
        <v>423322</v>
      </c>
      <c r="U23" s="38">
        <f>'TX-EGM-GL'!U23+'TX-HPLR-GL '!U23</f>
        <v>952474.5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5">
      <c r="A24" s="9"/>
      <c r="B24" s="7" t="s">
        <v>34</v>
      </c>
      <c r="C24" s="6"/>
      <c r="D24" s="61">
        <f>SUM(D19:D23)</f>
        <v>-51617196</v>
      </c>
      <c r="E24" s="39">
        <f>SUM(E19:E23)</f>
        <v>-117594223.59</v>
      </c>
      <c r="F24" s="61">
        <f t="shared" ref="F24:AD24" si="4">SUM(F19:F23)</f>
        <v>0</v>
      </c>
      <c r="G24" s="39">
        <f t="shared" si="4"/>
        <v>-3038018.46</v>
      </c>
      <c r="H24" s="61">
        <f t="shared" si="4"/>
        <v>-53139763</v>
      </c>
      <c r="I24" s="39">
        <f t="shared" si="4"/>
        <v>-117725119.98</v>
      </c>
      <c r="J24" s="61">
        <f>SUM(J19:J23)</f>
        <v>1678017</v>
      </c>
      <c r="K24" s="39">
        <f>SUM(K19:K23)</f>
        <v>3499258.25</v>
      </c>
      <c r="L24" s="61">
        <f t="shared" si="4"/>
        <v>-17838</v>
      </c>
      <c r="M24" s="39">
        <f t="shared" si="4"/>
        <v>-39215.06</v>
      </c>
      <c r="N24" s="61">
        <f t="shared" si="4"/>
        <v>-38000</v>
      </c>
      <c r="O24" s="39">
        <f t="shared" si="4"/>
        <v>-87540</v>
      </c>
      <c r="P24" s="61">
        <f t="shared" si="4"/>
        <v>-53455</v>
      </c>
      <c r="Q24" s="39">
        <f t="shared" si="4"/>
        <v>-124368.03</v>
      </c>
      <c r="R24" s="61">
        <f t="shared" si="4"/>
        <v>-469479</v>
      </c>
      <c r="S24" s="39">
        <f t="shared" si="4"/>
        <v>-1027610.25</v>
      </c>
      <c r="T24" s="61">
        <f t="shared" si="4"/>
        <v>469308</v>
      </c>
      <c r="U24" s="39">
        <f t="shared" ref="U24:AA24" si="5">SUM(U19:U23)</f>
        <v>1027225.5</v>
      </c>
      <c r="V24" s="61">
        <f t="shared" si="5"/>
        <v>0</v>
      </c>
      <c r="W24" s="39">
        <f t="shared" si="5"/>
        <v>0</v>
      </c>
      <c r="X24" s="61">
        <f t="shared" si="5"/>
        <v>-45986</v>
      </c>
      <c r="Y24" s="39">
        <f t="shared" si="5"/>
        <v>-78835.56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11569823</v>
      </c>
      <c r="E27" s="38">
        <f>SUM(G27,I27,K27,M27,O27,Q27,S27,U27,W27,Y27,AA27,AC27,AE27)</f>
        <v>26616298.0425</v>
      </c>
      <c r="F27" s="64">
        <f>('TIE-OUT'!P27+'TIE-OUT'!R27+'TIE-OUT'!T27)+(RECLASS!P27+RECLASS!R27+RECLASS!T27)</f>
        <v>0</v>
      </c>
      <c r="G27" s="68">
        <f>('TIE-OUT'!Q27+'TIE-OUT'!S27+'TIE-OUT'!U27)+(RECLASS!Q27+RECLASS!S27+RECLASS!U27)</f>
        <v>0</v>
      </c>
      <c r="H27" s="60">
        <f>'TX-EGM-GL'!H27+'TX-HPLR-GL '!H27+'TX-HPLC-GL'!H27</f>
        <v>13729576</v>
      </c>
      <c r="I27" s="38">
        <f>'TX-EGM-GL'!I27+'TX-HPLR-GL '!I27+'TX-HPLC-GL'!I27</f>
        <v>31560837</v>
      </c>
      <c r="J27" s="60">
        <f>'TX-EGM-GL'!J27+'TX-HPLR-GL '!J27+'TX-HPLC-GL'!J27</f>
        <v>-2151073</v>
      </c>
      <c r="K27" s="38">
        <f>'TX-EGM-GL'!K27+'TX-HPLR-GL '!K27+'TX-HPLC-GL'!K27</f>
        <v>-4925432.6876999997</v>
      </c>
      <c r="L27" s="60">
        <f>'TX-EGM-GL'!L27+'TX-HPLR-GL '!L27</f>
        <v>-48205</v>
      </c>
      <c r="M27" s="38">
        <f>'TX-EGM-GL'!M27+'TX-HPLR-GL '!M27</f>
        <v>-105546.14139999999</v>
      </c>
      <c r="N27" s="60">
        <f>'TX-EGM-GL'!N27+'TX-HPLR-GL '!N27</f>
        <v>37502</v>
      </c>
      <c r="O27" s="38">
        <f>'TX-EGM-GL'!O27+'TX-HPLR-GL '!O27</f>
        <v>81840.426899999991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1279</v>
      </c>
      <c r="W27" s="38">
        <f>'TX-EGM-GL'!W27+'TX-HPLR-GL '!W27</f>
        <v>2928.91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744</v>
      </c>
      <c r="AA27" s="38">
        <f>'TX-EGM-GL'!AA27+'TX-HPLR-GL '!AA27</f>
        <v>1670.5346999999999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-12177167</v>
      </c>
      <c r="E28" s="38">
        <f>SUM(G28,I28,K28,M28,O28,Q28,S28,U28,W28,Y28,AA28,AC28,AE28)</f>
        <v>-27959260.329999998</v>
      </c>
      <c r="F28" s="81">
        <f>('TIE-OUT'!P28+'TIE-OUT'!R28+'TIE-OUT'!T28)+(RECLASS!P28+RECLASS!R28+RECLASS!T28)</f>
        <v>0</v>
      </c>
      <c r="G28" s="82">
        <f>('TIE-OUT'!Q28+'TIE-OUT'!S28+'TIE-OUT'!U28)+(RECLASS!Q28+RECLASS!S28+RECLASS!U28)</f>
        <v>0</v>
      </c>
      <c r="H28" s="60">
        <f>'TX-EGM-GL'!H28+'TX-HPLR-GL '!H28+'TX-HPLC-GL'!H28</f>
        <v>-14666360</v>
      </c>
      <c r="I28" s="38">
        <f>'TX-EGM-GL'!I28+'TX-HPLR-GL '!I28+'TX-HPLC-GL'!I28</f>
        <v>-32208594.43</v>
      </c>
      <c r="J28" s="60">
        <f>'TX-EGM-GL'!J28+'TX-HPLR-GL '!J28+'TX-HPLC-GL'!J28</f>
        <v>2477701</v>
      </c>
      <c r="K28" s="38">
        <f>'TX-EGM-GL'!K28+'TX-HPLR-GL '!K28+'TX-HPLC-GL'!K28</f>
        <v>4223824.53</v>
      </c>
      <c r="L28" s="60">
        <f>'TX-EGM-GL'!L28+'TX-HPLR-GL '!L28</f>
        <v>42563</v>
      </c>
      <c r="M28" s="38">
        <f>'TX-EGM-GL'!M28+'TX-HPLR-GL '!M28</f>
        <v>97593.87</v>
      </c>
      <c r="N28" s="60">
        <f>'TX-EGM-GL'!N28+'TX-HPLR-GL '!N28</f>
        <v>0</v>
      </c>
      <c r="O28" s="38">
        <f>'TX-EGM-GL'!O28+'TX-HPLR-GL '!O28</f>
        <v>0</v>
      </c>
      <c r="P28" s="60">
        <f>'TX-EGM-GL'!P28+'TX-HPLR-GL '!P28</f>
        <v>-14638</v>
      </c>
      <c r="Q28" s="38">
        <f>'TX-EGM-GL'!Q28+'TX-HPLR-GL '!Q28</f>
        <v>-33584.639999999999</v>
      </c>
      <c r="R28" s="60">
        <f>'TX-EGM-GL'!R28+'TX-HPLR-GL '!R28</f>
        <v>0</v>
      </c>
      <c r="S28" s="38">
        <f>'TX-EGM-GL'!S28+'TX-HPLR-GL '!S28</f>
        <v>0</v>
      </c>
      <c r="T28" s="60">
        <f>'TX-EGM-GL'!T28+'TX-HPLR-GL '!T28</f>
        <v>0</v>
      </c>
      <c r="U28" s="38">
        <f>'TX-EGM-GL'!U28+'TX-HPLR-GL '!U28</f>
        <v>0</v>
      </c>
      <c r="V28" s="60">
        <f>'TX-EGM-GL'!V28+'TX-HPLR-GL '!V28</f>
        <v>0</v>
      </c>
      <c r="W28" s="38">
        <f>'TX-EGM-GL'!W28+'TX-HPLR-GL '!W28</f>
        <v>0</v>
      </c>
      <c r="X28" s="60">
        <f>'TX-EGM-GL'!X28+'TX-HPLR-GL '!X28</f>
        <v>-15689</v>
      </c>
      <c r="Y28" s="38">
        <f>'TX-EGM-GL'!Y28+'TX-HPLR-GL '!Y28</f>
        <v>-36809.07</v>
      </c>
      <c r="Z28" s="60">
        <f>'TX-EGM-GL'!Z28+'TX-HPLR-GL '!Z28</f>
        <v>-744</v>
      </c>
      <c r="AA28" s="38">
        <f>'TX-EGM-GL'!AA28+'TX-HPLR-GL '!AA28</f>
        <v>-1690.59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</row>
    <row r="29" spans="1:31" x14ac:dyDescent="0.25">
      <c r="A29" s="9"/>
      <c r="B29" s="7" t="s">
        <v>38</v>
      </c>
      <c r="C29" s="18"/>
      <c r="D29" s="61">
        <f>SUM(D27:D28)</f>
        <v>-607344</v>
      </c>
      <c r="E29" s="39">
        <f>SUM(E27:E28)</f>
        <v>-1342962.2874999978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-936784</v>
      </c>
      <c r="I29" s="39">
        <f t="shared" si="6"/>
        <v>-647757.4299999997</v>
      </c>
      <c r="J29" s="61">
        <f>SUM(J27:J28)</f>
        <v>326628</v>
      </c>
      <c r="K29" s="39">
        <f>SUM(K27:K28)</f>
        <v>-701608.1576999994</v>
      </c>
      <c r="L29" s="61">
        <f t="shared" si="6"/>
        <v>-5642</v>
      </c>
      <c r="M29" s="39">
        <f t="shared" si="6"/>
        <v>-7952.2713999999978</v>
      </c>
      <c r="N29" s="61">
        <f t="shared" si="6"/>
        <v>37502</v>
      </c>
      <c r="O29" s="39">
        <f t="shared" si="6"/>
        <v>81840.426899999991</v>
      </c>
      <c r="P29" s="61">
        <f t="shared" si="6"/>
        <v>-14638</v>
      </c>
      <c r="Q29" s="39">
        <f t="shared" si="6"/>
        <v>-33584.639999999999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ref="U29:AA29" si="7">SUM(U27:U28)</f>
        <v>0</v>
      </c>
      <c r="V29" s="61">
        <f t="shared" si="7"/>
        <v>1279</v>
      </c>
      <c r="W29" s="39">
        <f t="shared" si="7"/>
        <v>2928.91</v>
      </c>
      <c r="X29" s="61">
        <f t="shared" si="7"/>
        <v>-15689</v>
      </c>
      <c r="Y29" s="39">
        <f t="shared" si="7"/>
        <v>-36809.07</v>
      </c>
      <c r="Z29" s="61">
        <f t="shared" si="7"/>
        <v>0</v>
      </c>
      <c r="AA29" s="39">
        <f t="shared" si="7"/>
        <v>-20.055299999999988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-305663</v>
      </c>
      <c r="E32" s="38">
        <f t="shared" si="8"/>
        <v>-677209.10600000061</v>
      </c>
      <c r="F32" s="64">
        <f>('TIE-OUT'!P32+'TIE-OUT'!R32+'TIE-OUT'!T32)+(RECLASS!P32+RECLASS!R32+RECLASS!T32)</f>
        <v>0</v>
      </c>
      <c r="G32" s="68">
        <f>('TIE-OUT'!Q32+'TIE-OUT'!S32+'TIE-OUT'!U32)+(RECLASS!Q32+RECLASS!S32+RECLASS!U32)</f>
        <v>0</v>
      </c>
      <c r="H32" s="60">
        <f>'TX-EGM-GL'!H32+'TX-HPLR-GL '!H32+'TX-HPLC-GL'!H32</f>
        <v>-1313599</v>
      </c>
      <c r="I32" s="38">
        <f>'TX-EGM-GL'!I32+'TX-HPLR-GL '!I32+'TX-HPLC-GL'!I32</f>
        <v>-3481399.17</v>
      </c>
      <c r="J32" s="60">
        <f>'TX-EGM-GL'!J32+'TX-HPLR-GL '!J32+'TX-HPLC-GL'!J32</f>
        <v>2698690</v>
      </c>
      <c r="K32" s="38">
        <f>'TX-EGM-GL'!K32+'TX-HPLR-GL '!K32+'TX-HPLC-GL'!K32</f>
        <v>7742254.5989999995</v>
      </c>
      <c r="L32" s="60">
        <f>'TX-EGM-GL'!L32+'TX-HPLR-GL '!L32</f>
        <v>-1718397</v>
      </c>
      <c r="M32" s="38">
        <f>'TX-EGM-GL'!M32+'TX-HPLR-GL '!M32</f>
        <v>-5031072.9210000001</v>
      </c>
      <c r="N32" s="60">
        <f>'TX-EGM-GL'!N32+'TX-HPLR-GL '!N32</f>
        <v>110297</v>
      </c>
      <c r="O32" s="38">
        <f>'TX-EGM-GL'!O32+'TX-HPLR-GL '!O32</f>
        <v>278979.891</v>
      </c>
      <c r="P32" s="60">
        <f>'TX-EGM-GL'!P32+'TX-HPLR-GL '!P32</f>
        <v>-81320</v>
      </c>
      <c r="Q32" s="38">
        <f>'TX-EGM-GL'!Q32+'TX-HPLR-GL '!Q32</f>
        <v>-182970.005</v>
      </c>
      <c r="R32" s="60">
        <f>'TX-EGM-GL'!R32+'TX-HPLR-GL '!R32</f>
        <v>0</v>
      </c>
      <c r="S32" s="38">
        <f>'TX-EGM-GL'!S32+'TX-HPLR-GL '!S32</f>
        <v>0</v>
      </c>
      <c r="T32" s="60">
        <f>'TX-EGM-GL'!T32+'TX-HPLR-GL '!T32</f>
        <v>0</v>
      </c>
      <c r="U32" s="38">
        <f>'TX-EGM-GL'!U32+'TX-HPLR-GL '!U32</f>
        <v>0</v>
      </c>
      <c r="V32" s="60">
        <f>'TX-EGM-GL'!V32+'TX-HPLR-GL '!V32</f>
        <v>-1279</v>
      </c>
      <c r="W32" s="38">
        <f>'TX-EGM-GL'!W32+'TX-HPLR-GL '!W32</f>
        <v>-2877.75</v>
      </c>
      <c r="X32" s="60">
        <f>'TX-EGM-GL'!X32+'TX-HPLR-GL '!X32</f>
        <v>689</v>
      </c>
      <c r="Y32" s="38">
        <f>'TX-EGM-GL'!Y32+'TX-HPLR-GL '!Y32</f>
        <v>1550.25</v>
      </c>
      <c r="Z32" s="60">
        <f>'TX-EGM-GL'!Z32+'TX-HPLR-GL '!Z32</f>
        <v>-744</v>
      </c>
      <c r="AA32" s="38">
        <f>'TX-EGM-GL'!AA32+'TX-HPLR-GL '!AA32</f>
        <v>-1674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</row>
    <row r="33" spans="1:31" x14ac:dyDescent="0.25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('TIE-OUT'!P33+'TIE-OUT'!R33+'TIE-OUT'!T33)+(RECLASS!P33+RECLASS!R33+RECLASS!T33)</f>
        <v>0</v>
      </c>
      <c r="G33" s="38">
        <f>('TIE-OUT'!Q33+'TIE-OUT'!S33+'TIE-OUT'!U33)+(RECLASS!Q33+RECLASS!S33+RECLASS!U33)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5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('TIE-OUT'!P34+'TIE-OUT'!R34+'TIE-OUT'!T34)+(RECLASS!P34+RECLASS!R34+RECLASS!T34)</f>
        <v>0</v>
      </c>
      <c r="G34" s="38">
        <f>('TIE-OUT'!Q34+'TIE-OUT'!S34+'TIE-OUT'!U34)+(RECLASS!Q34+RECLASS!S34+RECLASS!U34)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5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0.01</v>
      </c>
      <c r="F35" s="81">
        <f>('TIE-OUT'!P35+'TIE-OUT'!R35+'TIE-OUT'!T35)+(RECLASS!P35+RECLASS!R35+RECLASS!T35)</f>
        <v>0</v>
      </c>
      <c r="G35" s="82">
        <f>('TIE-OUT'!Q35+'TIE-OUT'!S35+'TIE-OUT'!U35)+(RECLASS!Q35+RECLASS!S35+RECLASS!U35)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0.01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5">
      <c r="A36" s="9"/>
      <c r="B36" s="7" t="s">
        <v>44</v>
      </c>
      <c r="C36" s="6"/>
      <c r="D36" s="61">
        <f>SUM(D32:D35)</f>
        <v>-305663</v>
      </c>
      <c r="E36" s="39">
        <f>SUM(E32:E35)</f>
        <v>-677209.0960000006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-1313599</v>
      </c>
      <c r="I36" s="39">
        <f t="shared" si="9"/>
        <v>-3481399.16</v>
      </c>
      <c r="J36" s="61">
        <f>SUM(J32:J35)</f>
        <v>2698690</v>
      </c>
      <c r="K36" s="39">
        <f>SUM(K32:K35)</f>
        <v>7742254.5989999995</v>
      </c>
      <c r="L36" s="61">
        <f t="shared" si="9"/>
        <v>-1718397</v>
      </c>
      <c r="M36" s="39">
        <f t="shared" si="9"/>
        <v>-5031072.9210000001</v>
      </c>
      <c r="N36" s="61">
        <f t="shared" si="9"/>
        <v>110297</v>
      </c>
      <c r="O36" s="39">
        <f t="shared" si="9"/>
        <v>278979.891</v>
      </c>
      <c r="P36" s="61">
        <f t="shared" si="9"/>
        <v>-81320</v>
      </c>
      <c r="Q36" s="39">
        <f t="shared" si="9"/>
        <v>-182970.005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ref="U36:AA36" si="10">SUM(U32:U35)</f>
        <v>0</v>
      </c>
      <c r="V36" s="61">
        <f t="shared" si="10"/>
        <v>-1279</v>
      </c>
      <c r="W36" s="39">
        <f t="shared" si="10"/>
        <v>-2877.75</v>
      </c>
      <c r="X36" s="61">
        <f t="shared" si="10"/>
        <v>689</v>
      </c>
      <c r="Y36" s="39">
        <f t="shared" si="10"/>
        <v>1550.25</v>
      </c>
      <c r="Z36" s="61">
        <f t="shared" si="10"/>
        <v>-744</v>
      </c>
      <c r="AA36" s="39">
        <f t="shared" si="10"/>
        <v>-1674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9177878</v>
      </c>
      <c r="E39" s="38">
        <f t="shared" si="11"/>
        <v>23964145.300000001</v>
      </c>
      <c r="F39" s="64">
        <f>('TIE-OUT'!P39+'TIE-OUT'!R39+'TIE-OUT'!T39)+(RECLASS!P39+RECLASS!R39+RECLASS!T39)</f>
        <v>0</v>
      </c>
      <c r="G39" s="68">
        <f>('TIE-OUT'!Q39+'TIE-OUT'!S39+'TIE-OUT'!U39)+(RECLASS!Q39+RECLASS!S39+RECLASS!U39)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6020558</v>
      </c>
      <c r="K39" s="38">
        <f>'TX-EGM-GL'!K39+'TX-HPLR-GL '!K39+'TX-HPLC-GL'!K39</f>
        <v>15077427.98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3498320</v>
      </c>
      <c r="Q39" s="38">
        <f>'TX-EGM-GL'!Q39+'TX-HPLR-GL '!Q39</f>
        <v>9667607.3200000003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-341000</v>
      </c>
      <c r="AA39" s="38">
        <f>'TX-EGM-GL'!AA39+'TX-HPLR-GL '!AA39</f>
        <v>-780890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-9467487</v>
      </c>
      <c r="E40" s="38">
        <f t="shared" si="11"/>
        <v>-24607974.5</v>
      </c>
      <c r="F40" s="60">
        <f>('TIE-OUT'!P40+'TIE-OUT'!R40+'TIE-OUT'!T40)+(RECLASS!P40+RECLASS!R40+RECLASS!T40)</f>
        <v>0</v>
      </c>
      <c r="G40" s="38">
        <f>('TIE-OUT'!Q40+'TIE-OUT'!S40+'TIE-OUT'!U40)+(RECLASS!Q40+RECLASS!S40+RECLASS!U40)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-6323495</v>
      </c>
      <c r="M40" s="38">
        <f>'TX-EGM-GL'!M40+'TX-HPLR-GL '!M40</f>
        <v>-17474978.43</v>
      </c>
      <c r="N40" s="60">
        <f>'TX-EGM-GL'!N40+'TX-HPLR-GL '!N40</f>
        <v>-8157</v>
      </c>
      <c r="O40" s="38">
        <f>'TX-EGM-GL'!O40+'TX-HPLR-GL '!O40</f>
        <v>-22541.87</v>
      </c>
      <c r="P40" s="60">
        <f>'TX-EGM-GL'!P40+'TX-HPLR-GL '!P40</f>
        <v>-3486334</v>
      </c>
      <c r="Q40" s="38">
        <f>'TX-EGM-GL'!Q40+'TX-HPLR-GL '!Q40</f>
        <v>-8105860.9900000002</v>
      </c>
      <c r="R40" s="60">
        <f>'TX-EGM-GL'!R40+'TX-HPLR-GL '!R40</f>
        <v>-13547</v>
      </c>
      <c r="S40" s="38">
        <f>'TX-EGM-GL'!S40+'TX-HPLR-GL '!S40</f>
        <v>157735.82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364046</v>
      </c>
      <c r="AA40" s="38">
        <f>'TX-EGM-GL'!AA40+'TX-HPLR-GL '!AA40</f>
        <v>837670.97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-564737</v>
      </c>
      <c r="F41" s="81">
        <f>('TIE-OUT'!P41+'TIE-OUT'!R41+'TIE-OUT'!T41)+(RECLASS!P41+RECLASS!R41+RECLASS!T41)</f>
        <v>0</v>
      </c>
      <c r="G41" s="82">
        <f>('TIE-OUT'!Q41+'TIE-OUT'!S41+'TIE-OUT'!U41)+(RECLASS!Q41+RECLASS!S41+RECLASS!U41)</f>
        <v>-564737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5">
      <c r="A42" s="9"/>
      <c r="B42" s="7"/>
      <c r="C42" s="53" t="s">
        <v>49</v>
      </c>
      <c r="D42" s="61">
        <f>SUM(D40:D41)</f>
        <v>-9467487</v>
      </c>
      <c r="E42" s="39">
        <f>SUM(E40:E41)</f>
        <v>-25172711.5</v>
      </c>
      <c r="F42" s="61">
        <f t="shared" ref="F42:AD42" si="12">SUM(F40:F41)</f>
        <v>0</v>
      </c>
      <c r="G42" s="39">
        <f t="shared" si="12"/>
        <v>-564737</v>
      </c>
      <c r="H42" s="61">
        <f t="shared" si="12"/>
        <v>0</v>
      </c>
      <c r="I42" s="39">
        <f t="shared" si="12"/>
        <v>0</v>
      </c>
      <c r="J42" s="61">
        <f>SUM(J40:J41)</f>
        <v>0</v>
      </c>
      <c r="K42" s="39">
        <f>SUM(K40:K41)</f>
        <v>0</v>
      </c>
      <c r="L42" s="61">
        <f t="shared" si="12"/>
        <v>-6323495</v>
      </c>
      <c r="M42" s="39">
        <f t="shared" si="12"/>
        <v>-17474978.43</v>
      </c>
      <c r="N42" s="61">
        <f t="shared" si="12"/>
        <v>-8157</v>
      </c>
      <c r="O42" s="39">
        <f t="shared" si="12"/>
        <v>-22541.87</v>
      </c>
      <c r="P42" s="61">
        <f t="shared" si="12"/>
        <v>-3486334</v>
      </c>
      <c r="Q42" s="39">
        <f t="shared" si="12"/>
        <v>-8105860.9900000002</v>
      </c>
      <c r="R42" s="61">
        <f t="shared" si="12"/>
        <v>-13547</v>
      </c>
      <c r="S42" s="39">
        <f t="shared" si="12"/>
        <v>157735.82</v>
      </c>
      <c r="T42" s="61">
        <f t="shared" si="12"/>
        <v>0</v>
      </c>
      <c r="U42" s="39">
        <f t="shared" ref="U42:AA42" si="13">SUM(U40:U41)</f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364046</v>
      </c>
      <c r="AA42" s="39">
        <f t="shared" si="13"/>
        <v>837670.97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5">
      <c r="A43" s="9"/>
      <c r="B43" s="7" t="s">
        <v>50</v>
      </c>
      <c r="C43" s="6"/>
      <c r="D43" s="61">
        <f>D42+D39</f>
        <v>-289609</v>
      </c>
      <c r="E43" s="39">
        <f>E42+E39</f>
        <v>-1208566.1999999993</v>
      </c>
      <c r="F43" s="61">
        <f t="shared" ref="F43:AD43" si="14">F42+F39</f>
        <v>0</v>
      </c>
      <c r="G43" s="39">
        <f t="shared" si="14"/>
        <v>-564737</v>
      </c>
      <c r="H43" s="61">
        <f t="shared" si="14"/>
        <v>0</v>
      </c>
      <c r="I43" s="39">
        <f t="shared" si="14"/>
        <v>0</v>
      </c>
      <c r="J43" s="61">
        <f>J42+J39</f>
        <v>6020558</v>
      </c>
      <c r="K43" s="39">
        <f>K42+K39</f>
        <v>15077427.98</v>
      </c>
      <c r="L43" s="61">
        <f t="shared" si="14"/>
        <v>-6323495</v>
      </c>
      <c r="M43" s="39">
        <f t="shared" si="14"/>
        <v>-17474978.43</v>
      </c>
      <c r="N43" s="61">
        <f t="shared" si="14"/>
        <v>-8157</v>
      </c>
      <c r="O43" s="39">
        <f t="shared" si="14"/>
        <v>-22541.87</v>
      </c>
      <c r="P43" s="61">
        <f t="shared" si="14"/>
        <v>11986</v>
      </c>
      <c r="Q43" s="39">
        <f t="shared" si="14"/>
        <v>1561746.33</v>
      </c>
      <c r="R43" s="61">
        <f t="shared" si="14"/>
        <v>-13547</v>
      </c>
      <c r="S43" s="39">
        <f t="shared" si="14"/>
        <v>157735.82</v>
      </c>
      <c r="T43" s="61">
        <f t="shared" si="14"/>
        <v>0</v>
      </c>
      <c r="U43" s="39">
        <f t="shared" ref="U43:AA43" si="15">U42+U39</f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23046</v>
      </c>
      <c r="AA43" s="39">
        <f t="shared" si="15"/>
        <v>56780.969999999972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('TIE-OUT'!P45+'TIE-OUT'!R45+'TIE-OUT'!T45)+(RECLASS!P45+RECLASS!R45+RECLASS!T45)</f>
        <v>0</v>
      </c>
      <c r="G45" s="68">
        <f>('TIE-OUT'!Q45+'TIE-OUT'!S45+'TIE-OUT'!U45)+(RECLASS!Q45+RECLASS!S45+RECLASS!U45)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165834.62</v>
      </c>
      <c r="F47" s="60">
        <f>('TIE-OUT'!P47+'TIE-OUT'!R47+'TIE-OUT'!T47)+(RECLASS!P47+RECLASS!R47+RECLASS!T47)</f>
        <v>0</v>
      </c>
      <c r="G47" s="38">
        <f>('TIE-OUT'!Q47+'TIE-OUT'!S47+'TIE-OUT'!U47)+(RECLASS!Q47+RECLASS!S47+RECLASS!U47)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157430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8405.06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180994</v>
      </c>
      <c r="E49" s="38">
        <f>SUM(G49,I49,K49,M49,O49,Q49,S49,U49,W49,Y49,AA49,AC49,AE49)</f>
        <v>400089</v>
      </c>
      <c r="F49" s="60">
        <f>('TIE-OUT'!P49+'TIE-OUT'!R49+'TIE-OUT'!T49)+(RECLASS!P49+RECLASS!R49+RECLASS!T49)</f>
        <v>0</v>
      </c>
      <c r="G49" s="38">
        <f>('TIE-OUT'!Q49+'TIE-OUT'!S49+'TIE-OUT'!U49)+(RECLASS!Q49+RECLASS!S49+RECLASS!U49)</f>
        <v>0</v>
      </c>
      <c r="H49" s="60">
        <f>'TX-EGM-GL'!H49+'TX-HPLR-GL '!H49+'TX-HPLC-GL'!H49</f>
        <v>4364770</v>
      </c>
      <c r="I49" s="38">
        <f>'TX-EGM-GL'!I49+'TX-HPLR-GL '!I49+'TX-HPLC-GL'!I49</f>
        <v>9820732.5</v>
      </c>
      <c r="J49" s="60">
        <f>'TX-EGM-GL'!J49+'TX-HPLR-GL '!J49+'TX-HPLC-GL'!J49</f>
        <v>-12005470</v>
      </c>
      <c r="K49" s="38">
        <f>'TX-EGM-GL'!K49+'TX-HPLR-GL '!K49+'TX-HPLC-GL'!K49</f>
        <v>-27019455</v>
      </c>
      <c r="L49" s="60">
        <f>'TX-EGM-GL'!L49+'TX-HPLR-GL '!L49</f>
        <v>8057924</v>
      </c>
      <c r="M49" s="38">
        <f>'TX-EGM-GL'!M49+'TX-HPLR-GL '!M49</f>
        <v>18130329</v>
      </c>
      <c r="N49" s="60">
        <f>'TX-EGM-GL'!N49+'TX-HPLR-GL '!N49</f>
        <v>-139642</v>
      </c>
      <c r="O49" s="38">
        <f>'TX-EGM-GL'!O49+'TX-HPLR-GL '!O49</f>
        <v>-314194.5</v>
      </c>
      <c r="P49" s="60">
        <f>'TX-EGM-GL'!P49+'TX-HPLR-GL '!P49</f>
        <v>83753</v>
      </c>
      <c r="Q49" s="38">
        <f>'TX-EGM-GL'!Q49+'TX-HPLR-GL '!Q49</f>
        <v>188444.25</v>
      </c>
      <c r="R49" s="60">
        <f>'TX-EGM-GL'!R49+'TX-HPLR-GL '!R49</f>
        <v>242981</v>
      </c>
      <c r="S49" s="38">
        <f>'TX-EGM-GL'!S49+'TX-HPLR-GL '!S49</f>
        <v>546707.25</v>
      </c>
      <c r="T49" s="60">
        <f>'TX-EGM-GL'!T49+'TX-HPLR-GL '!T49</f>
        <v>-229263</v>
      </c>
      <c r="U49" s="38">
        <f>'TX-EGM-GL'!U49+'TX-HPLR-GL '!U49</f>
        <v>-515841.75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-194059</v>
      </c>
      <c r="Y49" s="38">
        <f>'TX-EGM-GL'!Y49+'TX-HPLR-GL '!Y49</f>
        <v>-436632.75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-3705</v>
      </c>
      <c r="E51" s="38">
        <f>SUM(G51,I51,K51,M51,O51,Q51,S51,U51,W51,Y51,AA51,AC51,AE51)</f>
        <v>-8336.25</v>
      </c>
      <c r="F51" s="60">
        <f>('TIE-OUT'!P51+'TIE-OUT'!R51+'TIE-OUT'!T51)+(RECLASS!P51+RECLASS!R51+RECLASS!T51)</f>
        <v>0</v>
      </c>
      <c r="G51" s="38">
        <f>('TIE-OUT'!Q51+'TIE-OUT'!S51+'TIE-OUT'!U51)+(RECLASS!Q51+RECLASS!S51+RECLASS!U51)</f>
        <v>0</v>
      </c>
      <c r="H51" s="60">
        <f>'TX-EGM-GL'!H51+'TX-HPLR-GL '!H51+'TX-HPLC-GL'!H51</f>
        <v>-108</v>
      </c>
      <c r="I51" s="38">
        <f>'TX-EGM-GL'!I51+'TX-HPLR-GL '!I51+'TX-HPLC-GL'!I51</f>
        <v>-243</v>
      </c>
      <c r="J51" s="60">
        <f>'TX-EGM-GL'!J51+'TX-HPLR-GL '!J51+'TX-HPLC-GL'!J51</f>
        <v>-3597</v>
      </c>
      <c r="K51" s="38">
        <f>'TX-EGM-GL'!K51+'TX-HPLR-GL '!K51+'TX-HPLC-GL'!K51</f>
        <v>-8093.25</v>
      </c>
      <c r="L51" s="60">
        <f>'TX-EGM-GL'!L51+'TX-HPLR-GL '!L51</f>
        <v>0</v>
      </c>
      <c r="M51" s="38">
        <f>'TX-EGM-GL'!M51+'TX-HPLR-GL '!M51</f>
        <v>0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-171</v>
      </c>
      <c r="Q51" s="38">
        <f>'TX-EGM-GL'!Q51+'TX-HPLR-GL '!Q51</f>
        <v>-384.75</v>
      </c>
      <c r="R51" s="60">
        <f>'TX-EGM-GL'!R51+'TX-HPLR-GL '!R51</f>
        <v>423493</v>
      </c>
      <c r="S51" s="38">
        <f>'TX-EGM-GL'!S51+'TX-HPLR-GL '!S51</f>
        <v>952859.25</v>
      </c>
      <c r="T51" s="60">
        <f>'TX-EGM-GL'!T51+'TX-HPLR-GL '!T51</f>
        <v>-423322</v>
      </c>
      <c r="U51" s="38">
        <f>'TX-EGM-GL'!U51+'TX-HPLR-GL '!U51</f>
        <v>-952474.5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-7873324</v>
      </c>
      <c r="E54" s="38">
        <f>SUM(G54,I54,K54,M54,O54,Q54,S54,U54,W54,Y54,AA54,AC54,AE54)</f>
        <v>-1182130.7299999997</v>
      </c>
      <c r="F54" s="64">
        <f>('TIE-OUT'!P54+'TIE-OUT'!R54+'TIE-OUT'!T54)+(RECLASS!P54+RECLASS!R54+RECLASS!T54)</f>
        <v>0</v>
      </c>
      <c r="G54" s="68">
        <f>('TIE-OUT'!Q54+'TIE-OUT'!S54+'TIE-OUT'!U54)+(RECLASS!Q54+RECLASS!S54+RECLASS!U54)</f>
        <v>0</v>
      </c>
      <c r="H54" s="60">
        <f>'TX-EGM-GL'!H54+'TX-HPLR-GL '!H54+'TX-HPLC-GL'!H54</f>
        <v>-7803298</v>
      </c>
      <c r="I54" s="38">
        <f>'TX-EGM-GL'!I54+'TX-HPLR-GL '!I54+'TX-HPLC-GL'!I54</f>
        <v>-1253241</v>
      </c>
      <c r="J54" s="60">
        <f>'TX-EGM-GL'!J54+'TX-HPLR-GL '!J54+'TX-HPLC-GL'!J54</f>
        <v>8851</v>
      </c>
      <c r="K54" s="38">
        <f>'TX-EGM-GL'!K54+'TX-HPLR-GL '!K54+'TX-HPLC-GL'!K54</f>
        <v>66350.77</v>
      </c>
      <c r="L54" s="60">
        <f>'TX-EGM-GL'!L54+'TX-HPLR-GL '!L54</f>
        <v>26039</v>
      </c>
      <c r="M54" s="38">
        <f>'TX-EGM-GL'!M54+'TX-HPLR-GL '!M54</f>
        <v>776.37</v>
      </c>
      <c r="N54" s="60">
        <f>'TX-EGM-GL'!N54+'TX-HPLR-GL '!N54</f>
        <v>-8157</v>
      </c>
      <c r="O54" s="38">
        <f>'TX-EGM-GL'!O54+'TX-HPLR-GL '!O54</f>
        <v>10558.56</v>
      </c>
      <c r="P54" s="60">
        <f>'TX-EGM-GL'!P54+'TX-HPLR-GL '!P54</f>
        <v>0</v>
      </c>
      <c r="Q54" s="38">
        <f>'TX-EGM-GL'!Q54+'TX-HPLR-GL '!Q54</f>
        <v>-11673.54</v>
      </c>
      <c r="R54" s="60">
        <f>'TX-EGM-GL'!R54+'TX-HPLR-GL '!R54</f>
        <v>4878</v>
      </c>
      <c r="S54" s="38">
        <f>'TX-EGM-GL'!S54+'TX-HPLR-GL '!S54</f>
        <v>2064.85</v>
      </c>
      <c r="T54" s="60">
        <f>'TX-EGM-GL'!T54+'TX-HPLR-GL '!T54</f>
        <v>-4878</v>
      </c>
      <c r="U54" s="38">
        <f>'TX-EGM-GL'!U54+'TX-HPLR-GL '!U54</f>
        <v>-975.6</v>
      </c>
      <c r="V54" s="60">
        <f>'TX-EGM-GL'!V54+'TX-HPLR-GL '!V54</f>
        <v>89682</v>
      </c>
      <c r="W54" s="38">
        <f>'TX-EGM-GL'!W54+'TX-HPLR-GL '!W54</f>
        <v>1793.64</v>
      </c>
      <c r="X54" s="60">
        <f>'TX-EGM-GL'!X54+'TX-HPLR-GL '!X54</f>
        <v>-187185</v>
      </c>
      <c r="Y54" s="38">
        <f>'TX-EGM-GL'!Y54+'TX-HPLR-GL '!Y54</f>
        <v>-1799.14</v>
      </c>
      <c r="Z54" s="60">
        <f>'TX-EGM-GL'!Z54+'TX-HPLR-GL '!Z54</f>
        <v>744</v>
      </c>
      <c r="AA54" s="38">
        <f>'TX-EGM-GL'!AA54+'TX-HPLR-GL '!AA54</f>
        <v>4014.36</v>
      </c>
      <c r="AB54" s="60">
        <f>'TX-EGM-GL'!AB54+'TX-HPLR-GL '!AB54</f>
        <v>0</v>
      </c>
      <c r="AC54" s="38">
        <f>'TX-EGM-GL'!AC54+'TX-HPLR-GL '!AC54</f>
        <v>0</v>
      </c>
      <c r="AD54" s="60">
        <f>'TX-EGM-GL'!AD54+'TX-HPLR-GL '!AD54</f>
        <v>0</v>
      </c>
      <c r="AE54" s="38">
        <f>'TX-EGM-GL'!AE54+'TX-HPLR-GL '!AE54</f>
        <v>0</v>
      </c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('TIE-OUT'!P55+'TIE-OUT'!R55+'TIE-OUT'!T55)+(RECLASS!P55+RECLASS!R55+RECLASS!T55)</f>
        <v>0</v>
      </c>
      <c r="G55" s="82">
        <f>('TIE-OUT'!Q55+'TIE-OUT'!S55+'TIE-OUT'!U55)+(RECLASS!Q55+RECLASS!S55+RECLASS!U55)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0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0</v>
      </c>
      <c r="R55" s="60">
        <f>'TX-EGM-GL'!R55+'TX-HPLR-GL '!R55</f>
        <v>0</v>
      </c>
      <c r="S55" s="38">
        <f>'TX-EGM-GL'!S55+'TX-HPLR-GL '!S55</f>
        <v>-93300</v>
      </c>
      <c r="T55" s="60">
        <f>'TX-EGM-GL'!T55+'TX-HPLR-GL '!T55</f>
        <v>0</v>
      </c>
      <c r="U55" s="38">
        <f>'TX-EGM-GL'!U55+'TX-HPLR-GL '!U55</f>
        <v>93300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</row>
    <row r="56" spans="1:31" x14ac:dyDescent="0.25">
      <c r="A56" s="9"/>
      <c r="B56" s="7" t="s">
        <v>58</v>
      </c>
      <c r="C56" s="6"/>
      <c r="D56" s="61">
        <f>SUM(D54:D55)</f>
        <v>-7873324</v>
      </c>
      <c r="E56" s="39">
        <f>SUM(E54:E55)</f>
        <v>-1182130.7299999997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-7803298</v>
      </c>
      <c r="I56" s="39">
        <f t="shared" si="16"/>
        <v>-1253241</v>
      </c>
      <c r="J56" s="61">
        <f>SUM(J54:J55)</f>
        <v>8851</v>
      </c>
      <c r="K56" s="39">
        <f>SUM(K54:K55)</f>
        <v>66350.77</v>
      </c>
      <c r="L56" s="61">
        <f t="shared" si="16"/>
        <v>26039</v>
      </c>
      <c r="M56" s="39">
        <f t="shared" si="16"/>
        <v>776.37</v>
      </c>
      <c r="N56" s="61">
        <f t="shared" si="16"/>
        <v>-8157</v>
      </c>
      <c r="O56" s="39">
        <f t="shared" si="16"/>
        <v>10558.56</v>
      </c>
      <c r="P56" s="61">
        <f t="shared" si="16"/>
        <v>0</v>
      </c>
      <c r="Q56" s="39">
        <f t="shared" si="16"/>
        <v>-11673.54</v>
      </c>
      <c r="R56" s="61">
        <f t="shared" si="16"/>
        <v>4878</v>
      </c>
      <c r="S56" s="39">
        <f t="shared" si="16"/>
        <v>-91235.15</v>
      </c>
      <c r="T56" s="61">
        <f t="shared" si="16"/>
        <v>-4878</v>
      </c>
      <c r="U56" s="39">
        <f t="shared" ref="U56:AA56" si="17">SUM(U54:U55)</f>
        <v>92324.4</v>
      </c>
      <c r="V56" s="61">
        <f t="shared" si="17"/>
        <v>89682</v>
      </c>
      <c r="W56" s="39">
        <f t="shared" si="17"/>
        <v>1793.64</v>
      </c>
      <c r="X56" s="61">
        <f t="shared" si="17"/>
        <v>-187185</v>
      </c>
      <c r="Y56" s="39">
        <f t="shared" si="17"/>
        <v>-1799.14</v>
      </c>
      <c r="Z56" s="61">
        <f t="shared" si="17"/>
        <v>744</v>
      </c>
      <c r="AA56" s="39">
        <f t="shared" si="17"/>
        <v>4014.36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('TIE-OUT'!P59+'TIE-OUT'!R59+'TIE-OUT'!T59)+(RECLASS!P59+RECLASS!R59+RECLASS!T59)</f>
        <v>0</v>
      </c>
      <c r="G59" s="68">
        <f>('TIE-OUT'!Q59+'TIE-OUT'!S59+'TIE-OUT'!U59)+(RECLASS!Q59+RECLASS!S59+RECLASS!U59)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350</v>
      </c>
      <c r="J59" s="60">
        <f>'TX-EGM-GL'!J59+'TX-HPLR-GL '!J59+'TX-HPLC-GL'!J59</f>
        <v>0</v>
      </c>
      <c r="K59" s="38">
        <f>'TX-EGM-GL'!K59+'TX-HPLR-GL '!K59+'TX-HPLC-GL'!K59</f>
        <v>-350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('TIE-OUT'!P60+'TIE-OUT'!R60+'TIE-OUT'!T60)+(RECLASS!P60+RECLASS!R60+RECLASS!T60)</f>
        <v>0</v>
      </c>
      <c r="G60" s="82">
        <f>('TIE-OUT'!Q60+'TIE-OUT'!S60+'TIE-OUT'!U60)+(RECLASS!Q60+RECLASS!S60+RECLASS!U60)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>SUM(J59:J60)</f>
        <v>0</v>
      </c>
      <c r="K61" s="39">
        <f>SUM(K59:K60)</f>
        <v>-350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ref="U61:AA61" si="19"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-11478109</v>
      </c>
      <c r="E64" s="38">
        <f>SUM(G64,I64,K64,M64,O64,Q64,S64,U64,W64,Y64,AA64,AC64,AE64)</f>
        <v>-397096.10000000003</v>
      </c>
      <c r="F64" s="64">
        <f>('TIE-OUT'!P64+'TIE-OUT'!R64+'TIE-OUT'!T64)+(RECLASS!P64+RECLASS!R64+RECLASS!T64)</f>
        <v>0</v>
      </c>
      <c r="G64" s="68">
        <f>('TIE-OUT'!Q64+'TIE-OUT'!S64+'TIE-OUT'!U64)+(RECLASS!Q64+RECLASS!S64+RECLASS!U64)</f>
        <v>0</v>
      </c>
      <c r="H64" s="60">
        <f>'TX-EGM-GL'!H64+'TX-HPLR-GL '!H64+'TX-HPLC-GL'!H64</f>
        <v>-4899429</v>
      </c>
      <c r="I64" s="38">
        <f>'TX-EGM-GL'!I64+'TX-HPLR-GL '!I64+'TX-HPLC-GL'!I64</f>
        <v>-340476.75</v>
      </c>
      <c r="J64" s="60">
        <f>'TX-EGM-GL'!J64+'TX-HPLR-GL '!J64+'TX-HPLC-GL'!J64</f>
        <v>-6569216</v>
      </c>
      <c r="K64" s="38">
        <f>'TX-EGM-GL'!K64+'TX-HPLR-GL '!K64+'TX-HPLC-GL'!K64</f>
        <v>-57358.06</v>
      </c>
      <c r="L64" s="60">
        <f>'TX-EGM-GL'!L64+'TX-HPLR-GL '!L64</f>
        <v>-1307</v>
      </c>
      <c r="M64" s="38">
        <f>'TX-EGM-GL'!M64+'TX-HPLR-GL '!M64</f>
        <v>850.29000000000008</v>
      </c>
      <c r="N64" s="60">
        <f>'TX-EGM-GL'!N64+'TX-HPLR-GL '!N64</f>
        <v>-8157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-744</v>
      </c>
      <c r="W64" s="38">
        <f>'TX-EGM-GL'!W64+'TX-HPLR-GL '!W64</f>
        <v>-148.80000000000001</v>
      </c>
      <c r="X64" s="60">
        <f>'TX-EGM-GL'!X64+'TX-HPLR-GL '!X64</f>
        <v>0</v>
      </c>
      <c r="Y64" s="38">
        <f>'TX-EGM-GL'!Y64+'TX-HPLR-GL '!Y64</f>
        <v>13.8</v>
      </c>
      <c r="Z64" s="60">
        <f>'TX-EGM-GL'!Z64+'TX-HPLR-GL '!Z64</f>
        <v>744</v>
      </c>
      <c r="AA64" s="38">
        <f>'TX-EGM-GL'!AA64+'TX-HPLR-GL '!AA64</f>
        <v>23.42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('TIE-OUT'!P65+'TIE-OUT'!R65+'TIE-OUT'!T65)+(RECLASS!P65+RECLASS!R65+RECLASS!T65)</f>
        <v>0</v>
      </c>
      <c r="G65" s="82">
        <f>('TIE-OUT'!Q65+'TIE-OUT'!S65+'TIE-OUT'!U65)+(RECLASS!Q65+RECLASS!S65+RECLASS!U65)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5">
      <c r="A66" s="9"/>
      <c r="B66" s="7" t="s">
        <v>65</v>
      </c>
      <c r="C66" s="6"/>
      <c r="D66" s="61">
        <f>SUM(D64:D65)</f>
        <v>-11478109</v>
      </c>
      <c r="E66" s="39">
        <f>SUM(E64:E65)</f>
        <v>-397096.10000000003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-4899429</v>
      </c>
      <c r="I66" s="39">
        <f t="shared" si="20"/>
        <v>-340476.75</v>
      </c>
      <c r="J66" s="61">
        <f>SUM(J64:J65)</f>
        <v>-6569216</v>
      </c>
      <c r="K66" s="39">
        <f>SUM(K64:K65)</f>
        <v>-57358.06</v>
      </c>
      <c r="L66" s="61">
        <f t="shared" si="20"/>
        <v>-1307</v>
      </c>
      <c r="M66" s="39">
        <f t="shared" si="20"/>
        <v>850.29000000000008</v>
      </c>
      <c r="N66" s="61">
        <f t="shared" si="20"/>
        <v>-8157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ref="U66:AA66" si="21">SUM(U64:U65)</f>
        <v>0</v>
      </c>
      <c r="V66" s="61">
        <f t="shared" si="21"/>
        <v>-744</v>
      </c>
      <c r="W66" s="39">
        <f t="shared" si="21"/>
        <v>-148.80000000000001</v>
      </c>
      <c r="X66" s="61">
        <f t="shared" si="21"/>
        <v>0</v>
      </c>
      <c r="Y66" s="39">
        <f t="shared" si="21"/>
        <v>13.8</v>
      </c>
      <c r="Z66" s="61">
        <f t="shared" si="21"/>
        <v>744</v>
      </c>
      <c r="AA66" s="39">
        <f t="shared" si="21"/>
        <v>23.42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768386</v>
      </c>
      <c r="F70" s="64">
        <f>('TIE-OUT'!P70+'TIE-OUT'!R70+'TIE-OUT'!T70)+(RECLASS!P70+RECLASS!R70+RECLASS!T70)</f>
        <v>0</v>
      </c>
      <c r="G70" s="68">
        <f>('TIE-OUT'!Q70+'TIE-OUT'!S70+'TIE-OUT'!U70)+(RECLASS!Q70+RECLASS!S70+RECLASS!U70)</f>
        <v>768386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-722249</v>
      </c>
      <c r="F71" s="81">
        <f>('TIE-OUT'!P71+'TIE-OUT'!R71+'TIE-OUT'!T71)+(RECLASS!P71+RECLASS!R71+RECLASS!T71)</f>
        <v>0</v>
      </c>
      <c r="G71" s="82">
        <f>('TIE-OUT'!Q71+'TIE-OUT'!S71+'TIE-OUT'!U71)+(RECLASS!Q71+RECLASS!S71+RECLASS!U71)</f>
        <v>-722249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46137</v>
      </c>
      <c r="F72" s="61">
        <f t="shared" ref="F72:AD72" si="22">SUM(F70:F71)</f>
        <v>0</v>
      </c>
      <c r="G72" s="39">
        <f t="shared" si="22"/>
        <v>46137</v>
      </c>
      <c r="H72" s="61">
        <f t="shared" si="22"/>
        <v>0</v>
      </c>
      <c r="I72" s="39">
        <f t="shared" si="22"/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ref="U72:AA72" si="23"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('TIE-OUT'!P73+'TIE-OUT'!R73+'TIE-OUT'!T73)+(RECLASS!P73+RECLASS!R73+RECLASS!T73)</f>
        <v>0</v>
      </c>
      <c r="G73" s="60">
        <f>('TIE-OUT'!Q73+'TIE-OUT'!S73+'TIE-OUT'!U73)+(RECLASS!Q73+RECLASS!S73+RECLASS!U73)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278769</v>
      </c>
      <c r="F74" s="60">
        <f>('TIE-OUT'!P74+'TIE-OUT'!R74+'TIE-OUT'!T74)+(RECLASS!P74+RECLASS!R74+RECLASS!T74)</f>
        <v>0</v>
      </c>
      <c r="G74" s="60">
        <f>('TIE-OUT'!Q74+'TIE-OUT'!S74+'TIE-OUT'!U74)+(RECLASS!Q74+RECLASS!S74+RECLASS!U74)</f>
        <v>284287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-5518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56900</v>
      </c>
      <c r="F75" s="60">
        <f>('TIE-OUT'!P75+'TIE-OUT'!R75+'TIE-OUT'!T75)+(RECLASS!P75+RECLASS!R75+RECLASS!T75)</f>
        <v>0</v>
      </c>
      <c r="G75" s="60">
        <f>('TIE-OUT'!Q75+'TIE-OUT'!S75+'TIE-OUT'!U75)+(RECLASS!Q75+RECLASS!S75+RECLASS!U75)</f>
        <v>56900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-3979</v>
      </c>
      <c r="F76" s="60">
        <f>('TIE-OUT'!P76+'TIE-OUT'!R76+'TIE-OUT'!T76)+(RECLASS!P76+RECLASS!R76+RECLASS!T76)</f>
        <v>0</v>
      </c>
      <c r="G76" s="60">
        <f>('TIE-OUT'!Q76+'TIE-OUT'!S76+'TIE-OUT'!U76)+(RECLASS!Q76+RECLASS!S76+RECLASS!U76)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-3979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-15000</v>
      </c>
      <c r="F77" s="60">
        <f>('TIE-OUT'!P77+'TIE-OUT'!R77+'TIE-OUT'!T77)+(RECLASS!P77+RECLASS!R77+RECLASS!T77)</f>
        <v>0</v>
      </c>
      <c r="G77" s="60">
        <f>('TIE-OUT'!Q77+'TIE-OUT'!S77+'TIE-OUT'!U77)+(RECLASS!Q77+RECLASS!S77+RECLASS!U77)</f>
        <v>-15000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('TIE-OUT'!P78+'TIE-OUT'!R78+'TIE-OUT'!T78)+(RECLASS!P78+RECLASS!R78+RECLASS!T78)</f>
        <v>0</v>
      </c>
      <c r="G78" s="60">
        <f>('TIE-OUT'!Q78+'TIE-OUT'!S78+'TIE-OUT'!U78)+(RECLASS!Q78+RECLASS!S78+RECLASS!U78)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('TIE-OUT'!P79+'TIE-OUT'!R79+'TIE-OUT'!T79)+(RECLASS!P79+RECLASS!R79+RECLASS!T79)</f>
        <v>0</v>
      </c>
      <c r="G79" s="60">
        <f>('TIE-OUT'!Q79+'TIE-OUT'!S79+'TIE-OUT'!U79)+(RECLASS!Q79+RECLASS!S79+RECLASS!U79)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('TIE-OUT'!P80+'TIE-OUT'!R80+'TIE-OUT'!T80)+(RECLASS!P80+RECLASS!R80+RECLASS!T80)</f>
        <v>0</v>
      </c>
      <c r="G80" s="60">
        <f>('TIE-OUT'!Q80+'TIE-OUT'!S80+'TIE-OUT'!U80)+(RECLASS!Q80+RECLASS!S80+RECLASS!U80)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60000</v>
      </c>
      <c r="F81" s="60">
        <f>('TIE-OUT'!P81+'TIE-OUT'!R81+'TIE-OUT'!T81)+(RECLASS!P81+RECLASS!R81+RECLASS!T81)</f>
        <v>0</v>
      </c>
      <c r="G81" s="60">
        <f>('TIE-OUT'!Q81+'TIE-OUT'!S81+'TIE-OUT'!U81)+(RECLASS!Q81+RECLASS!S81+RECLASS!U81)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60000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-628340.89349999139</v>
      </c>
      <c r="F82" s="92">
        <f>F16+F24+F29+F36+F43+F45+F47+F49</f>
        <v>0</v>
      </c>
      <c r="G82" s="93">
        <f>SUM(G72:G81)+G16+G24+G29+G36+G43+G45+G47+G49+G51+G56+G61+G66</f>
        <v>-5914169.7199999997</v>
      </c>
      <c r="H82" s="92">
        <f>H16+H24+H29+H36+H43+H45+H47+H49</f>
        <v>0</v>
      </c>
      <c r="I82" s="93">
        <f>SUM(I72:I81)+I16+I24+I29+I36+I43+I45+I47+I49+I51+I56+I61+I66</f>
        <v>7715882.3699999936</v>
      </c>
      <c r="J82" s="92">
        <f>J16+J24+J29+J36+J43+J45+J47+J49</f>
        <v>0</v>
      </c>
      <c r="K82" s="93">
        <f>SUM(K72:K81)+K16+K24+K29+K36+K43+K45+K47+K49+K51+K56+K61+K66</f>
        <v>1215752.2613000004</v>
      </c>
      <c r="L82" s="92">
        <f>L16+L24+L29+L36+L43+L45+L47+L49</f>
        <v>0</v>
      </c>
      <c r="M82" s="93">
        <f>SUM(M72:M81)+M16+M24+M29+M36+M43+M45+M47+M49+M51+M56+M61+M66</f>
        <v>-5641608.7624000013</v>
      </c>
      <c r="N82" s="92">
        <f>N16+N24+N29+N36+N43+N45+N47+N49</f>
        <v>0</v>
      </c>
      <c r="O82" s="93">
        <f>SUM(O72:O81)+O16+O24+O29+O36+O43+O45+O47+O49+O51+O56+O61+O66</f>
        <v>230845.37790000002</v>
      </c>
      <c r="P82" s="92">
        <f>P16+P24+P29+P36+P43+P45+P47+P49</f>
        <v>0</v>
      </c>
      <c r="Q82" s="93">
        <f>SUM(Q72:Q81)+Q16+Q24+Q29+Q36+Q43+Q45+Q47+Q49+Q51+Q56+Q61+Q66</f>
        <v>1513150.4650000001</v>
      </c>
      <c r="R82" s="92">
        <f>R16+R24+R29+R36+R43+R45+R47+R49</f>
        <v>0</v>
      </c>
      <c r="S82" s="93">
        <f>SUM(S72:S81)+S16+S24+S29+S36+S43+S45+S47+S49+S51+S56+S61+S66</f>
        <v>1098254.9200000002</v>
      </c>
      <c r="T82" s="92">
        <f>T16+T24+T29+T36+T43+T45+T47+T49</f>
        <v>0</v>
      </c>
      <c r="U82" s="93">
        <f>SUM(U72:U81)+U16+U24+U29+U36+U43+U45+U47+U49+U51+U56+U61+U66</f>
        <v>-908564.35</v>
      </c>
      <c r="V82" s="92">
        <f>V16+V24+V29+V36+V43+V45+V47+V49</f>
        <v>0</v>
      </c>
      <c r="W82" s="93">
        <f>SUM(W72:W81)+W16+W24+W29+W36+W43+W45+W47+W49+W51+W56+W61+W66</f>
        <v>1696</v>
      </c>
      <c r="X82" s="92">
        <f>X16+X24+X29+X36+X43+X45+X47+X49</f>
        <v>0</v>
      </c>
      <c r="Y82" s="93">
        <f>SUM(Y72:Y81)+Y16+Y24+Y29+Y36+Y43+Y45+Y47+Y49+Y51+Y56+Y61+Y66</f>
        <v>57255.09</v>
      </c>
      <c r="Z82" s="92">
        <f>Z16+Z24+Z29+Z36+Z43+Z45+Z47+Z49</f>
        <v>0</v>
      </c>
      <c r="AA82" s="93">
        <f>SUM(AA72:AA81)+AA16+AA24+AA29+AA36+AA43+AA45+AA47+AA49+AA51+AA56+AA61+AA66</f>
        <v>3165.4546999999743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177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5">
      <c r="A86" s="173"/>
      <c r="C86" s="10" t="s">
        <v>173</v>
      </c>
      <c r="D86" s="174">
        <f t="shared" ref="D86:E88" si="25">SUM(F86,H86,J86,L86,N86,P86,R86,T86,V86,X86,Z86,AB86,AD86)</f>
        <v>0</v>
      </c>
      <c r="E86" s="174">
        <f t="shared" si="25"/>
        <v>746948</v>
      </c>
      <c r="F86" s="174">
        <f>('TIE-OUT'!P86+'TIE-OUT'!R86+'TIE-OUT'!T86)+(RECLASS!P86+RECLASS!R86+RECLASS!T86)</f>
        <v>0</v>
      </c>
      <c r="G86" s="174">
        <f>('TIE-OUT'!Q86+'TIE-OUT'!S86+'TIE-OUT'!U86)+(RECLASS!Q86+RECLASS!S86+RECLASS!U86)</f>
        <v>146724</v>
      </c>
      <c r="H86" s="174">
        <f>'TX-EGM-GL'!H86+'TX-HPLR-GL '!H86+'TX-HPLC-GL'!H86</f>
        <v>0</v>
      </c>
      <c r="I86" s="174">
        <f>'TX-EGM-GL'!I86+'TX-HPLR-GL '!I86+'TX-HPLC-GL'!I86</f>
        <v>0</v>
      </c>
      <c r="J86" s="174">
        <f>'TX-EGM-GL'!J86+'TX-HPLR-GL '!J86+'TX-HPLC-GL'!J86</f>
        <v>0</v>
      </c>
      <c r="K86" s="174">
        <f>'TX-EGM-GL'!K86+'TX-HPLR-GL '!K86+'TX-HPLC-GL'!K86</f>
        <v>0</v>
      </c>
      <c r="L86" s="174">
        <f>'TX-EGM-GL'!L86+'TX-HPLR-GL '!L86</f>
        <v>0</v>
      </c>
      <c r="M86" s="174">
        <f>'TX-EGM-GL'!M86+'TX-HPLR-GL '!M86</f>
        <v>0</v>
      </c>
      <c r="N86" s="174">
        <f>'TX-EGM-GL'!N86+'TX-HPLR-GL '!N86</f>
        <v>0</v>
      </c>
      <c r="O86" s="174">
        <f>'TX-EGM-GL'!O86+'TX-HPLR-GL '!O86</f>
        <v>600224</v>
      </c>
      <c r="P86" s="174">
        <f>'TX-EGM-GL'!P86+'TX-HPLR-GL '!P86</f>
        <v>0</v>
      </c>
      <c r="Q86" s="174">
        <f>'TX-EGM-GL'!Q86+'TX-HPLR-GL '!Q86</f>
        <v>0</v>
      </c>
      <c r="R86" s="174">
        <f>'TX-EGM-GL'!R86+'TX-HPLR-GL '!R86</f>
        <v>0</v>
      </c>
      <c r="S86" s="174">
        <f>'TX-EGM-GL'!S86+'TX-HPLR-GL '!S86</f>
        <v>0</v>
      </c>
      <c r="T86" s="174">
        <f>'TX-EGM-GL'!T86+'TX-HPLR-GL '!T86</f>
        <v>0</v>
      </c>
      <c r="U86" s="174">
        <f>'TX-EGM-GL'!U86+'TX-HPLR-GL '!U86</f>
        <v>0</v>
      </c>
      <c r="V86" s="174">
        <f>'TX-EGM-GL'!V86+'TX-HPLR-GL '!V86</f>
        <v>0</v>
      </c>
      <c r="W86" s="174">
        <f>'TX-EGM-GL'!W86+'TX-HPLR-GL '!W86</f>
        <v>0</v>
      </c>
      <c r="X86" s="174">
        <f>'TX-EGM-GL'!X86+'TX-HPLR-GL '!X86</f>
        <v>0</v>
      </c>
      <c r="Y86" s="174">
        <f>'TX-EGM-GL'!Y86+'TX-HPLR-GL '!Y86</f>
        <v>0</v>
      </c>
      <c r="Z86" s="174">
        <f>'TX-EGM-GL'!Z86+'TX-HPLR-GL '!Z86</f>
        <v>0</v>
      </c>
      <c r="AA86" s="174">
        <f>'TX-EGM-GL'!AA86+'TX-HPLR-GL '!AA86</f>
        <v>0</v>
      </c>
      <c r="AB86" s="174">
        <f>'TX-EGM-GL'!AB86+'TX-HPLR-GL '!AB86</f>
        <v>0</v>
      </c>
      <c r="AC86" s="174">
        <f>'TX-EGM-GL'!AC86+'TX-HPLR-GL '!AC86</f>
        <v>0</v>
      </c>
      <c r="AD86" s="174">
        <f>'TX-EGM-GL'!AD86+'TX-HPLR-GL '!AD86</f>
        <v>0</v>
      </c>
      <c r="AE86" s="174">
        <f>'TX-EGM-GL'!AE86+'TX-HPLR-GL '!AE86</f>
        <v>0</v>
      </c>
    </row>
    <row r="87" spans="1:67" s="3" customFormat="1" x14ac:dyDescent="0.25">
      <c r="A87" s="173"/>
      <c r="C87" s="10" t="s">
        <v>72</v>
      </c>
      <c r="D87" s="175">
        <f t="shared" si="25"/>
        <v>0</v>
      </c>
      <c r="E87" s="175">
        <f t="shared" si="25"/>
        <v>0</v>
      </c>
      <c r="F87" s="175">
        <f>('TIE-OUT'!P87+'TIE-OUT'!R87+'TIE-OUT'!T87)+(RECLASS!P87+RECLASS!R87+RECLASS!T87)</f>
        <v>0</v>
      </c>
      <c r="G87" s="175">
        <f>('TIE-OUT'!Q87+'TIE-OUT'!S87+'TIE-OUT'!U87)+(RECLASS!Q87+RECLASS!S87+RECLASS!U87)</f>
        <v>0</v>
      </c>
      <c r="H87" s="175">
        <f>'TX-EGM-GL'!H87+'TX-HPLR-GL '!H87+'TX-HPLC-GL'!H87</f>
        <v>0</v>
      </c>
      <c r="I87" s="175">
        <f>'TX-EGM-GL'!I87+'TX-HPLR-GL '!I87+'TX-HPLC-GL'!I87</f>
        <v>0</v>
      </c>
      <c r="J87" s="175">
        <f>'TX-EGM-GL'!J87+'TX-HPLR-GL '!J87+'TX-HPLC-GL'!J87</f>
        <v>0</v>
      </c>
      <c r="K87" s="175">
        <f>'TX-EGM-GL'!K87+'TX-HPLR-GL '!K87+'TX-HPLC-GL'!K87</f>
        <v>0</v>
      </c>
      <c r="L87" s="175">
        <f>'TX-EGM-GL'!L87+'TX-HPLR-GL '!L87</f>
        <v>0</v>
      </c>
      <c r="M87" s="175">
        <f>'TX-EGM-GL'!M87+'TX-HPLR-GL '!M87</f>
        <v>0</v>
      </c>
      <c r="N87" s="175">
        <f>'TX-EGM-GL'!N87+'TX-HPLR-GL '!N87</f>
        <v>0</v>
      </c>
      <c r="O87" s="175">
        <f>'TX-EGM-GL'!O87+'TX-HPLR-GL '!O87</f>
        <v>0</v>
      </c>
      <c r="P87" s="175">
        <f>'TX-EGM-GL'!P87+'TX-HPLR-GL '!P87</f>
        <v>0</v>
      </c>
      <c r="Q87" s="175">
        <f>'TX-EGM-GL'!Q87+'TX-HPLR-GL '!Q87</f>
        <v>0</v>
      </c>
      <c r="R87" s="175">
        <f>'TX-EGM-GL'!R87+'TX-HPLR-GL '!R87</f>
        <v>0</v>
      </c>
      <c r="S87" s="175">
        <f>'TX-EGM-GL'!S87+'TX-HPLR-GL '!S87</f>
        <v>0</v>
      </c>
      <c r="T87" s="175">
        <f>'TX-EGM-GL'!T87+'TX-HPLR-GL '!T87</f>
        <v>0</v>
      </c>
      <c r="U87" s="175">
        <f>'TX-EGM-GL'!U87+'TX-HPLR-GL '!U87</f>
        <v>0</v>
      </c>
      <c r="V87" s="175">
        <f>'TX-EGM-GL'!V87+'TX-HPLR-GL '!V87</f>
        <v>0</v>
      </c>
      <c r="W87" s="175">
        <f>'TX-EGM-GL'!W87+'TX-HPLR-GL '!W87</f>
        <v>0</v>
      </c>
      <c r="X87" s="175">
        <f>'TX-EGM-GL'!X87+'TX-HPLR-GL '!X87</f>
        <v>0</v>
      </c>
      <c r="Y87" s="175">
        <f>'TX-EGM-GL'!Y87+'TX-HPLR-GL '!Y87</f>
        <v>0</v>
      </c>
      <c r="Z87" s="175">
        <f>'TX-EGM-GL'!Z87+'TX-HPLR-GL '!Z87</f>
        <v>0</v>
      </c>
      <c r="AA87" s="175">
        <f>'TX-EGM-GL'!AA87+'TX-HPLR-GL '!AA87</f>
        <v>0</v>
      </c>
      <c r="AB87" s="175">
        <f>'TX-EGM-GL'!AB87+'TX-HPLR-GL '!AB87</f>
        <v>0</v>
      </c>
      <c r="AC87" s="175">
        <f>'TX-EGM-GL'!AC87+'TX-HPLR-GL '!AC87</f>
        <v>0</v>
      </c>
      <c r="AD87" s="175">
        <f>'TX-EGM-GL'!AD87+'TX-HPLR-GL '!AD87</f>
        <v>0</v>
      </c>
      <c r="AE87" s="175">
        <f>'TX-EGM-GL'!AE87+'TX-HPLR-GL '!AE87</f>
        <v>0</v>
      </c>
    </row>
    <row r="88" spans="1:67" s="3" customFormat="1" x14ac:dyDescent="0.25">
      <c r="A88" s="173"/>
      <c r="C88" s="10" t="s">
        <v>73</v>
      </c>
      <c r="D88" s="176">
        <f t="shared" si="25"/>
        <v>0</v>
      </c>
      <c r="E88" s="176">
        <f t="shared" si="25"/>
        <v>-692800</v>
      </c>
      <c r="F88" s="176">
        <f>('TIE-OUT'!P88+'TIE-OUT'!R88+'TIE-OUT'!T88)+(RECLASS!P88+RECLASS!R88+RECLASS!T88)</f>
        <v>0</v>
      </c>
      <c r="G88" s="176">
        <f>('TIE-OUT'!Q88+'TIE-OUT'!S88+'TIE-OUT'!U88)+(RECLASS!Q88+RECLASS!S88+RECLASS!U88)</f>
        <v>-56500</v>
      </c>
      <c r="H88" s="176">
        <f>'TX-EGM-GL'!H88+'TX-HPLR-GL '!H88+'TX-HPLC-GL'!H88</f>
        <v>0</v>
      </c>
      <c r="I88" s="176">
        <f>'TX-EGM-GL'!I88+'TX-HPLR-GL '!I88+'TX-HPLC-GL'!I88</f>
        <v>0</v>
      </c>
      <c r="J88" s="176">
        <f>'TX-EGM-GL'!J88+'TX-HPLR-GL '!J88+'TX-HPLC-GL'!J88</f>
        <v>0</v>
      </c>
      <c r="K88" s="176">
        <f>'TX-EGM-GL'!K88+'TX-HPLR-GL '!K88+'TX-HPLC-GL'!K88</f>
        <v>0</v>
      </c>
      <c r="L88" s="176">
        <f>'TX-EGM-GL'!L88+'TX-HPLR-GL '!L88</f>
        <v>0</v>
      </c>
      <c r="M88" s="176">
        <f>'TX-EGM-GL'!M88+'TX-HPLR-GL '!M88</f>
        <v>-636300</v>
      </c>
      <c r="N88" s="176">
        <f>'TX-EGM-GL'!N88+'TX-HPLR-GL '!N88</f>
        <v>0</v>
      </c>
      <c r="O88" s="176">
        <f>'TX-EGM-GL'!O88+'TX-HPLR-GL '!O88</f>
        <v>0</v>
      </c>
      <c r="P88" s="176">
        <f>'TX-EGM-GL'!P88+'TX-HPLR-GL '!P88</f>
        <v>0</v>
      </c>
      <c r="Q88" s="176">
        <f>'TX-EGM-GL'!Q88+'TX-HPLR-GL '!Q88</f>
        <v>0</v>
      </c>
      <c r="R88" s="176">
        <f>'TX-EGM-GL'!R88+'TX-HPLR-GL '!R88</f>
        <v>0</v>
      </c>
      <c r="S88" s="176">
        <f>'TX-EGM-GL'!S88+'TX-HPLR-GL '!S88</f>
        <v>0</v>
      </c>
      <c r="T88" s="176">
        <f>'TX-EGM-GL'!T88+'TX-HPLR-GL '!T88</f>
        <v>0</v>
      </c>
      <c r="U88" s="176">
        <f>'TX-EGM-GL'!U88+'TX-HPLR-GL '!U88</f>
        <v>0</v>
      </c>
      <c r="V88" s="176">
        <f>'TX-EGM-GL'!V88+'TX-HPLR-GL '!V88</f>
        <v>0</v>
      </c>
      <c r="W88" s="176">
        <f>'TX-EGM-GL'!W88+'TX-HPLR-GL '!W88</f>
        <v>0</v>
      </c>
      <c r="X88" s="176">
        <f>'TX-EGM-GL'!X88+'TX-HPLR-GL '!X88</f>
        <v>0</v>
      </c>
      <c r="Y88" s="176">
        <f>'TX-EGM-GL'!Y88+'TX-HPLR-GL '!Y88</f>
        <v>0</v>
      </c>
      <c r="Z88" s="176">
        <f>'TX-EGM-GL'!Z88+'TX-HPLR-GL '!Z88</f>
        <v>0</v>
      </c>
      <c r="AA88" s="176">
        <f>'TX-EGM-GL'!AA88+'TX-HPLR-GL '!AA88</f>
        <v>0</v>
      </c>
      <c r="AB88" s="176">
        <f>'TX-EGM-GL'!AB88+'TX-HPLR-GL '!AB88</f>
        <v>0</v>
      </c>
      <c r="AC88" s="176">
        <f>'TX-EGM-GL'!AC88+'TX-HPLR-GL '!AC88</f>
        <v>0</v>
      </c>
      <c r="AD88" s="176">
        <f>'TX-EGM-GL'!AD88+'TX-HPLR-GL '!AD88</f>
        <v>0</v>
      </c>
      <c r="AE88" s="176">
        <f>'TX-EGM-GL'!AE88+'TX-HPLR-GL '!AE88</f>
        <v>0</v>
      </c>
    </row>
    <row r="89" spans="1:67" s="44" customFormat="1" ht="20.25" customHeight="1" x14ac:dyDescent="0.25">
      <c r="A89" s="180"/>
      <c r="B89" s="181"/>
      <c r="C89" s="186" t="s">
        <v>176</v>
      </c>
      <c r="D89" s="184">
        <f>SUM(D86:D88)</f>
        <v>0</v>
      </c>
      <c r="E89" s="184">
        <f t="shared" ref="E89:M89" si="26">SUM(E86:E88)</f>
        <v>54148</v>
      </c>
      <c r="F89" s="184">
        <f t="shared" si="26"/>
        <v>0</v>
      </c>
      <c r="G89" s="184">
        <f t="shared" si="26"/>
        <v>90224</v>
      </c>
      <c r="H89" s="184">
        <f t="shared" si="26"/>
        <v>0</v>
      </c>
      <c r="I89" s="184">
        <f t="shared" si="26"/>
        <v>0</v>
      </c>
      <c r="J89" s="184">
        <f>SUM(J86:J88)</f>
        <v>0</v>
      </c>
      <c r="K89" s="184">
        <f>SUM(K86:K88)</f>
        <v>0</v>
      </c>
      <c r="L89" s="184">
        <f t="shared" si="26"/>
        <v>0</v>
      </c>
      <c r="M89" s="184">
        <f t="shared" si="26"/>
        <v>-636300</v>
      </c>
      <c r="N89" s="184">
        <f t="shared" ref="N89:AE89" si="27">SUM(N86:N88)</f>
        <v>0</v>
      </c>
      <c r="O89" s="184">
        <f t="shared" si="27"/>
        <v>600224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5">
      <c r="A91" s="180"/>
      <c r="B91" s="181"/>
      <c r="C91" s="186" t="s">
        <v>179</v>
      </c>
      <c r="D91" s="184">
        <f>+D82+D89</f>
        <v>0</v>
      </c>
      <c r="E91" s="184">
        <f t="shared" ref="E91:M91" si="28">+E82+E89</f>
        <v>-574192.89349999139</v>
      </c>
      <c r="F91" s="184">
        <f t="shared" si="28"/>
        <v>0</v>
      </c>
      <c r="G91" s="184">
        <f t="shared" si="28"/>
        <v>-5823945.7199999997</v>
      </c>
      <c r="H91" s="184">
        <f t="shared" si="28"/>
        <v>0</v>
      </c>
      <c r="I91" s="184">
        <f t="shared" si="28"/>
        <v>7715882.3699999936</v>
      </c>
      <c r="J91" s="184">
        <f>+J82+J89</f>
        <v>0</v>
      </c>
      <c r="K91" s="184">
        <f>+K82+K89</f>
        <v>1215752.2613000004</v>
      </c>
      <c r="L91" s="184">
        <f t="shared" si="28"/>
        <v>0</v>
      </c>
      <c r="M91" s="184">
        <f t="shared" si="28"/>
        <v>-6277908.7624000013</v>
      </c>
      <c r="N91" s="184">
        <f t="shared" ref="N91:AE91" si="29">+N82+N89</f>
        <v>0</v>
      </c>
      <c r="O91" s="184">
        <f t="shared" si="29"/>
        <v>831069.37789999996</v>
      </c>
      <c r="P91" s="184">
        <f t="shared" si="29"/>
        <v>0</v>
      </c>
      <c r="Q91" s="184">
        <f t="shared" si="29"/>
        <v>1513150.4650000001</v>
      </c>
      <c r="R91" s="184">
        <f t="shared" si="29"/>
        <v>0</v>
      </c>
      <c r="S91" s="184">
        <f t="shared" si="29"/>
        <v>1098254.9200000002</v>
      </c>
      <c r="T91" s="184">
        <f t="shared" si="29"/>
        <v>0</v>
      </c>
      <c r="U91" s="184">
        <f t="shared" si="29"/>
        <v>-908564.35</v>
      </c>
      <c r="V91" s="184">
        <f t="shared" si="29"/>
        <v>0</v>
      </c>
      <c r="W91" s="184">
        <f t="shared" si="29"/>
        <v>1696</v>
      </c>
      <c r="X91" s="184">
        <f t="shared" si="29"/>
        <v>0</v>
      </c>
      <c r="Y91" s="184">
        <f t="shared" si="29"/>
        <v>57255.09</v>
      </c>
      <c r="Z91" s="184">
        <f t="shared" si="29"/>
        <v>0</v>
      </c>
      <c r="AA91" s="184">
        <f t="shared" si="29"/>
        <v>3165.4546999999743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P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32204536</v>
      </c>
      <c r="E11" s="38">
        <f>SUM(G11,I11,K11,M11,O11,Q11,S11,U11,W11,Y11,AA11,AC11,AE11)</f>
        <v>67587512.489999995</v>
      </c>
      <c r="F11" s="60">
        <f>'TIE-OUT'!N11+RECLASS!N11</f>
        <v>0</v>
      </c>
      <c r="G11" s="38">
        <f>'TIE-OUT'!O11+RECLASS!O11</f>
        <v>-452583</v>
      </c>
      <c r="H11" s="129">
        <f>+Actuals!E284</f>
        <v>32023284</v>
      </c>
      <c r="I11" s="130">
        <f>+Actuals!F284</f>
        <v>68146337.239999995</v>
      </c>
      <c r="J11" s="129">
        <f>+Actuals!G284</f>
        <v>62072</v>
      </c>
      <c r="K11" s="130">
        <f>+Actuals!H284</f>
        <v>-652941.75</v>
      </c>
      <c r="L11" s="129">
        <f>+Actuals!I284</f>
        <v>-1355</v>
      </c>
      <c r="M11" s="130">
        <f>+Actuals!J284</f>
        <v>34072.910000000003</v>
      </c>
      <c r="N11" s="129">
        <f>+Actuals!K284</f>
        <v>120535</v>
      </c>
      <c r="O11" s="130">
        <f>+Actuals!L284</f>
        <v>623379.09</v>
      </c>
      <c r="P11" s="129">
        <f>+Actuals!M284</f>
        <v>0</v>
      </c>
      <c r="Q11" s="130">
        <f>+Actuals!N284</f>
        <v>-110752</v>
      </c>
      <c r="R11" s="129">
        <f>+Actuals!O284</f>
        <v>0</v>
      </c>
      <c r="S11" s="130">
        <f>+Actuals!P284</f>
        <v>0</v>
      </c>
      <c r="T11" s="129">
        <f>+Actuals!Q484</f>
        <v>0</v>
      </c>
      <c r="U11" s="130">
        <f>+Actuals!R484</f>
        <v>0</v>
      </c>
      <c r="V11" s="129">
        <f>+Actuals!S484</f>
        <v>0</v>
      </c>
      <c r="W11" s="130">
        <f>+Actuals!T484</f>
        <v>0</v>
      </c>
      <c r="X11" s="129">
        <f>+Actuals!U484</f>
        <v>0</v>
      </c>
      <c r="Y11" s="130">
        <f>+Actuals!V484</f>
        <v>0</v>
      </c>
      <c r="Z11" s="129">
        <f>+Actuals!W484</f>
        <v>0</v>
      </c>
      <c r="AA11" s="130">
        <f>+Actuals!X484</f>
        <v>0</v>
      </c>
      <c r="AB11" s="129">
        <f>+Actuals!Y284</f>
        <v>0</v>
      </c>
      <c r="AC11" s="130">
        <f>+Actuals!Z284</f>
        <v>0</v>
      </c>
      <c r="AD11" s="129">
        <f>+Actuals!AA284</f>
        <v>0</v>
      </c>
      <c r="AE11" s="130">
        <f>+Actuals!AB284</f>
        <v>0</v>
      </c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872446.48</v>
      </c>
      <c r="F12" s="60">
        <f>'TIE-OUT'!N12+RECLASS!N12</f>
        <v>0</v>
      </c>
      <c r="G12" s="38">
        <f>'TIE-OUT'!O12+RECLASS!O12</f>
        <v>1693171.48</v>
      </c>
      <c r="H12" s="129">
        <f>+Actuals!E285</f>
        <v>0</v>
      </c>
      <c r="I12" s="130">
        <f>+Actuals!F285</f>
        <v>0</v>
      </c>
      <c r="J12" s="129">
        <f>+Actuals!G285</f>
        <v>0</v>
      </c>
      <c r="K12" s="162">
        <f>+Actuals!H285</f>
        <v>0</v>
      </c>
      <c r="L12" s="129">
        <f>+Actuals!I285</f>
        <v>0</v>
      </c>
      <c r="M12" s="130">
        <f>+Actuals!J285</f>
        <v>0</v>
      </c>
      <c r="N12" s="129">
        <f>+Actuals!K285</f>
        <v>0</v>
      </c>
      <c r="O12" s="130">
        <f>+Actuals!L285</f>
        <v>0</v>
      </c>
      <c r="P12" s="129">
        <f>+Actuals!M285</f>
        <v>0</v>
      </c>
      <c r="Q12" s="159">
        <f>+Actuals!N285-820725</f>
        <v>-820725</v>
      </c>
      <c r="R12" s="129">
        <f>+Actuals!O285</f>
        <v>0</v>
      </c>
      <c r="S12" s="130">
        <f>+Actuals!P285</f>
        <v>0</v>
      </c>
      <c r="T12" s="129">
        <f>+Actuals!Q485</f>
        <v>0</v>
      </c>
      <c r="U12" s="130">
        <f>+Actuals!R485</f>
        <v>0</v>
      </c>
      <c r="V12" s="129">
        <f>+Actuals!S485</f>
        <v>0</v>
      </c>
      <c r="W12" s="130">
        <f>+Actuals!T485</f>
        <v>0</v>
      </c>
      <c r="X12" s="129">
        <f>+Actuals!U485</f>
        <v>0</v>
      </c>
      <c r="Y12" s="130">
        <f>+Actuals!V485</f>
        <v>0</v>
      </c>
      <c r="Z12" s="129">
        <f>+Actuals!W485</f>
        <v>0</v>
      </c>
      <c r="AA12" s="130">
        <f>+Actuals!X485</f>
        <v>0</v>
      </c>
      <c r="AB12" s="129">
        <f>+Actuals!Y285</f>
        <v>0</v>
      </c>
      <c r="AC12" s="130">
        <f>+Actuals!Z285</f>
        <v>0</v>
      </c>
      <c r="AD12" s="129">
        <f>+Actuals!AA285</f>
        <v>0</v>
      </c>
      <c r="AE12" s="130">
        <f>+Actuals!AB285</f>
        <v>0</v>
      </c>
    </row>
    <row r="13" spans="1:31" x14ac:dyDescent="0.25">
      <c r="A13" s="9">
        <v>3</v>
      </c>
      <c r="B13" s="7"/>
      <c r="C13" s="18" t="s">
        <v>28</v>
      </c>
      <c r="D13" s="60">
        <f t="shared" si="0"/>
        <v>21125414</v>
      </c>
      <c r="E13" s="38">
        <f t="shared" si="0"/>
        <v>45777214</v>
      </c>
      <c r="F13" s="60">
        <f>'TIE-OUT'!N13+RECLASS!N13</f>
        <v>0</v>
      </c>
      <c r="G13" s="38">
        <f>'TIE-OUT'!O13+RECLASS!O13</f>
        <v>0</v>
      </c>
      <c r="H13" s="129">
        <f>+Actuals!E286</f>
        <v>21125414</v>
      </c>
      <c r="I13" s="130">
        <f>+Actuals!F286</f>
        <v>45777214</v>
      </c>
      <c r="J13" s="129">
        <f>+Actuals!G286</f>
        <v>-1150100</v>
      </c>
      <c r="K13" s="130">
        <f>+Actuals!H286</f>
        <v>-2522817</v>
      </c>
      <c r="L13" s="129">
        <f>+Actuals!I286</f>
        <v>0</v>
      </c>
      <c r="M13" s="130">
        <f>+Actuals!J286</f>
        <v>0</v>
      </c>
      <c r="N13" s="129">
        <f>+Actuals!K286</f>
        <v>449673</v>
      </c>
      <c r="O13" s="130">
        <f>+Actuals!L286</f>
        <v>987844</v>
      </c>
      <c r="P13" s="129">
        <f>+Actuals!M286</f>
        <v>1120133</v>
      </c>
      <c r="Q13" s="130">
        <f>+Actuals!N286</f>
        <v>2458675</v>
      </c>
      <c r="R13" s="129">
        <f>+Actuals!O286</f>
        <v>-419706</v>
      </c>
      <c r="S13" s="130">
        <f>+Actuals!P286</f>
        <v>-923702</v>
      </c>
      <c r="T13" s="129">
        <f>+Actuals!Q486</f>
        <v>419706</v>
      </c>
      <c r="U13" s="130">
        <f>+Actuals!R486</f>
        <v>923702</v>
      </c>
      <c r="V13" s="129">
        <f>+Actuals!S486</f>
        <v>0</v>
      </c>
      <c r="W13" s="130">
        <f>+Actuals!T486</f>
        <v>0</v>
      </c>
      <c r="X13" s="129">
        <f>+Actuals!U486</f>
        <v>-419706</v>
      </c>
      <c r="Y13" s="130">
        <f>+Actuals!V486</f>
        <v>-923702</v>
      </c>
      <c r="Z13" s="129">
        <f>+Actuals!W486</f>
        <v>0</v>
      </c>
      <c r="AA13" s="130">
        <f>+Actuals!X486</f>
        <v>0</v>
      </c>
      <c r="AB13" s="129">
        <f>+Actuals!Y286</f>
        <v>0</v>
      </c>
      <c r="AC13" s="130">
        <f>+Actuals!Z286</f>
        <v>0</v>
      </c>
      <c r="AD13" s="129">
        <f>+Actuals!AA286</f>
        <v>0</v>
      </c>
      <c r="AE13" s="130">
        <f>+Actuals!AB286</f>
        <v>0</v>
      </c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9">
        <f>+Actuals!E287</f>
        <v>0</v>
      </c>
      <c r="I14" s="130">
        <f>+Actuals!F287</f>
        <v>0</v>
      </c>
      <c r="J14" s="129">
        <f>+Actuals!G287</f>
        <v>0</v>
      </c>
      <c r="K14" s="130">
        <f>+Actuals!H287</f>
        <v>0</v>
      </c>
      <c r="L14" s="129">
        <f>+Actuals!I287</f>
        <v>0</v>
      </c>
      <c r="M14" s="130">
        <f>+Actuals!J287</f>
        <v>0</v>
      </c>
      <c r="N14" s="129">
        <f>+Actuals!K287</f>
        <v>0</v>
      </c>
      <c r="O14" s="130">
        <f>+Actuals!L287</f>
        <v>0</v>
      </c>
      <c r="P14" s="129">
        <f>+Actuals!M287</f>
        <v>0</v>
      </c>
      <c r="Q14" s="130">
        <f>+Actuals!N287</f>
        <v>0</v>
      </c>
      <c r="R14" s="129">
        <f>+Actuals!O287</f>
        <v>0</v>
      </c>
      <c r="S14" s="130">
        <f>+Actuals!P287</f>
        <v>0</v>
      </c>
      <c r="T14" s="129">
        <f>+Actuals!Q487</f>
        <v>0</v>
      </c>
      <c r="U14" s="130">
        <f>+Actuals!R487</f>
        <v>0</v>
      </c>
      <c r="V14" s="129">
        <f>+Actuals!S487</f>
        <v>0</v>
      </c>
      <c r="W14" s="130">
        <f>+Actuals!T487</f>
        <v>0</v>
      </c>
      <c r="X14" s="129">
        <f>+Actuals!U487</f>
        <v>0</v>
      </c>
      <c r="Y14" s="130">
        <f>+Actuals!V487</f>
        <v>0</v>
      </c>
      <c r="Z14" s="129">
        <f>+Actuals!W487</f>
        <v>0</v>
      </c>
      <c r="AA14" s="130">
        <f>+Actuals!X487</f>
        <v>0</v>
      </c>
      <c r="AB14" s="129">
        <f>+Actuals!Y287</f>
        <v>0</v>
      </c>
      <c r="AC14" s="130">
        <f>+Actuals!Z287</f>
        <v>0</v>
      </c>
      <c r="AD14" s="129">
        <f>+Actuals!AA287</f>
        <v>0</v>
      </c>
      <c r="AE14" s="130">
        <f>+Actuals!AB287</f>
        <v>0</v>
      </c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462162</v>
      </c>
      <c r="F15" s="81">
        <f>'TIE-OUT'!N15+RECLASS!N15</f>
        <v>0</v>
      </c>
      <c r="G15" s="82">
        <f>'TIE-OUT'!O15+RECLASS!O15</f>
        <v>0</v>
      </c>
      <c r="H15" s="129">
        <f>+Actuals!E288</f>
        <v>0</v>
      </c>
      <c r="I15" s="130">
        <f>+Actuals!F288</f>
        <v>0</v>
      </c>
      <c r="J15" s="129">
        <f>+Actuals!G288</f>
        <v>0</v>
      </c>
      <c r="K15" s="130">
        <f>+Actuals!H288</f>
        <v>0</v>
      </c>
      <c r="L15" s="129">
        <f>+Actuals!I288</f>
        <v>0</v>
      </c>
      <c r="M15" s="130">
        <f>+Actuals!J288</f>
        <v>0</v>
      </c>
      <c r="N15" s="129">
        <f>+Actuals!K288</f>
        <v>0</v>
      </c>
      <c r="O15" s="130">
        <f>+Actuals!L288</f>
        <v>0</v>
      </c>
      <c r="P15" s="129">
        <f>+Actuals!M288</f>
        <v>0</v>
      </c>
      <c r="Q15" s="130">
        <f>+Actuals!N288</f>
        <v>0</v>
      </c>
      <c r="R15" s="129">
        <f>+Actuals!O288</f>
        <v>0</v>
      </c>
      <c r="S15" s="130">
        <f>+Actuals!P288</f>
        <v>0</v>
      </c>
      <c r="T15" s="129">
        <f>+Actuals!Q488</f>
        <v>0</v>
      </c>
      <c r="U15" s="130">
        <f>+Actuals!R488</f>
        <v>0</v>
      </c>
      <c r="V15" s="129">
        <f>+Actuals!S488</f>
        <v>0</v>
      </c>
      <c r="W15" s="130">
        <f>+Actuals!T488</f>
        <v>0</v>
      </c>
      <c r="X15" s="129">
        <f>+Actuals!U488</f>
        <v>0</v>
      </c>
      <c r="Y15" s="130">
        <f>+Actuals!V488</f>
        <v>462162</v>
      </c>
      <c r="Z15" s="129">
        <f>+Actuals!W488</f>
        <v>0</v>
      </c>
      <c r="AA15" s="130">
        <f>+Actuals!X488</f>
        <v>0</v>
      </c>
      <c r="AB15" s="129">
        <f>+Actuals!Y288</f>
        <v>0</v>
      </c>
      <c r="AC15" s="130">
        <f>+Actuals!Z288</f>
        <v>0</v>
      </c>
      <c r="AD15" s="129">
        <f>+Actuals!AA288</f>
        <v>0</v>
      </c>
      <c r="AE15" s="130">
        <f>+Actuals!AB288</f>
        <v>0</v>
      </c>
    </row>
    <row r="16" spans="1:31" x14ac:dyDescent="0.25">
      <c r="A16" s="9"/>
      <c r="B16" s="7" t="s">
        <v>31</v>
      </c>
      <c r="C16" s="6"/>
      <c r="D16" s="61">
        <f t="shared" ref="D16:AE16" si="1">SUM(D11:D15)</f>
        <v>53329950</v>
      </c>
      <c r="E16" s="39">
        <f t="shared" si="1"/>
        <v>114699334.97</v>
      </c>
      <c r="F16" s="61">
        <f t="shared" si="1"/>
        <v>0</v>
      </c>
      <c r="G16" s="39">
        <f t="shared" si="1"/>
        <v>1240588.48</v>
      </c>
      <c r="H16" s="61">
        <f t="shared" si="1"/>
        <v>53148698</v>
      </c>
      <c r="I16" s="39">
        <f t="shared" si="1"/>
        <v>113923551.23999999</v>
      </c>
      <c r="J16" s="61">
        <f t="shared" si="1"/>
        <v>-1088028</v>
      </c>
      <c r="K16" s="39">
        <f t="shared" si="1"/>
        <v>-3175758.75</v>
      </c>
      <c r="L16" s="61">
        <f t="shared" si="1"/>
        <v>-1355</v>
      </c>
      <c r="M16" s="39">
        <f t="shared" si="1"/>
        <v>34072.910000000003</v>
      </c>
      <c r="N16" s="61">
        <f t="shared" si="1"/>
        <v>570208</v>
      </c>
      <c r="O16" s="39">
        <f t="shared" si="1"/>
        <v>1611223.0899999999</v>
      </c>
      <c r="P16" s="61">
        <f t="shared" si="1"/>
        <v>1120133</v>
      </c>
      <c r="Q16" s="39">
        <f t="shared" si="1"/>
        <v>1527198</v>
      </c>
      <c r="R16" s="61">
        <f t="shared" si="1"/>
        <v>-419706</v>
      </c>
      <c r="S16" s="39">
        <f t="shared" si="1"/>
        <v>-923702</v>
      </c>
      <c r="T16" s="61">
        <f t="shared" si="1"/>
        <v>419706</v>
      </c>
      <c r="U16" s="39">
        <f t="shared" si="1"/>
        <v>923702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-419706</v>
      </c>
      <c r="Y16" s="39">
        <f t="shared" si="2"/>
        <v>-461540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-33577171</v>
      </c>
      <c r="E19" s="38">
        <f t="shared" si="3"/>
        <v>-69632456.070000008</v>
      </c>
      <c r="F19" s="64">
        <f>'TIE-OUT'!N19+RECLASS!N19</f>
        <v>0</v>
      </c>
      <c r="G19" s="68">
        <f>'TIE-OUT'!O19+RECLASS!O19</f>
        <v>-98594</v>
      </c>
      <c r="H19" s="129">
        <f>+Actuals!E289</f>
        <v>-33533000</v>
      </c>
      <c r="I19" s="130">
        <f>+Actuals!F289</f>
        <v>-69713316.810000002</v>
      </c>
      <c r="J19" s="129">
        <f>+Actuals!G289</f>
        <v>15409</v>
      </c>
      <c r="K19" s="130">
        <f>+Actuals!H289</f>
        <v>327040.46999999997</v>
      </c>
      <c r="L19" s="129">
        <f>+Actuals!I289</f>
        <v>-59580</v>
      </c>
      <c r="M19" s="130">
        <f>+Actuals!J289</f>
        <v>-147056.72</v>
      </c>
      <c r="N19" s="129">
        <f>+Actuals!K289</f>
        <v>0</v>
      </c>
      <c r="O19" s="130">
        <f>+Actuals!L289</f>
        <v>-529.01</v>
      </c>
      <c r="P19" s="129">
        <f>+Actuals!M289</f>
        <v>0</v>
      </c>
      <c r="Q19" s="130">
        <f>+Actuals!N289</f>
        <v>0</v>
      </c>
      <c r="R19" s="129">
        <f>+Actuals!O289</f>
        <v>0</v>
      </c>
      <c r="S19" s="130">
        <f>+Actuals!P289</f>
        <v>0</v>
      </c>
      <c r="T19" s="129">
        <f>+Actuals!Q489</f>
        <v>0</v>
      </c>
      <c r="U19" s="130">
        <f>+Actuals!R489</f>
        <v>0</v>
      </c>
      <c r="V19" s="129">
        <f>+Actuals!S489</f>
        <v>0</v>
      </c>
      <c r="W19" s="130">
        <f>+Actuals!T489</f>
        <v>0</v>
      </c>
      <c r="X19" s="129">
        <f>+Actuals!U489</f>
        <v>0</v>
      </c>
      <c r="Y19" s="130">
        <f>+Actuals!V489</f>
        <v>0</v>
      </c>
      <c r="Z19" s="129">
        <f>+Actuals!W489</f>
        <v>0</v>
      </c>
      <c r="AA19" s="130">
        <f>+Actuals!X489</f>
        <v>0</v>
      </c>
      <c r="AB19" s="129">
        <f>+Actuals!Y289</f>
        <v>0</v>
      </c>
      <c r="AC19" s="130">
        <f>+Actuals!Z289</f>
        <v>0</v>
      </c>
      <c r="AD19" s="129">
        <f>+Actuals!AA289</f>
        <v>0</v>
      </c>
      <c r="AE19" s="130">
        <f>+Actuals!AB289</f>
        <v>0</v>
      </c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-699173.8</v>
      </c>
      <c r="F20" s="60">
        <f>'TIE-OUT'!N20+RECLASS!N20</f>
        <v>0</v>
      </c>
      <c r="G20" s="38">
        <f>'TIE-OUT'!O20+RECLASS!O20</f>
        <v>-699173.8</v>
      </c>
      <c r="H20" s="129">
        <f>+Actuals!E290</f>
        <v>0</v>
      </c>
      <c r="I20" s="130">
        <f>+Actuals!F290</f>
        <v>0</v>
      </c>
      <c r="J20" s="129">
        <f>+Actuals!G290</f>
        <v>0</v>
      </c>
      <c r="K20" s="162">
        <f>+Actuals!H290</f>
        <v>0</v>
      </c>
      <c r="L20" s="129">
        <f>+Actuals!I290</f>
        <v>0</v>
      </c>
      <c r="M20" s="130">
        <f>+Actuals!J290</f>
        <v>0</v>
      </c>
      <c r="N20" s="129">
        <f>+Actuals!K290</f>
        <v>0</v>
      </c>
      <c r="O20" s="130">
        <f>+Actuals!L290</f>
        <v>0</v>
      </c>
      <c r="P20" s="129">
        <f>+Actuals!M290</f>
        <v>0</v>
      </c>
      <c r="Q20" s="130">
        <f>+Actuals!N290</f>
        <v>0</v>
      </c>
      <c r="R20" s="129">
        <f>+Actuals!O290</f>
        <v>0</v>
      </c>
      <c r="S20" s="130">
        <f>+Actuals!P290</f>
        <v>0</v>
      </c>
      <c r="T20" s="129">
        <f>+Actuals!Q490</f>
        <v>0</v>
      </c>
      <c r="U20" s="159">
        <v>0</v>
      </c>
      <c r="V20" s="129">
        <f>+Actuals!S490</f>
        <v>0</v>
      </c>
      <c r="W20" s="130">
        <v>0</v>
      </c>
      <c r="X20" s="129">
        <f>+Actuals!U490</f>
        <v>0</v>
      </c>
      <c r="Y20" s="130">
        <v>0</v>
      </c>
      <c r="Z20" s="129">
        <f>+Actuals!W490</f>
        <v>0</v>
      </c>
      <c r="AA20" s="130">
        <v>0</v>
      </c>
      <c r="AB20" s="129">
        <f>+Actuals!Y290</f>
        <v>0</v>
      </c>
      <c r="AC20" s="130">
        <f>+Actuals!Z290</f>
        <v>0</v>
      </c>
      <c r="AD20" s="129">
        <f>+Actuals!AA290</f>
        <v>0</v>
      </c>
      <c r="AE20" s="130">
        <f>+Actuals!AB290</f>
        <v>0</v>
      </c>
    </row>
    <row r="21" spans="1:31" x14ac:dyDescent="0.25">
      <c r="A21" s="9">
        <v>8</v>
      </c>
      <c r="B21" s="7"/>
      <c r="C21" s="18" t="s">
        <v>28</v>
      </c>
      <c r="D21" s="60">
        <f t="shared" si="3"/>
        <v>-19578861</v>
      </c>
      <c r="E21" s="38">
        <f t="shared" si="3"/>
        <v>-42385438</v>
      </c>
      <c r="F21" s="60">
        <f>'TIE-OUT'!N21+RECLASS!N21</f>
        <v>0</v>
      </c>
      <c r="G21" s="38">
        <f>'TIE-OUT'!O21+RECLASS!O21</f>
        <v>0</v>
      </c>
      <c r="H21" s="129">
        <f>+Actuals!E291</f>
        <v>-19578861</v>
      </c>
      <c r="I21" s="130">
        <f>+Actuals!F291</f>
        <v>-42385438</v>
      </c>
      <c r="J21" s="129">
        <f>+Actuals!G291</f>
        <v>6000</v>
      </c>
      <c r="K21" s="130">
        <f>+Actuals!H291</f>
        <v>12720</v>
      </c>
      <c r="L21" s="129">
        <f>+Actuals!I291</f>
        <v>0</v>
      </c>
      <c r="M21" s="130">
        <f>+Actuals!J291</f>
        <v>0</v>
      </c>
      <c r="N21" s="129">
        <f>+Actuals!K291</f>
        <v>-449673</v>
      </c>
      <c r="O21" s="130">
        <f>+Actuals!L291</f>
        <v>-987844</v>
      </c>
      <c r="P21" s="129">
        <f>+Actuals!M291</f>
        <v>-1120133</v>
      </c>
      <c r="Q21" s="130">
        <f>+Actuals!N291</f>
        <v>-2458675</v>
      </c>
      <c r="R21" s="129">
        <f>+Actuals!O291</f>
        <v>1563806</v>
      </c>
      <c r="S21" s="130">
        <f>+Actuals!P291</f>
        <v>3433799</v>
      </c>
      <c r="T21" s="129">
        <f>+Actuals!Q491</f>
        <v>-1563806</v>
      </c>
      <c r="U21" s="130">
        <f>+Actuals!R491</f>
        <v>-3433799</v>
      </c>
      <c r="V21" s="129">
        <f>+Actuals!S491</f>
        <v>0</v>
      </c>
      <c r="W21" s="130">
        <f>+Actuals!T491</f>
        <v>0</v>
      </c>
      <c r="X21" s="129">
        <f>+Actuals!U491</f>
        <v>1563806</v>
      </c>
      <c r="Y21" s="130">
        <f>+Actuals!V491</f>
        <v>3433799</v>
      </c>
      <c r="Z21" s="129">
        <f>+Actuals!W491</f>
        <v>0</v>
      </c>
      <c r="AA21" s="130">
        <f>+Actuals!X491</f>
        <v>0</v>
      </c>
      <c r="AB21" s="129">
        <f>+Actuals!Y291</f>
        <v>0</v>
      </c>
      <c r="AC21" s="130">
        <f>+Actuals!Z291</f>
        <v>0</v>
      </c>
      <c r="AD21" s="129">
        <f>+Actuals!AA291</f>
        <v>0</v>
      </c>
      <c r="AE21" s="130">
        <f>+Actuals!AB291</f>
        <v>0</v>
      </c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9">
        <f>+Actuals!E292</f>
        <v>0</v>
      </c>
      <c r="I22" s="130">
        <f>+Actuals!F292</f>
        <v>0</v>
      </c>
      <c r="J22" s="129">
        <f>+Actuals!G292</f>
        <v>0</v>
      </c>
      <c r="K22" s="130">
        <f>+Actuals!H292</f>
        <v>0</v>
      </c>
      <c r="L22" s="129">
        <f>+Actuals!I292</f>
        <v>0</v>
      </c>
      <c r="M22" s="130">
        <f>+Actuals!J292</f>
        <v>0</v>
      </c>
      <c r="N22" s="129">
        <f>+Actuals!K292</f>
        <v>0</v>
      </c>
      <c r="O22" s="130">
        <f>+Actuals!L292</f>
        <v>0</v>
      </c>
      <c r="P22" s="129">
        <f>+Actuals!M292</f>
        <v>0</v>
      </c>
      <c r="Q22" s="130">
        <f>+Actuals!N292</f>
        <v>0</v>
      </c>
      <c r="R22" s="129">
        <f>+Actuals!O292</f>
        <v>0</v>
      </c>
      <c r="S22" s="130">
        <f>+Actuals!P292</f>
        <v>0</v>
      </c>
      <c r="T22" s="129">
        <f>+Actuals!Q492</f>
        <v>0</v>
      </c>
      <c r="U22" s="130">
        <f>+Actuals!R492</f>
        <v>0</v>
      </c>
      <c r="V22" s="129">
        <f>+Actuals!S492</f>
        <v>0</v>
      </c>
      <c r="W22" s="130">
        <f>+Actuals!T492</f>
        <v>0</v>
      </c>
      <c r="X22" s="129">
        <f>+Actuals!U492</f>
        <v>0</v>
      </c>
      <c r="Y22" s="130">
        <f>+Actuals!V492</f>
        <v>0</v>
      </c>
      <c r="Z22" s="129">
        <f>+Actuals!W492</f>
        <v>0</v>
      </c>
      <c r="AA22" s="130">
        <f>+Actuals!X492</f>
        <v>0</v>
      </c>
      <c r="AB22" s="129">
        <f>+Actuals!Y292</f>
        <v>0</v>
      </c>
      <c r="AC22" s="130">
        <f>+Actuals!Z292</f>
        <v>0</v>
      </c>
      <c r="AD22" s="129">
        <f>+Actuals!AA292</f>
        <v>0</v>
      </c>
      <c r="AE22" s="130">
        <f>+Actuals!AB292</f>
        <v>0</v>
      </c>
    </row>
    <row r="23" spans="1:31" x14ac:dyDescent="0.25">
      <c r="A23" s="9">
        <v>10</v>
      </c>
      <c r="B23" s="7"/>
      <c r="C23" s="18" t="s">
        <v>33</v>
      </c>
      <c r="D23" s="60">
        <f t="shared" si="3"/>
        <v>275486</v>
      </c>
      <c r="E23" s="38">
        <f t="shared" si="3"/>
        <v>574939.28600000008</v>
      </c>
      <c r="F23" s="81">
        <f>'TIE-OUT'!N23+RECLASS!N23</f>
        <v>0</v>
      </c>
      <c r="G23" s="82">
        <f>'TIE-OUT'!O23+RECLASS!O23</f>
        <v>0</v>
      </c>
      <c r="H23" s="129">
        <f>+Actuals!E293</f>
        <v>281548</v>
      </c>
      <c r="I23" s="130">
        <f>+Actuals!F293</f>
        <v>587590.68000000005</v>
      </c>
      <c r="J23" s="129">
        <f>+Actuals!G293</f>
        <v>8913</v>
      </c>
      <c r="K23" s="130">
        <f>+Actuals!H293</f>
        <v>18601.431</v>
      </c>
      <c r="L23" s="129">
        <f>+Actuals!I293</f>
        <v>-14975</v>
      </c>
      <c r="M23" s="130">
        <f>+Actuals!J293</f>
        <v>-31252.825000000001</v>
      </c>
      <c r="N23" s="129">
        <f>+Actuals!K293</f>
        <v>0</v>
      </c>
      <c r="O23" s="130">
        <f>+Actuals!L293</f>
        <v>0</v>
      </c>
      <c r="P23" s="129">
        <f>+Actuals!M293</f>
        <v>0</v>
      </c>
      <c r="Q23" s="130">
        <f>+Actuals!N293</f>
        <v>0</v>
      </c>
      <c r="R23" s="129">
        <f>+Actuals!O293</f>
        <v>0</v>
      </c>
      <c r="S23" s="130">
        <f>+Actuals!P293</f>
        <v>0</v>
      </c>
      <c r="T23" s="129">
        <f>+Actuals!Q493</f>
        <v>0</v>
      </c>
      <c r="U23" s="130">
        <f>+Actuals!R493</f>
        <v>0</v>
      </c>
      <c r="V23" s="129">
        <f>+Actuals!S493</f>
        <v>0</v>
      </c>
      <c r="W23" s="130">
        <f>+Actuals!T493</f>
        <v>0</v>
      </c>
      <c r="X23" s="129">
        <f>+Actuals!U493</f>
        <v>0</v>
      </c>
      <c r="Y23" s="130">
        <f>+Actuals!V493</f>
        <v>0</v>
      </c>
      <c r="Z23" s="129">
        <f>+Actuals!W493</f>
        <v>0</v>
      </c>
      <c r="AA23" s="130">
        <f>+Actuals!X493</f>
        <v>0</v>
      </c>
      <c r="AB23" s="129">
        <f>+Actuals!Y293</f>
        <v>0</v>
      </c>
      <c r="AC23" s="130">
        <f>+Actuals!Z293</f>
        <v>0</v>
      </c>
      <c r="AD23" s="129">
        <f>+Actuals!AA293</f>
        <v>0</v>
      </c>
      <c r="AE23" s="130">
        <f>+Actuals!AB293</f>
        <v>0</v>
      </c>
    </row>
    <row r="24" spans="1:31" x14ac:dyDescent="0.25">
      <c r="A24" s="9"/>
      <c r="B24" s="7" t="s">
        <v>34</v>
      </c>
      <c r="C24" s="6"/>
      <c r="D24" s="61">
        <f t="shared" ref="D24:AE24" si="4">SUM(D19:D23)</f>
        <v>-52880546</v>
      </c>
      <c r="E24" s="39">
        <f t="shared" si="4"/>
        <v>-112142128.58400001</v>
      </c>
      <c r="F24" s="61">
        <f t="shared" si="4"/>
        <v>0</v>
      </c>
      <c r="G24" s="39">
        <f t="shared" si="4"/>
        <v>-797767.8</v>
      </c>
      <c r="H24" s="61">
        <f t="shared" si="4"/>
        <v>-52830313</v>
      </c>
      <c r="I24" s="39">
        <f t="shared" si="4"/>
        <v>-111511164.13</v>
      </c>
      <c r="J24" s="61">
        <f t="shared" si="4"/>
        <v>30322</v>
      </c>
      <c r="K24" s="39">
        <f t="shared" si="4"/>
        <v>358361.90099999995</v>
      </c>
      <c r="L24" s="61">
        <f t="shared" si="4"/>
        <v>-74555</v>
      </c>
      <c r="M24" s="39">
        <f t="shared" si="4"/>
        <v>-178309.54500000001</v>
      </c>
      <c r="N24" s="61">
        <f t="shared" si="4"/>
        <v>-449673</v>
      </c>
      <c r="O24" s="39">
        <f t="shared" si="4"/>
        <v>-988373.01</v>
      </c>
      <c r="P24" s="61">
        <f t="shared" si="4"/>
        <v>-1120133</v>
      </c>
      <c r="Q24" s="39">
        <f t="shared" si="4"/>
        <v>-2458675</v>
      </c>
      <c r="R24" s="61">
        <f t="shared" si="4"/>
        <v>1563806</v>
      </c>
      <c r="S24" s="39">
        <f t="shared" si="4"/>
        <v>3433799</v>
      </c>
      <c r="T24" s="61">
        <f t="shared" si="4"/>
        <v>-1563806</v>
      </c>
      <c r="U24" s="39">
        <f t="shared" si="4"/>
        <v>-3433799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1563806</v>
      </c>
      <c r="Y24" s="39">
        <f t="shared" si="5"/>
        <v>3433799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'TIE-OUT'!N27+RECLASS!N27</f>
        <v>0</v>
      </c>
      <c r="G27" s="68">
        <f>'TIE-OUT'!O27+RECLASS!O27</f>
        <v>0</v>
      </c>
      <c r="H27" s="129">
        <f>+Actuals!E294</f>
        <v>0</v>
      </c>
      <c r="I27" s="130">
        <f>+Actuals!F294</f>
        <v>0</v>
      </c>
      <c r="J27" s="129">
        <f>+Actuals!G294</f>
        <v>0</v>
      </c>
      <c r="K27" s="130">
        <f>+Actuals!H294</f>
        <v>0</v>
      </c>
      <c r="L27" s="129">
        <f>+Actuals!I294</f>
        <v>0</v>
      </c>
      <c r="M27" s="130">
        <f>+Actuals!J294</f>
        <v>0</v>
      </c>
      <c r="N27" s="129">
        <f>+Actuals!K294</f>
        <v>0</v>
      </c>
      <c r="O27" s="130">
        <f>+Actuals!L294</f>
        <v>0</v>
      </c>
      <c r="P27" s="129">
        <f>+Actuals!M294</f>
        <v>0</v>
      </c>
      <c r="Q27" s="130">
        <f>+Actuals!N294</f>
        <v>0</v>
      </c>
      <c r="R27" s="129">
        <f>+Actuals!O294</f>
        <v>0</v>
      </c>
      <c r="S27" s="130">
        <f>+Actuals!P294</f>
        <v>0</v>
      </c>
      <c r="T27" s="129">
        <f>+Actuals!Q494</f>
        <v>0</v>
      </c>
      <c r="U27" s="130">
        <f>+Actuals!R494</f>
        <v>0</v>
      </c>
      <c r="V27" s="129">
        <f>+Actuals!S494</f>
        <v>0</v>
      </c>
      <c r="W27" s="130">
        <f>+Actuals!T494</f>
        <v>0</v>
      </c>
      <c r="X27" s="129">
        <f>+Actuals!U494</f>
        <v>0</v>
      </c>
      <c r="Y27" s="130">
        <f>+Actuals!V494</f>
        <v>0</v>
      </c>
      <c r="Z27" s="129">
        <f>+Actuals!W494</f>
        <v>0</v>
      </c>
      <c r="AA27" s="130">
        <f>+Actuals!X494</f>
        <v>0</v>
      </c>
      <c r="AB27" s="129">
        <f>+Actuals!Y294</f>
        <v>0</v>
      </c>
      <c r="AC27" s="130">
        <f>+Actuals!Z294</f>
        <v>0</v>
      </c>
      <c r="AD27" s="129">
        <f>+Actuals!AA294</f>
        <v>0</v>
      </c>
      <c r="AE27" s="130">
        <f>+Actuals!AB294</f>
        <v>0</v>
      </c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-95049</v>
      </c>
      <c r="E28" s="38">
        <f>SUM(G28,I28,K28,M28,O28,Q28,S28,U28,W28,Y28,AA28,AC28,AE28)</f>
        <v>-208203</v>
      </c>
      <c r="F28" s="81">
        <f>'TIE-OUT'!N28+RECLASS!N28</f>
        <v>0</v>
      </c>
      <c r="G28" s="82">
        <f>'TIE-OUT'!O28+RECLASS!O28</f>
        <v>0</v>
      </c>
      <c r="H28" s="129">
        <f>+Actuals!E295</f>
        <v>-95150</v>
      </c>
      <c r="I28" s="130">
        <f>+Actuals!F295</f>
        <v>-208415</v>
      </c>
      <c r="J28" s="129">
        <f>+Actuals!G295</f>
        <v>101</v>
      </c>
      <c r="K28" s="130">
        <f>+Actuals!H295</f>
        <v>212</v>
      </c>
      <c r="L28" s="129">
        <f>+Actuals!I295</f>
        <v>0</v>
      </c>
      <c r="M28" s="130">
        <f>+Actuals!J295</f>
        <v>0</v>
      </c>
      <c r="N28" s="129">
        <f>+Actuals!K295</f>
        <v>0</v>
      </c>
      <c r="O28" s="130">
        <f>+Actuals!L295</f>
        <v>0</v>
      </c>
      <c r="P28" s="129">
        <f>+Actuals!M295</f>
        <v>0</v>
      </c>
      <c r="Q28" s="130">
        <f>+Actuals!N295</f>
        <v>0</v>
      </c>
      <c r="R28" s="129">
        <f>+Actuals!O295</f>
        <v>0</v>
      </c>
      <c r="S28" s="130">
        <f>+Actuals!P295</f>
        <v>0</v>
      </c>
      <c r="T28" s="129">
        <f>+Actuals!Q495</f>
        <v>0</v>
      </c>
      <c r="U28" s="130">
        <f>+Actuals!R495</f>
        <v>0</v>
      </c>
      <c r="V28" s="129">
        <f>+Actuals!S495</f>
        <v>0</v>
      </c>
      <c r="W28" s="130">
        <f>+Actuals!T495</f>
        <v>0</v>
      </c>
      <c r="X28" s="129">
        <f>+Actuals!U495</f>
        <v>0</v>
      </c>
      <c r="Y28" s="130">
        <f>+Actuals!V495</f>
        <v>0</v>
      </c>
      <c r="Z28" s="129">
        <f>+Actuals!W495</f>
        <v>0</v>
      </c>
      <c r="AA28" s="130">
        <f>+Actuals!X495</f>
        <v>0</v>
      </c>
      <c r="AB28" s="129">
        <f>+Actuals!Y295</f>
        <v>0</v>
      </c>
      <c r="AC28" s="130">
        <f>+Actuals!Z295</f>
        <v>0</v>
      </c>
      <c r="AD28" s="129">
        <f>+Actuals!AA295</f>
        <v>0</v>
      </c>
      <c r="AE28" s="130">
        <f>+Actuals!AB295</f>
        <v>0</v>
      </c>
    </row>
    <row r="29" spans="1:31" x14ac:dyDescent="0.25">
      <c r="A29" s="9"/>
      <c r="B29" s="7" t="s">
        <v>38</v>
      </c>
      <c r="C29" s="18"/>
      <c r="D29" s="61">
        <f t="shared" ref="D29:AE29" si="6">SUM(D27:D28)</f>
        <v>-95049</v>
      </c>
      <c r="E29" s="39">
        <f t="shared" si="6"/>
        <v>-208203</v>
      </c>
      <c r="F29" s="61">
        <f t="shared" si="6"/>
        <v>0</v>
      </c>
      <c r="G29" s="39">
        <f t="shared" si="6"/>
        <v>0</v>
      </c>
      <c r="H29" s="61">
        <f t="shared" si="6"/>
        <v>-95150</v>
      </c>
      <c r="I29" s="39">
        <f t="shared" si="6"/>
        <v>-208415</v>
      </c>
      <c r="J29" s="61">
        <f t="shared" si="6"/>
        <v>101</v>
      </c>
      <c r="K29" s="39">
        <f t="shared" si="6"/>
        <v>212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13783</v>
      </c>
      <c r="E32" s="38">
        <f t="shared" si="8"/>
        <v>28116.976000000024</v>
      </c>
      <c r="F32" s="64">
        <f>'TIE-OUT'!N32+RECLASS!N32</f>
        <v>0</v>
      </c>
      <c r="G32" s="68">
        <f>'TIE-OUT'!O32+RECLASS!O32</f>
        <v>0</v>
      </c>
      <c r="H32" s="129">
        <f>+Actuals!E296</f>
        <v>6950</v>
      </c>
      <c r="I32" s="130">
        <f>+Actuals!F296</f>
        <v>230305.76</v>
      </c>
      <c r="J32" s="129">
        <f>+Actuals!G296</f>
        <v>-25819</v>
      </c>
      <c r="K32" s="130">
        <f>+Actuals!H296</f>
        <v>-278214.15100000001</v>
      </c>
      <c r="L32" s="129">
        <f>+Actuals!I296</f>
        <v>32667</v>
      </c>
      <c r="M32" s="130">
        <f>+Actuals!J296</f>
        <v>-540943.47499999998</v>
      </c>
      <c r="N32" s="129">
        <f>+Actuals!K296</f>
        <v>-15</v>
      </c>
      <c r="O32" s="130">
        <f>+Actuals!L296</f>
        <v>616968.84199999995</v>
      </c>
      <c r="P32" s="129">
        <f>+Actuals!M296</f>
        <v>0</v>
      </c>
      <c r="Q32" s="130">
        <f>+Actuals!N296</f>
        <v>0</v>
      </c>
      <c r="R32" s="129">
        <f>+Actuals!O296</f>
        <v>0</v>
      </c>
      <c r="S32" s="130">
        <f>+Actuals!P296</f>
        <v>0</v>
      </c>
      <c r="T32" s="129">
        <f>+Actuals!Q496</f>
        <v>0</v>
      </c>
      <c r="U32" s="130">
        <f>+Actuals!R496</f>
        <v>0</v>
      </c>
      <c r="V32" s="129">
        <f>+Actuals!S496</f>
        <v>0</v>
      </c>
      <c r="W32" s="130">
        <f>+Actuals!T496</f>
        <v>0</v>
      </c>
      <c r="X32" s="129">
        <f>+Actuals!U496</f>
        <v>0</v>
      </c>
      <c r="Y32" s="130">
        <f>+Actuals!V496</f>
        <v>0</v>
      </c>
      <c r="Z32" s="129">
        <f>+Actuals!W496</f>
        <v>0</v>
      </c>
      <c r="AA32" s="130">
        <f>+Actuals!X496</f>
        <v>0</v>
      </c>
      <c r="AB32" s="129">
        <f>+Actuals!Y296</f>
        <v>0</v>
      </c>
      <c r="AC32" s="130">
        <f>+Actuals!Z296</f>
        <v>0</v>
      </c>
      <c r="AD32" s="129">
        <f>+Actuals!AA296</f>
        <v>0</v>
      </c>
      <c r="AE32" s="130">
        <f>+Actuals!AB296</f>
        <v>0</v>
      </c>
    </row>
    <row r="33" spans="1:31" x14ac:dyDescent="0.25">
      <c r="A33" s="9">
        <v>14</v>
      </c>
      <c r="B33" s="7"/>
      <c r="C33" s="18" t="s">
        <v>41</v>
      </c>
      <c r="D33" s="60">
        <f t="shared" si="8"/>
        <v>-1324</v>
      </c>
      <c r="E33" s="38">
        <f t="shared" si="8"/>
        <v>-2734.04</v>
      </c>
      <c r="F33" s="60">
        <f>'TIE-OUT'!N33+RECLASS!N33</f>
        <v>0</v>
      </c>
      <c r="G33" s="38">
        <f>'TIE-OUT'!O33+RECLASS!O33</f>
        <v>0</v>
      </c>
      <c r="H33" s="129">
        <f>+Actuals!E297</f>
        <v>0</v>
      </c>
      <c r="I33" s="130">
        <f>+Actuals!F297</f>
        <v>0</v>
      </c>
      <c r="J33" s="129">
        <f>+Actuals!G297</f>
        <v>-1322</v>
      </c>
      <c r="K33" s="130">
        <f>+Actuals!H297</f>
        <v>-2729.93</v>
      </c>
      <c r="L33" s="129">
        <f>+Actuals!I297</f>
        <v>-2</v>
      </c>
      <c r="M33" s="130">
        <f>+Actuals!J297</f>
        <v>-4.1100000000000003</v>
      </c>
      <c r="N33" s="129">
        <f>+Actuals!K297</f>
        <v>0</v>
      </c>
      <c r="O33" s="130">
        <f>+Actuals!L297</f>
        <v>0</v>
      </c>
      <c r="P33" s="129">
        <f>+Actuals!M297</f>
        <v>0</v>
      </c>
      <c r="Q33" s="130">
        <f>+Actuals!N297</f>
        <v>0</v>
      </c>
      <c r="R33" s="129">
        <f>+Actuals!O297</f>
        <v>0</v>
      </c>
      <c r="S33" s="130">
        <f>+Actuals!P297</f>
        <v>0</v>
      </c>
      <c r="T33" s="129">
        <f>+Actuals!Q497</f>
        <v>0</v>
      </c>
      <c r="U33" s="130">
        <f>+Actuals!R497</f>
        <v>0</v>
      </c>
      <c r="V33" s="129">
        <f>+Actuals!S497</f>
        <v>0</v>
      </c>
      <c r="W33" s="130">
        <f>+Actuals!T497</f>
        <v>0</v>
      </c>
      <c r="X33" s="129">
        <f>+Actuals!U497</f>
        <v>0</v>
      </c>
      <c r="Y33" s="130">
        <f>+Actuals!V497</f>
        <v>0</v>
      </c>
      <c r="Z33" s="129">
        <f>+Actuals!W497</f>
        <v>0</v>
      </c>
      <c r="AA33" s="130">
        <f>+Actuals!X497</f>
        <v>0</v>
      </c>
      <c r="AB33" s="129">
        <f>+Actuals!Y297</f>
        <v>0</v>
      </c>
      <c r="AC33" s="130">
        <f>+Actuals!Z297</f>
        <v>0</v>
      </c>
      <c r="AD33" s="129">
        <f>+Actuals!AA297</f>
        <v>0</v>
      </c>
      <c r="AE33" s="130">
        <f>+Actuals!AB297</f>
        <v>0</v>
      </c>
    </row>
    <row r="34" spans="1:31" x14ac:dyDescent="0.25">
      <c r="A34" s="9">
        <v>15</v>
      </c>
      <c r="B34" s="7"/>
      <c r="C34" s="18" t="s">
        <v>42</v>
      </c>
      <c r="D34" s="60">
        <f t="shared" si="8"/>
        <v>15</v>
      </c>
      <c r="E34" s="38">
        <f t="shared" si="8"/>
        <v>29.55</v>
      </c>
      <c r="F34" s="60">
        <f>'TIE-OUT'!N34+RECLASS!N34</f>
        <v>0</v>
      </c>
      <c r="G34" s="38">
        <f>'TIE-OUT'!O34+RECLASS!O34</f>
        <v>0</v>
      </c>
      <c r="H34" s="129">
        <f>+Actuals!E298</f>
        <v>0</v>
      </c>
      <c r="I34" s="130">
        <f>+Actuals!F298</f>
        <v>0</v>
      </c>
      <c r="J34" s="129">
        <f>+Actuals!G298</f>
        <v>0</v>
      </c>
      <c r="K34" s="130">
        <f>+Actuals!H298</f>
        <v>0</v>
      </c>
      <c r="L34" s="129">
        <f>+Actuals!I298</f>
        <v>0</v>
      </c>
      <c r="M34" s="130">
        <f>+Actuals!J298</f>
        <v>0</v>
      </c>
      <c r="N34" s="129">
        <f>+Actuals!K298</f>
        <v>15</v>
      </c>
      <c r="O34" s="130">
        <f>+Actuals!L298</f>
        <v>29.55</v>
      </c>
      <c r="P34" s="129">
        <f>+Actuals!M298</f>
        <v>0</v>
      </c>
      <c r="Q34" s="130">
        <f>+Actuals!N298</f>
        <v>0</v>
      </c>
      <c r="R34" s="129">
        <f>+Actuals!O298</f>
        <v>0</v>
      </c>
      <c r="S34" s="130">
        <f>+Actuals!P298</f>
        <v>0</v>
      </c>
      <c r="T34" s="129">
        <f>+Actuals!Q498</f>
        <v>0</v>
      </c>
      <c r="U34" s="130">
        <f>+Actuals!R498</f>
        <v>0</v>
      </c>
      <c r="V34" s="129">
        <f>+Actuals!S498</f>
        <v>0</v>
      </c>
      <c r="W34" s="130">
        <f>+Actuals!T498</f>
        <v>0</v>
      </c>
      <c r="X34" s="129">
        <f>+Actuals!U498</f>
        <v>0</v>
      </c>
      <c r="Y34" s="130">
        <f>+Actuals!V498</f>
        <v>0</v>
      </c>
      <c r="Z34" s="129">
        <f>+Actuals!W498</f>
        <v>0</v>
      </c>
      <c r="AA34" s="130">
        <f>+Actuals!X498</f>
        <v>0</v>
      </c>
      <c r="AB34" s="129">
        <f>+Actuals!Y298</f>
        <v>0</v>
      </c>
      <c r="AC34" s="130">
        <f>+Actuals!Z298</f>
        <v>0</v>
      </c>
      <c r="AD34" s="129">
        <f>+Actuals!AA298</f>
        <v>0</v>
      </c>
      <c r="AE34" s="130">
        <f>+Actuals!AB298</f>
        <v>0</v>
      </c>
    </row>
    <row r="35" spans="1:31" x14ac:dyDescent="0.25">
      <c r="A35" s="9">
        <v>16</v>
      </c>
      <c r="B35" s="7"/>
      <c r="C35" s="18" t="s">
        <v>43</v>
      </c>
      <c r="D35" s="60">
        <f t="shared" si="8"/>
        <v>-299580</v>
      </c>
      <c r="E35" s="38">
        <f t="shared" si="8"/>
        <v>-625222.99</v>
      </c>
      <c r="F35" s="81">
        <f>'TIE-OUT'!N35+RECLASS!N35</f>
        <v>0</v>
      </c>
      <c r="G35" s="82">
        <f>'TIE-OUT'!O35+RECLASS!O35</f>
        <v>0</v>
      </c>
      <c r="H35" s="129">
        <f>+Actuals!E299</f>
        <v>-293313</v>
      </c>
      <c r="I35" s="130">
        <f>+Actuals!F299</f>
        <v>0.01</v>
      </c>
      <c r="J35" s="129">
        <f>+Actuals!G299</f>
        <v>-6387</v>
      </c>
      <c r="K35" s="130">
        <f>+Actuals!H299</f>
        <v>0</v>
      </c>
      <c r="L35" s="129">
        <f>+Actuals!I299</f>
        <v>120</v>
      </c>
      <c r="M35" s="130">
        <f>+Actuals!J299</f>
        <v>0</v>
      </c>
      <c r="N35" s="129">
        <f>+Actuals!K299</f>
        <v>0</v>
      </c>
      <c r="O35" s="130">
        <f>+Actuals!L299</f>
        <v>-625223</v>
      </c>
      <c r="P35" s="129">
        <f>+Actuals!M299</f>
        <v>0</v>
      </c>
      <c r="Q35" s="130">
        <f>+Actuals!N299</f>
        <v>0</v>
      </c>
      <c r="R35" s="129">
        <f>+Actuals!O299</f>
        <v>0</v>
      </c>
      <c r="S35" s="130">
        <f>+Actuals!P299</f>
        <v>0</v>
      </c>
      <c r="T35" s="129">
        <f>+Actuals!Q499</f>
        <v>0</v>
      </c>
      <c r="U35" s="130">
        <f>+Actuals!R499</f>
        <v>0</v>
      </c>
      <c r="V35" s="129">
        <f>+Actuals!S499</f>
        <v>0</v>
      </c>
      <c r="W35" s="130">
        <f>+Actuals!T499</f>
        <v>0</v>
      </c>
      <c r="X35" s="129">
        <f>+Actuals!U499</f>
        <v>0</v>
      </c>
      <c r="Y35" s="130">
        <f>+Actuals!V499</f>
        <v>0</v>
      </c>
      <c r="Z35" s="129">
        <f>+Actuals!W499</f>
        <v>0</v>
      </c>
      <c r="AA35" s="130">
        <f>+Actuals!X499</f>
        <v>0</v>
      </c>
      <c r="AB35" s="129">
        <f>+Actuals!Y299</f>
        <v>0</v>
      </c>
      <c r="AC35" s="130">
        <f>+Actuals!Z299</f>
        <v>0</v>
      </c>
      <c r="AD35" s="129">
        <f>+Actuals!AA299</f>
        <v>0</v>
      </c>
      <c r="AE35" s="130">
        <f>+Actuals!AB299</f>
        <v>0</v>
      </c>
    </row>
    <row r="36" spans="1:31" x14ac:dyDescent="0.25">
      <c r="A36" s="9"/>
      <c r="B36" s="7" t="s">
        <v>44</v>
      </c>
      <c r="C36" s="6"/>
      <c r="D36" s="61">
        <f t="shared" ref="D36:AE36" si="9">SUM(D32:D35)</f>
        <v>-287106</v>
      </c>
      <c r="E36" s="39">
        <f t="shared" si="9"/>
        <v>-599810.50399999996</v>
      </c>
      <c r="F36" s="61">
        <f t="shared" si="9"/>
        <v>0</v>
      </c>
      <c r="G36" s="39">
        <f t="shared" si="9"/>
        <v>0</v>
      </c>
      <c r="H36" s="61">
        <f t="shared" si="9"/>
        <v>-286363</v>
      </c>
      <c r="I36" s="39">
        <f t="shared" si="9"/>
        <v>230305.77000000002</v>
      </c>
      <c r="J36" s="61">
        <f t="shared" si="9"/>
        <v>-33528</v>
      </c>
      <c r="K36" s="39">
        <f t="shared" si="9"/>
        <v>-280944.08100000001</v>
      </c>
      <c r="L36" s="61">
        <f t="shared" si="9"/>
        <v>32785</v>
      </c>
      <c r="M36" s="39">
        <f t="shared" si="9"/>
        <v>-540947.58499999996</v>
      </c>
      <c r="N36" s="61">
        <f t="shared" si="9"/>
        <v>0</v>
      </c>
      <c r="O36" s="39">
        <f t="shared" si="9"/>
        <v>-8224.6080000000075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9">
        <f>+Actuals!E300</f>
        <v>0</v>
      </c>
      <c r="I39" s="130">
        <f>+Actuals!F300</f>
        <v>0</v>
      </c>
      <c r="J39" s="129">
        <f>+Actuals!G300</f>
        <v>0</v>
      </c>
      <c r="K39" s="130">
        <f>+Actuals!H300</f>
        <v>0</v>
      </c>
      <c r="L39" s="129">
        <f>+Actuals!I300</f>
        <v>0</v>
      </c>
      <c r="M39" s="130">
        <f>+Actuals!J300</f>
        <v>0</v>
      </c>
      <c r="N39" s="129">
        <f>+Actuals!K300</f>
        <v>0</v>
      </c>
      <c r="O39" s="130">
        <f>+Actuals!L300</f>
        <v>0</v>
      </c>
      <c r="P39" s="129">
        <f>+Actuals!M300</f>
        <v>0</v>
      </c>
      <c r="Q39" s="130">
        <f>+Actuals!N300</f>
        <v>0</v>
      </c>
      <c r="R39" s="129">
        <f>+Actuals!O300</f>
        <v>0</v>
      </c>
      <c r="S39" s="130">
        <f>+Actuals!P300</f>
        <v>0</v>
      </c>
      <c r="T39" s="129">
        <f>+Actuals!Q500</f>
        <v>0</v>
      </c>
      <c r="U39" s="130">
        <f>+Actuals!R500</f>
        <v>0</v>
      </c>
      <c r="V39" s="129">
        <f>+Actuals!S500</f>
        <v>0</v>
      </c>
      <c r="W39" s="130">
        <f>+Actuals!T500</f>
        <v>0</v>
      </c>
      <c r="X39" s="129">
        <f>+Actuals!U500</f>
        <v>0</v>
      </c>
      <c r="Y39" s="130">
        <f>+Actuals!V500</f>
        <v>0</v>
      </c>
      <c r="Z39" s="129">
        <f>+Actuals!W500</f>
        <v>0</v>
      </c>
      <c r="AA39" s="130">
        <f>+Actuals!X500</f>
        <v>0</v>
      </c>
      <c r="AB39" s="129">
        <f>+Actuals!Y300</f>
        <v>0</v>
      </c>
      <c r="AC39" s="130">
        <f>+Actuals!Z300</f>
        <v>0</v>
      </c>
      <c r="AD39" s="129">
        <f>+Actuals!AA300</f>
        <v>0</v>
      </c>
      <c r="AE39" s="130">
        <f>+Actuals!AB300</f>
        <v>0</v>
      </c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9">
        <f>+Actuals!E301</f>
        <v>0</v>
      </c>
      <c r="I40" s="130">
        <f>+Actuals!F301</f>
        <v>0</v>
      </c>
      <c r="J40" s="129">
        <f>+Actuals!G301</f>
        <v>0</v>
      </c>
      <c r="K40" s="130">
        <f>+Actuals!H301</f>
        <v>0</v>
      </c>
      <c r="L40" s="129">
        <f>+Actuals!I301</f>
        <v>0</v>
      </c>
      <c r="M40" s="130">
        <f>+Actuals!J301</f>
        <v>0</v>
      </c>
      <c r="N40" s="129">
        <f>+Actuals!K301</f>
        <v>0</v>
      </c>
      <c r="O40" s="130">
        <f>+Actuals!L301</f>
        <v>0</v>
      </c>
      <c r="P40" s="129">
        <f>+Actuals!M301</f>
        <v>0</v>
      </c>
      <c r="Q40" s="130">
        <f>+Actuals!N301</f>
        <v>0</v>
      </c>
      <c r="R40" s="129">
        <f>+Actuals!O301</f>
        <v>0</v>
      </c>
      <c r="S40" s="130">
        <f>+Actuals!P301</f>
        <v>0</v>
      </c>
      <c r="T40" s="129">
        <f>+Actuals!Q501</f>
        <v>0</v>
      </c>
      <c r="U40" s="130">
        <f>+Actuals!R501</f>
        <v>0</v>
      </c>
      <c r="V40" s="129">
        <f>+Actuals!S501</f>
        <v>0</v>
      </c>
      <c r="W40" s="130">
        <f>+Actuals!T501</f>
        <v>0</v>
      </c>
      <c r="X40" s="129">
        <f>+Actuals!U501</f>
        <v>0</v>
      </c>
      <c r="Y40" s="130">
        <f>+Actuals!V501</f>
        <v>0</v>
      </c>
      <c r="Z40" s="129">
        <f>+Actuals!W501</f>
        <v>0</v>
      </c>
      <c r="AA40" s="130">
        <f>+Actuals!X501</f>
        <v>0</v>
      </c>
      <c r="AB40" s="129">
        <f>+Actuals!Y301</f>
        <v>0</v>
      </c>
      <c r="AC40" s="130">
        <f>+Actuals!Z301</f>
        <v>0</v>
      </c>
      <c r="AD40" s="129">
        <f>+Actuals!AA301</f>
        <v>0</v>
      </c>
      <c r="AE40" s="130">
        <f>+Actuals!AB301</f>
        <v>0</v>
      </c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9">
        <f>+Actuals!E302</f>
        <v>0</v>
      </c>
      <c r="I41" s="130">
        <f>+Actuals!F302</f>
        <v>0</v>
      </c>
      <c r="J41" s="129">
        <f>+Actuals!G302</f>
        <v>0</v>
      </c>
      <c r="K41" s="130">
        <f>+Actuals!H302</f>
        <v>0</v>
      </c>
      <c r="L41" s="129">
        <f>+Actuals!I302</f>
        <v>0</v>
      </c>
      <c r="M41" s="130">
        <f>+Actuals!J302</f>
        <v>0</v>
      </c>
      <c r="N41" s="129">
        <f>+Actuals!K302</f>
        <v>0</v>
      </c>
      <c r="O41" s="130">
        <f>+Actuals!L302</f>
        <v>0</v>
      </c>
      <c r="P41" s="129">
        <f>+Actuals!M302</f>
        <v>0</v>
      </c>
      <c r="Q41" s="130">
        <f>+Actuals!N302</f>
        <v>0</v>
      </c>
      <c r="R41" s="129">
        <f>+Actuals!O302</f>
        <v>0</v>
      </c>
      <c r="S41" s="130">
        <f>+Actuals!P302</f>
        <v>0</v>
      </c>
      <c r="T41" s="129">
        <f>+Actuals!Q502</f>
        <v>0</v>
      </c>
      <c r="U41" s="130">
        <f>+Actuals!R502</f>
        <v>0</v>
      </c>
      <c r="V41" s="129">
        <f>+Actuals!S502</f>
        <v>0</v>
      </c>
      <c r="W41" s="130">
        <f>+Actuals!T502</f>
        <v>0</v>
      </c>
      <c r="X41" s="129">
        <f>+Actuals!U502</f>
        <v>0</v>
      </c>
      <c r="Y41" s="130">
        <f>+Actuals!V502</f>
        <v>0</v>
      </c>
      <c r="Z41" s="129">
        <f>+Actuals!W502</f>
        <v>0</v>
      </c>
      <c r="AA41" s="130">
        <f>+Actuals!X502</f>
        <v>0</v>
      </c>
      <c r="AB41" s="129">
        <f>+Actuals!Y302</f>
        <v>0</v>
      </c>
      <c r="AC41" s="130">
        <f>+Actuals!Z302</f>
        <v>0</v>
      </c>
      <c r="AD41" s="129">
        <f>+Actuals!AA302</f>
        <v>0</v>
      </c>
      <c r="AE41" s="130">
        <f>+Actuals!AB302</f>
        <v>0</v>
      </c>
    </row>
    <row r="42" spans="1:31" x14ac:dyDescent="0.25">
      <c r="A42" s="9"/>
      <c r="B42" s="7"/>
      <c r="C42" s="53" t="s">
        <v>49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50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'TIE-OUT'!N45+RECLASS!N45</f>
        <v>0</v>
      </c>
      <c r="G45" s="68">
        <f>'TIE-OUT'!O45+RECLASS!O45</f>
        <v>0</v>
      </c>
      <c r="H45" s="129">
        <f>+Actuals!E303</f>
        <v>0</v>
      </c>
      <c r="I45" s="130">
        <f>+Actuals!F303</f>
        <v>0</v>
      </c>
      <c r="J45" s="129">
        <f>+Actuals!G303</f>
        <v>0</v>
      </c>
      <c r="K45" s="130">
        <f>+Actuals!H303</f>
        <v>0</v>
      </c>
      <c r="L45" s="129">
        <f>+Actuals!I303</f>
        <v>0</v>
      </c>
      <c r="M45" s="130">
        <f>+Actuals!J303</f>
        <v>0</v>
      </c>
      <c r="N45" s="129">
        <f>+Actuals!K303</f>
        <v>0</v>
      </c>
      <c r="O45" s="130">
        <f>+Actuals!L303</f>
        <v>0</v>
      </c>
      <c r="P45" s="129">
        <f>+Actuals!M303</f>
        <v>0</v>
      </c>
      <c r="Q45" s="130">
        <f>+Actuals!N303</f>
        <v>0</v>
      </c>
      <c r="R45" s="129">
        <f>+Actuals!O303</f>
        <v>0</v>
      </c>
      <c r="S45" s="130">
        <f>+Actuals!P303</f>
        <v>0</v>
      </c>
      <c r="T45" s="129">
        <f>+Actuals!Q503</f>
        <v>0</v>
      </c>
      <c r="U45" s="130">
        <f>+Actuals!R503</f>
        <v>0</v>
      </c>
      <c r="V45" s="129">
        <f>+Actuals!S503</f>
        <v>0</v>
      </c>
      <c r="W45" s="130">
        <f>+Actuals!T503</f>
        <v>0</v>
      </c>
      <c r="X45" s="129">
        <f>+Actuals!U503</f>
        <v>0</v>
      </c>
      <c r="Y45" s="130">
        <f>+Actuals!V503</f>
        <v>0</v>
      </c>
      <c r="Z45" s="129">
        <f>+Actuals!W503</f>
        <v>0</v>
      </c>
      <c r="AA45" s="130">
        <f>+Actuals!X503</f>
        <v>0</v>
      </c>
      <c r="AB45" s="129">
        <f>+Actuals!Y303</f>
        <v>0</v>
      </c>
      <c r="AC45" s="130">
        <f>+Actuals!Z303</f>
        <v>0</v>
      </c>
      <c r="AD45" s="129">
        <f>+Actuals!AA303</f>
        <v>0</v>
      </c>
      <c r="AE45" s="130">
        <f>+Actuals!AB303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'TIE-OUT'!N47+RECLASS!N47</f>
        <v>0</v>
      </c>
      <c r="G47" s="38">
        <f>'TIE-OUT'!O47+RECLASS!O47</f>
        <v>0</v>
      </c>
      <c r="H47" s="129">
        <f>+Actuals!E304</f>
        <v>0</v>
      </c>
      <c r="I47" s="130">
        <f>+Actuals!F304</f>
        <v>0</v>
      </c>
      <c r="J47" s="129">
        <f>+Actuals!G304</f>
        <v>0</v>
      </c>
      <c r="K47" s="130">
        <f>+Actuals!H304</f>
        <v>0</v>
      </c>
      <c r="L47" s="129">
        <f>+Actuals!I304</f>
        <v>0</v>
      </c>
      <c r="M47" s="130">
        <f>+Actuals!J304</f>
        <v>0</v>
      </c>
      <c r="N47" s="129">
        <f>+Actuals!K304</f>
        <v>0</v>
      </c>
      <c r="O47" s="130">
        <f>+Actuals!L304</f>
        <v>0</v>
      </c>
      <c r="P47" s="129">
        <f>+Actuals!M304</f>
        <v>0</v>
      </c>
      <c r="Q47" s="130">
        <f>+Actuals!N304</f>
        <v>0</v>
      </c>
      <c r="R47" s="129">
        <f>+Actuals!O304</f>
        <v>0</v>
      </c>
      <c r="S47" s="130">
        <f>+Actuals!P304</f>
        <v>0</v>
      </c>
      <c r="T47" s="129">
        <f>+Actuals!Q504</f>
        <v>0</v>
      </c>
      <c r="U47" s="130">
        <f>+Actuals!R504</f>
        <v>0</v>
      </c>
      <c r="V47" s="129">
        <f>+Actuals!S504</f>
        <v>0</v>
      </c>
      <c r="W47" s="130">
        <f>+Actuals!T504</f>
        <v>0</v>
      </c>
      <c r="X47" s="129">
        <f>+Actuals!U504</f>
        <v>0</v>
      </c>
      <c r="Y47" s="130">
        <f>+Actuals!V504</f>
        <v>0</v>
      </c>
      <c r="Z47" s="129">
        <f>+Actuals!W504</f>
        <v>0</v>
      </c>
      <c r="AA47" s="130">
        <f>+Actuals!X504</f>
        <v>0</v>
      </c>
      <c r="AB47" s="129">
        <f>+Actuals!Y304</f>
        <v>0</v>
      </c>
      <c r="AC47" s="130">
        <f>+Actuals!Z304</f>
        <v>0</v>
      </c>
      <c r="AD47" s="129">
        <f>+Actuals!AA304</f>
        <v>0</v>
      </c>
      <c r="AE47" s="130">
        <f>+Actuals!AB304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-67249</v>
      </c>
      <c r="E49" s="38">
        <f>SUM(G49,I49,K49,M49,O49,Q49,S49,U49,W49,Y49,AA49,AC49,AE49)</f>
        <v>-140348.66300000018</v>
      </c>
      <c r="F49" s="60">
        <f>'TIE-OUT'!N49+RECLASS!N49</f>
        <v>0</v>
      </c>
      <c r="G49" s="38">
        <f>'TIE-OUT'!O49+RECLASS!O49</f>
        <v>0</v>
      </c>
      <c r="H49" s="129">
        <f>+Actuals!E305</f>
        <v>63128</v>
      </c>
      <c r="I49" s="130">
        <f>+Actuals!F305</f>
        <v>131748.136</v>
      </c>
      <c r="J49" s="129">
        <f>+Actuals!G305</f>
        <v>1091133</v>
      </c>
      <c r="K49" s="130">
        <f>+Actuals!H305</f>
        <v>2277194.571</v>
      </c>
      <c r="L49" s="129">
        <f>+Actuals!I305</f>
        <v>43125</v>
      </c>
      <c r="M49" s="130">
        <f>+Actuals!J305</f>
        <v>90001.875</v>
      </c>
      <c r="N49" s="129">
        <f>+Actuals!K305</f>
        <v>-120535</v>
      </c>
      <c r="O49" s="130">
        <f>+Actuals!L305</f>
        <v>-251556.54500000001</v>
      </c>
      <c r="P49" s="129">
        <f>+Actuals!M305</f>
        <v>0</v>
      </c>
      <c r="Q49" s="130">
        <f>+Actuals!N305</f>
        <v>0</v>
      </c>
      <c r="R49" s="129">
        <f>+Actuals!O305</f>
        <v>-1144100</v>
      </c>
      <c r="S49" s="130">
        <f>+Actuals!P305</f>
        <v>-2387736.7000000002</v>
      </c>
      <c r="T49" s="129">
        <f>+Actuals!Q505</f>
        <v>1144100</v>
      </c>
      <c r="U49" s="130">
        <f>+Actuals!R505</f>
        <v>2387736.7000000002</v>
      </c>
      <c r="V49" s="129">
        <f>+Actuals!S505</f>
        <v>0</v>
      </c>
      <c r="W49" s="130">
        <f>+Actuals!T505</f>
        <v>0</v>
      </c>
      <c r="X49" s="129">
        <f>+Actuals!U505</f>
        <v>-1144100</v>
      </c>
      <c r="Y49" s="130">
        <f>+Actuals!V505</f>
        <v>-2387736.7000000002</v>
      </c>
      <c r="Z49" s="129">
        <f>+Actuals!W505</f>
        <v>0</v>
      </c>
      <c r="AA49" s="130">
        <f>+Actuals!X505</f>
        <v>0</v>
      </c>
      <c r="AB49" s="129">
        <f>+Actuals!Y305</f>
        <v>0</v>
      </c>
      <c r="AC49" s="130">
        <f>+Actuals!Z305</f>
        <v>0</v>
      </c>
      <c r="AD49" s="129">
        <f>+Actuals!AA305</f>
        <v>0</v>
      </c>
      <c r="AE49" s="130">
        <f>+Actuals!AB305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-275486</v>
      </c>
      <c r="E51" s="38">
        <f>SUM(G51,I51,K51,M51,O51,Q51,S51,U51,W51,Y51,AA51,AC51,AE51)</f>
        <v>-574939.28600000008</v>
      </c>
      <c r="F51" s="60">
        <f>'TIE-OUT'!N51+RECLASS!N51</f>
        <v>0</v>
      </c>
      <c r="G51" s="38">
        <f>'TIE-OUT'!O51+RECLASS!O51</f>
        <v>0</v>
      </c>
      <c r="H51" s="129">
        <f>+Actuals!E306</f>
        <v>-281548</v>
      </c>
      <c r="I51" s="130">
        <f>+Actuals!F306</f>
        <v>-587590.68000000005</v>
      </c>
      <c r="J51" s="129">
        <f>+Actuals!G306</f>
        <v>-8913</v>
      </c>
      <c r="K51" s="130">
        <f>+Actuals!H306</f>
        <v>-18601.431</v>
      </c>
      <c r="L51" s="129">
        <f>+Actuals!I306</f>
        <v>14975</v>
      </c>
      <c r="M51" s="130">
        <f>+Actuals!J306</f>
        <v>31252.825000000001</v>
      </c>
      <c r="N51" s="129">
        <f>+Actuals!K306</f>
        <v>0</v>
      </c>
      <c r="O51" s="130">
        <f>+Actuals!L306</f>
        <v>0</v>
      </c>
      <c r="P51" s="129">
        <f>+Actuals!M306</f>
        <v>0</v>
      </c>
      <c r="Q51" s="130">
        <f>+Actuals!N306</f>
        <v>0</v>
      </c>
      <c r="R51" s="129">
        <f>+Actuals!O306</f>
        <v>0</v>
      </c>
      <c r="S51" s="130">
        <f>+Actuals!P306</f>
        <v>0</v>
      </c>
      <c r="T51" s="129">
        <f>+Actuals!Q506</f>
        <v>0</v>
      </c>
      <c r="U51" s="130">
        <f>+Actuals!R506</f>
        <v>0</v>
      </c>
      <c r="V51" s="129">
        <f>+Actuals!S506</f>
        <v>0</v>
      </c>
      <c r="W51" s="130">
        <f>+Actuals!T506</f>
        <v>0</v>
      </c>
      <c r="X51" s="129">
        <f>+Actuals!U506</f>
        <v>0</v>
      </c>
      <c r="Y51" s="130">
        <f>+Actuals!V506</f>
        <v>0</v>
      </c>
      <c r="Z51" s="129">
        <f>+Actuals!W506</f>
        <v>0</v>
      </c>
      <c r="AA51" s="130">
        <f>+Actuals!X506</f>
        <v>0</v>
      </c>
      <c r="AB51" s="129">
        <f>+Actuals!Y306</f>
        <v>0</v>
      </c>
      <c r="AC51" s="130">
        <f>+Actuals!Z306</f>
        <v>0</v>
      </c>
      <c r="AD51" s="129">
        <f>+Actuals!AA306</f>
        <v>0</v>
      </c>
      <c r="AE51" s="130">
        <f>+Actuals!AB306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-11727563</v>
      </c>
      <c r="E54" s="38">
        <f>SUM(G54,I54,K54,M54,O54,Q54,S54,U54,W54,Y54,AA54,AC54,AE54)</f>
        <v>-108143.48999999999</v>
      </c>
      <c r="F54" s="64">
        <f>'TIE-OUT'!N54+RECLASS!N54</f>
        <v>0</v>
      </c>
      <c r="G54" s="68">
        <f>'TIE-OUT'!O54+RECLASS!O54</f>
        <v>18808</v>
      </c>
      <c r="H54" s="129">
        <f>+Actuals!E307</f>
        <v>-11138082</v>
      </c>
      <c r="I54" s="130">
        <f>+Actuals!F307</f>
        <v>-114247.01</v>
      </c>
      <c r="J54" s="129">
        <f>+Actuals!G307</f>
        <v>-589481</v>
      </c>
      <c r="K54" s="130">
        <f>+Actuals!H307</f>
        <v>-14387.03</v>
      </c>
      <c r="L54" s="129">
        <f>+Actuals!I307</f>
        <v>0</v>
      </c>
      <c r="M54" s="130">
        <f>+Actuals!J307</f>
        <v>0</v>
      </c>
      <c r="N54" s="129">
        <f>+Actuals!K307</f>
        <v>0</v>
      </c>
      <c r="O54" s="130">
        <f>+Actuals!L307</f>
        <v>0</v>
      </c>
      <c r="P54" s="129">
        <f>+Actuals!M307</f>
        <v>0</v>
      </c>
      <c r="Q54" s="130">
        <f>+Actuals!N307</f>
        <v>0</v>
      </c>
      <c r="R54" s="129">
        <f>+Actuals!O307</f>
        <v>0</v>
      </c>
      <c r="S54" s="130">
        <f>+Actuals!P307</f>
        <v>0</v>
      </c>
      <c r="T54" s="129">
        <f>+Actuals!Q507</f>
        <v>0</v>
      </c>
      <c r="U54" s="130">
        <f>+Actuals!R507</f>
        <v>0</v>
      </c>
      <c r="V54" s="129">
        <f>+Actuals!S507</f>
        <v>0</v>
      </c>
      <c r="W54" s="130">
        <f>+Actuals!T507</f>
        <v>1682.55</v>
      </c>
      <c r="X54" s="129">
        <f>+Actuals!U507</f>
        <v>0</v>
      </c>
      <c r="Y54" s="130">
        <f>+Actuals!V507</f>
        <v>0</v>
      </c>
      <c r="Z54" s="129">
        <f>+Actuals!W507</f>
        <v>0</v>
      </c>
      <c r="AA54" s="130">
        <f>+Actuals!X507</f>
        <v>0</v>
      </c>
      <c r="AB54" s="129">
        <f>+Actuals!Y307</f>
        <v>0</v>
      </c>
      <c r="AC54" s="130">
        <f>+Actuals!Z307</f>
        <v>0</v>
      </c>
      <c r="AD54" s="129">
        <f>+Actuals!AA307</f>
        <v>0</v>
      </c>
      <c r="AE54" s="130">
        <f>+Actuals!AB307</f>
        <v>0</v>
      </c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23032</v>
      </c>
      <c r="E55" s="38">
        <f>SUM(G55,I55,K55,M55,O55,Q55,S55,U55,W55,Y55,AA55,AC55,AE55)</f>
        <v>-2187783.38</v>
      </c>
      <c r="F55" s="81">
        <f>'TIE-OUT'!N55+RECLASS!N55</f>
        <v>0</v>
      </c>
      <c r="G55" s="82">
        <f>'TIE-OUT'!O55+RECLASS!O55</f>
        <v>532369</v>
      </c>
      <c r="H55" s="129">
        <f>+Actuals!E308</f>
        <v>0</v>
      </c>
      <c r="I55" s="130">
        <f>+Actuals!F308</f>
        <v>-2733181.65</v>
      </c>
      <c r="J55" s="129">
        <f>+Actuals!G308</f>
        <v>0</v>
      </c>
      <c r="K55" s="130">
        <f>+Actuals!H308</f>
        <v>20370.560000000001</v>
      </c>
      <c r="L55" s="129">
        <f>+Actuals!I308</f>
        <v>0</v>
      </c>
      <c r="M55" s="130">
        <f>+Actuals!J308</f>
        <v>137.51</v>
      </c>
      <c r="N55" s="129">
        <f>+Actuals!K308</f>
        <v>0</v>
      </c>
      <c r="O55" s="130">
        <f>+Actuals!L308</f>
        <v>0</v>
      </c>
      <c r="P55" s="129">
        <f>+Actuals!M308</f>
        <v>0</v>
      </c>
      <c r="Q55" s="130">
        <f>+Actuals!N308</f>
        <v>0</v>
      </c>
      <c r="R55" s="129">
        <f>+Actuals!O308</f>
        <v>0</v>
      </c>
      <c r="S55" s="130">
        <f>+Actuals!P308</f>
        <v>0</v>
      </c>
      <c r="T55" s="129">
        <f>+Actuals!Q508</f>
        <v>0</v>
      </c>
      <c r="U55" s="130">
        <f>+Actuals!R508</f>
        <v>0</v>
      </c>
      <c r="V55" s="129">
        <f>+Actuals!S508</f>
        <v>23032</v>
      </c>
      <c r="W55" s="130">
        <f>+Actuals!T508</f>
        <v>-7478.8</v>
      </c>
      <c r="X55" s="129">
        <f>+Actuals!U508</f>
        <v>0</v>
      </c>
      <c r="Y55" s="130">
        <f>+Actuals!V508</f>
        <v>0</v>
      </c>
      <c r="Z55" s="129">
        <f>+Actuals!W508</f>
        <v>0</v>
      </c>
      <c r="AA55" s="130">
        <f>+Actuals!X508</f>
        <v>0</v>
      </c>
      <c r="AB55" s="129">
        <f>+Actuals!Y308</f>
        <v>0</v>
      </c>
      <c r="AC55" s="130">
        <f>+Actuals!Z308</f>
        <v>0</v>
      </c>
      <c r="AD55" s="129">
        <f>+Actuals!AA308</f>
        <v>0</v>
      </c>
      <c r="AE55" s="130">
        <f>+Actuals!AB308</f>
        <v>0</v>
      </c>
    </row>
    <row r="56" spans="1:31" x14ac:dyDescent="0.25">
      <c r="A56" s="9"/>
      <c r="B56" s="7" t="s">
        <v>58</v>
      </c>
      <c r="C56" s="6"/>
      <c r="D56" s="61">
        <f t="shared" ref="D56:AE56" si="16">SUM(D54:D55)</f>
        <v>-11704531</v>
      </c>
      <c r="E56" s="39">
        <f t="shared" si="16"/>
        <v>-2295926.87</v>
      </c>
      <c r="F56" s="61">
        <f t="shared" si="16"/>
        <v>0</v>
      </c>
      <c r="G56" s="39">
        <f t="shared" si="16"/>
        <v>551177</v>
      </c>
      <c r="H56" s="61">
        <f t="shared" si="16"/>
        <v>-11138082</v>
      </c>
      <c r="I56" s="39">
        <f t="shared" si="16"/>
        <v>-2847428.6599999997</v>
      </c>
      <c r="J56" s="61">
        <f t="shared" si="16"/>
        <v>-589481</v>
      </c>
      <c r="K56" s="39">
        <f t="shared" si="16"/>
        <v>5983.5300000000007</v>
      </c>
      <c r="L56" s="61">
        <f t="shared" si="16"/>
        <v>0</v>
      </c>
      <c r="M56" s="39">
        <f t="shared" si="16"/>
        <v>137.51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ref="V56:AA56" si="17">SUM(V54:V55)</f>
        <v>23032</v>
      </c>
      <c r="W56" s="39">
        <f t="shared" si="17"/>
        <v>-5796.25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'TIE-OUT'!N59+RECLASS!N59</f>
        <v>0</v>
      </c>
      <c r="G59" s="68">
        <f>'TIE-OUT'!O59+RECLASS!O59</f>
        <v>0</v>
      </c>
      <c r="H59" s="129">
        <f>+Actuals!E309</f>
        <v>0</v>
      </c>
      <c r="I59" s="130">
        <f>+Actuals!F309</f>
        <v>0</v>
      </c>
      <c r="J59" s="129">
        <f>+Actuals!G309</f>
        <v>0</v>
      </c>
      <c r="K59" s="130">
        <f>+Actuals!H309</f>
        <v>0</v>
      </c>
      <c r="L59" s="129">
        <f>+Actuals!I309</f>
        <v>0</v>
      </c>
      <c r="M59" s="130">
        <f>+Actuals!J309</f>
        <v>0</v>
      </c>
      <c r="N59" s="129">
        <f>+Actuals!K309</f>
        <v>0</v>
      </c>
      <c r="O59" s="130">
        <f>+Actuals!L309</f>
        <v>0</v>
      </c>
      <c r="P59" s="129">
        <f>+Actuals!M309</f>
        <v>0</v>
      </c>
      <c r="Q59" s="130">
        <f>+Actuals!N309</f>
        <v>0</v>
      </c>
      <c r="R59" s="129">
        <f>+Actuals!O309</f>
        <v>0</v>
      </c>
      <c r="S59" s="130">
        <f>+Actuals!P309</f>
        <v>0</v>
      </c>
      <c r="T59" s="129">
        <f>+Actuals!Q509</f>
        <v>0</v>
      </c>
      <c r="U59" s="130">
        <f>+Actuals!R509</f>
        <v>0</v>
      </c>
      <c r="V59" s="129">
        <f>+Actuals!S509</f>
        <v>0</v>
      </c>
      <c r="W59" s="130">
        <f>+Actuals!T509</f>
        <v>0</v>
      </c>
      <c r="X59" s="129">
        <f>+Actuals!U509</f>
        <v>0</v>
      </c>
      <c r="Y59" s="130">
        <f>+Actuals!V509</f>
        <v>0</v>
      </c>
      <c r="Z59" s="129">
        <f>+Actuals!W509</f>
        <v>0</v>
      </c>
      <c r="AA59" s="130">
        <f>+Actuals!X509</f>
        <v>0</v>
      </c>
      <c r="AB59" s="129">
        <f>+Actuals!Y309</f>
        <v>0</v>
      </c>
      <c r="AC59" s="130">
        <f>+Actuals!Z309</f>
        <v>0</v>
      </c>
      <c r="AD59" s="129">
        <f>+Actuals!AA309</f>
        <v>0</v>
      </c>
      <c r="AE59" s="130">
        <f>+Actuals!AB309</f>
        <v>0</v>
      </c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'TIE-OUT'!N60+RECLASS!N60</f>
        <v>0</v>
      </c>
      <c r="G60" s="82">
        <f>'TIE-OUT'!O60+RECLASS!O60</f>
        <v>0</v>
      </c>
      <c r="H60" s="129">
        <f>+Actuals!E310</f>
        <v>0</v>
      </c>
      <c r="I60" s="130">
        <f>+Actuals!F310</f>
        <v>0</v>
      </c>
      <c r="J60" s="129">
        <f>+Actuals!G310</f>
        <v>0</v>
      </c>
      <c r="K60" s="130">
        <f>+Actuals!H310</f>
        <v>0</v>
      </c>
      <c r="L60" s="129">
        <f>+Actuals!I310</f>
        <v>0</v>
      </c>
      <c r="M60" s="130">
        <f>+Actuals!J310</f>
        <v>0</v>
      </c>
      <c r="N60" s="129">
        <f>+Actuals!K310</f>
        <v>0</v>
      </c>
      <c r="O60" s="130">
        <f>+Actuals!L310</f>
        <v>0</v>
      </c>
      <c r="P60" s="129">
        <f>+Actuals!M310</f>
        <v>0</v>
      </c>
      <c r="Q60" s="130">
        <f>+Actuals!N310</f>
        <v>0</v>
      </c>
      <c r="R60" s="129">
        <f>+Actuals!O310</f>
        <v>0</v>
      </c>
      <c r="S60" s="130">
        <f>+Actuals!P310</f>
        <v>0</v>
      </c>
      <c r="T60" s="129">
        <f>+Actuals!Q510</f>
        <v>0</v>
      </c>
      <c r="U60" s="130">
        <f>+Actuals!R510</f>
        <v>0</v>
      </c>
      <c r="V60" s="129">
        <f>+Actuals!S510</f>
        <v>0</v>
      </c>
      <c r="W60" s="130">
        <f>+Actuals!T510</f>
        <v>0</v>
      </c>
      <c r="X60" s="129">
        <f>+Actuals!U510</f>
        <v>0</v>
      </c>
      <c r="Y60" s="130">
        <f>+Actuals!V510</f>
        <v>0</v>
      </c>
      <c r="Z60" s="129">
        <f>+Actuals!W510</f>
        <v>0</v>
      </c>
      <c r="AA60" s="130">
        <f>+Actuals!X510</f>
        <v>0</v>
      </c>
      <c r="AB60" s="129">
        <f>+Actuals!Y310</f>
        <v>0</v>
      </c>
      <c r="AC60" s="130">
        <f>+Actuals!Z310</f>
        <v>0</v>
      </c>
      <c r="AD60" s="129">
        <f>+Actuals!AA310</f>
        <v>0</v>
      </c>
      <c r="AE60" s="130">
        <f>+Actuals!AB310</f>
        <v>0</v>
      </c>
    </row>
    <row r="61" spans="1:31" x14ac:dyDescent="0.25">
      <c r="A61" s="9"/>
      <c r="B61" s="62" t="s">
        <v>62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'TIE-OUT'!N64+RECLASS!N64</f>
        <v>0</v>
      </c>
      <c r="G64" s="68">
        <f>'TIE-OUT'!O64+RECLASS!O64</f>
        <v>0</v>
      </c>
      <c r="H64" s="129">
        <f>+Actuals!E311</f>
        <v>0</v>
      </c>
      <c r="I64" s="130">
        <f>+Actuals!F311</f>
        <v>0</v>
      </c>
      <c r="J64" s="129">
        <f>+Actuals!G311</f>
        <v>0</v>
      </c>
      <c r="K64" s="130">
        <f>+Actuals!H311</f>
        <v>0</v>
      </c>
      <c r="L64" s="129">
        <f>+Actuals!I311</f>
        <v>0</v>
      </c>
      <c r="M64" s="130">
        <f>+Actuals!J311</f>
        <v>0</v>
      </c>
      <c r="N64" s="129">
        <f>+Actuals!K311</f>
        <v>0</v>
      </c>
      <c r="O64" s="130">
        <f>+Actuals!L311</f>
        <v>0</v>
      </c>
      <c r="P64" s="129">
        <f>+Actuals!M311</f>
        <v>0</v>
      </c>
      <c r="Q64" s="130">
        <f>+Actuals!N311</f>
        <v>0</v>
      </c>
      <c r="R64" s="129">
        <f>+Actuals!O311</f>
        <v>0</v>
      </c>
      <c r="S64" s="130">
        <f>+Actuals!P311</f>
        <v>0</v>
      </c>
      <c r="T64" s="129">
        <f>+Actuals!Q511</f>
        <v>0</v>
      </c>
      <c r="U64" s="130">
        <f>+Actuals!R511</f>
        <v>0</v>
      </c>
      <c r="V64" s="129">
        <f>+Actuals!S511</f>
        <v>0</v>
      </c>
      <c r="W64" s="130">
        <f>+Actuals!T511</f>
        <v>0</v>
      </c>
      <c r="X64" s="129">
        <f>+Actuals!U511</f>
        <v>0</v>
      </c>
      <c r="Y64" s="130">
        <f>+Actuals!V511</f>
        <v>0</v>
      </c>
      <c r="Z64" s="129">
        <f>+Actuals!W511</f>
        <v>0</v>
      </c>
      <c r="AA64" s="130">
        <f>+Actuals!X511</f>
        <v>0</v>
      </c>
      <c r="AB64" s="129">
        <f>+Actuals!Y311</f>
        <v>0</v>
      </c>
      <c r="AC64" s="130">
        <f>+Actuals!Z311</f>
        <v>0</v>
      </c>
      <c r="AD64" s="129">
        <f>+Actuals!AA311</f>
        <v>0</v>
      </c>
      <c r="AE64" s="130">
        <f>+Actuals!AB311</f>
        <v>0</v>
      </c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'TIE-OUT'!N65+RECLASS!N65</f>
        <v>0</v>
      </c>
      <c r="G65" s="82">
        <f>'TIE-OUT'!O65+RECLASS!O65</f>
        <v>0</v>
      </c>
      <c r="H65" s="129">
        <f>+Actuals!E312</f>
        <v>0</v>
      </c>
      <c r="I65" s="130">
        <f>+Actuals!F312</f>
        <v>0</v>
      </c>
      <c r="J65" s="129">
        <f>+Actuals!G312</f>
        <v>0</v>
      </c>
      <c r="K65" s="130">
        <f>+Actuals!H312</f>
        <v>0</v>
      </c>
      <c r="L65" s="129">
        <f>+Actuals!I312</f>
        <v>0</v>
      </c>
      <c r="M65" s="130">
        <f>+Actuals!J312</f>
        <v>0</v>
      </c>
      <c r="N65" s="129">
        <f>+Actuals!K312</f>
        <v>0</v>
      </c>
      <c r="O65" s="130">
        <f>+Actuals!L312</f>
        <v>0</v>
      </c>
      <c r="P65" s="129">
        <f>+Actuals!M312</f>
        <v>0</v>
      </c>
      <c r="Q65" s="130">
        <f>+Actuals!N312</f>
        <v>0</v>
      </c>
      <c r="R65" s="129">
        <f>+Actuals!O312</f>
        <v>0</v>
      </c>
      <c r="S65" s="130">
        <f>+Actuals!P312</f>
        <v>0</v>
      </c>
      <c r="T65" s="129">
        <f>+Actuals!Q512</f>
        <v>0</v>
      </c>
      <c r="U65" s="130">
        <f>+Actuals!R512</f>
        <v>0</v>
      </c>
      <c r="V65" s="129">
        <f>+Actuals!S512</f>
        <v>0</v>
      </c>
      <c r="W65" s="130">
        <f>+Actuals!T512</f>
        <v>0</v>
      </c>
      <c r="X65" s="129">
        <f>+Actuals!U512</f>
        <v>0</v>
      </c>
      <c r="Y65" s="130">
        <f>+Actuals!V512</f>
        <v>0</v>
      </c>
      <c r="Z65" s="129">
        <f>+Actuals!W512</f>
        <v>0</v>
      </c>
      <c r="AA65" s="130">
        <f>+Actuals!X512</f>
        <v>0</v>
      </c>
      <c r="AB65" s="129">
        <f>+Actuals!Y312</f>
        <v>0</v>
      </c>
      <c r="AC65" s="130">
        <f>+Actuals!Z312</f>
        <v>0</v>
      </c>
      <c r="AD65" s="129">
        <f>+Actuals!AA312</f>
        <v>0</v>
      </c>
      <c r="AE65" s="130">
        <f>+Actuals!AB312</f>
        <v>0</v>
      </c>
    </row>
    <row r="66" spans="1:31" x14ac:dyDescent="0.25">
      <c r="A66" s="9"/>
      <c r="B66" s="7" t="s">
        <v>65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4213356.8099999996</v>
      </c>
      <c r="F70" s="64">
        <f>'TIE-OUT'!N70+RECLASS!N70</f>
        <v>0</v>
      </c>
      <c r="G70" s="68">
        <f>'TIE-OUT'!O70+RECLASS!O70</f>
        <v>4213356.8099999996</v>
      </c>
      <c r="H70" s="129">
        <f>+Actuals!E313</f>
        <v>0</v>
      </c>
      <c r="I70" s="130">
        <f>+Actuals!F313</f>
        <v>0</v>
      </c>
      <c r="J70" s="129">
        <f>+Actuals!G313</f>
        <v>0</v>
      </c>
      <c r="K70" s="130">
        <f>+Actuals!H313</f>
        <v>0</v>
      </c>
      <c r="L70" s="129">
        <f>+Actuals!I313</f>
        <v>0</v>
      </c>
      <c r="M70" s="130">
        <f>+Actuals!J313</f>
        <v>0</v>
      </c>
      <c r="N70" s="129">
        <f>+Actuals!K313</f>
        <v>0</v>
      </c>
      <c r="O70" s="130">
        <f>+Actuals!L313</f>
        <v>0</v>
      </c>
      <c r="P70" s="129">
        <f>+Actuals!M313</f>
        <v>0</v>
      </c>
      <c r="Q70" s="130">
        <f>+Actuals!N313</f>
        <v>0</v>
      </c>
      <c r="R70" s="129">
        <f>+Actuals!O313</f>
        <v>0</v>
      </c>
      <c r="S70" s="130">
        <f>+Actuals!P313</f>
        <v>0</v>
      </c>
      <c r="T70" s="129">
        <f>+Actuals!Q513</f>
        <v>0</v>
      </c>
      <c r="U70" s="130">
        <f>+Actuals!R513</f>
        <v>0</v>
      </c>
      <c r="V70" s="129">
        <f>+Actuals!S513</f>
        <v>0</v>
      </c>
      <c r="W70" s="130">
        <f>+Actuals!T513</f>
        <v>0</v>
      </c>
      <c r="X70" s="129">
        <f>+Actuals!U513</f>
        <v>0</v>
      </c>
      <c r="Y70" s="130">
        <f>+Actuals!V513</f>
        <v>0</v>
      </c>
      <c r="Z70" s="129">
        <f>+Actuals!W513</f>
        <v>0</v>
      </c>
      <c r="AA70" s="130">
        <f>+Actuals!X513</f>
        <v>0</v>
      </c>
      <c r="AB70" s="129">
        <f>+Actuals!Y313</f>
        <v>0</v>
      </c>
      <c r="AC70" s="130">
        <f>+Actuals!Z313</f>
        <v>0</v>
      </c>
      <c r="AD70" s="129">
        <f>+Actuals!AA313</f>
        <v>0</v>
      </c>
      <c r="AE70" s="130">
        <f>+Actuals!AB313</f>
        <v>0</v>
      </c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-2029682</v>
      </c>
      <c r="F71" s="81">
        <f>'TIE-OUT'!N71+RECLASS!N71</f>
        <v>0</v>
      </c>
      <c r="G71" s="82">
        <f>'TIE-OUT'!O71+RECLASS!O71</f>
        <v>-2029682</v>
      </c>
      <c r="H71" s="129">
        <f>+Actuals!E314</f>
        <v>0</v>
      </c>
      <c r="I71" s="130">
        <f>+Actuals!F314</f>
        <v>0</v>
      </c>
      <c r="J71" s="129">
        <f>+Actuals!G314</f>
        <v>0</v>
      </c>
      <c r="K71" s="130">
        <f>+Actuals!H314</f>
        <v>0</v>
      </c>
      <c r="L71" s="129">
        <f>+Actuals!I314</f>
        <v>0</v>
      </c>
      <c r="M71" s="130">
        <f>+Actuals!J314</f>
        <v>0</v>
      </c>
      <c r="N71" s="129">
        <f>+Actuals!K314</f>
        <v>0</v>
      </c>
      <c r="O71" s="130">
        <f>+Actuals!L314</f>
        <v>0</v>
      </c>
      <c r="P71" s="129">
        <f>+Actuals!M314</f>
        <v>0</v>
      </c>
      <c r="Q71" s="130">
        <f>+Actuals!N314</f>
        <v>0</v>
      </c>
      <c r="R71" s="129">
        <f>+Actuals!O314</f>
        <v>0</v>
      </c>
      <c r="S71" s="130">
        <f>+Actuals!P314</f>
        <v>0</v>
      </c>
      <c r="T71" s="129">
        <f>+Actuals!Q514</f>
        <v>0</v>
      </c>
      <c r="U71" s="130">
        <f>+Actuals!R514</f>
        <v>0</v>
      </c>
      <c r="V71" s="129">
        <f>+Actuals!S514</f>
        <v>0</v>
      </c>
      <c r="W71" s="130">
        <f>+Actuals!T514</f>
        <v>0</v>
      </c>
      <c r="X71" s="129">
        <f>+Actuals!U514</f>
        <v>0</v>
      </c>
      <c r="Y71" s="130">
        <f>+Actuals!V514</f>
        <v>0</v>
      </c>
      <c r="Z71" s="129">
        <f>+Actuals!W514</f>
        <v>0</v>
      </c>
      <c r="AA71" s="130">
        <f>+Actuals!X514</f>
        <v>0</v>
      </c>
      <c r="AB71" s="129">
        <f>+Actuals!Y314</f>
        <v>0</v>
      </c>
      <c r="AC71" s="130">
        <f>+Actuals!Z314</f>
        <v>0</v>
      </c>
      <c r="AD71" s="129">
        <f>+Actuals!AA314</f>
        <v>0</v>
      </c>
      <c r="AE71" s="130">
        <f>+Actuals!AB314</f>
        <v>0</v>
      </c>
    </row>
    <row r="72" spans="1:31" x14ac:dyDescent="0.25">
      <c r="A72" s="9"/>
      <c r="B72" s="3"/>
      <c r="C72" s="55" t="s">
        <v>70</v>
      </c>
      <c r="D72" s="61">
        <f t="shared" ref="D72:AE72" si="22">SUM(D70:D71)</f>
        <v>0</v>
      </c>
      <c r="E72" s="39">
        <f t="shared" si="22"/>
        <v>2183674.8099999996</v>
      </c>
      <c r="F72" s="61">
        <f t="shared" si="22"/>
        <v>0</v>
      </c>
      <c r="G72" s="39">
        <f t="shared" si="22"/>
        <v>2183674.8099999996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'TIE-OUT'!N73+RECLASS!N73</f>
        <v>0</v>
      </c>
      <c r="G73" s="60">
        <f>'TIE-OUT'!O73+RECLASS!O73</f>
        <v>0</v>
      </c>
      <c r="H73" s="129">
        <f>+Actuals!E315</f>
        <v>0</v>
      </c>
      <c r="I73" s="130">
        <f>+Actuals!F315</f>
        <v>0</v>
      </c>
      <c r="J73" s="129">
        <f>+Actuals!G315</f>
        <v>0</v>
      </c>
      <c r="K73" s="130">
        <f>+Actuals!H315</f>
        <v>0</v>
      </c>
      <c r="L73" s="129">
        <f>+Actuals!I315</f>
        <v>0</v>
      </c>
      <c r="M73" s="130">
        <f>+Actuals!J315</f>
        <v>0</v>
      </c>
      <c r="N73" s="129">
        <f>+Actuals!K315</f>
        <v>0</v>
      </c>
      <c r="O73" s="130">
        <f>+Actuals!L315</f>
        <v>0</v>
      </c>
      <c r="P73" s="129">
        <f>+Actuals!M315</f>
        <v>0</v>
      </c>
      <c r="Q73" s="130">
        <f>+Actuals!N315</f>
        <v>0</v>
      </c>
      <c r="R73" s="129">
        <f>+Actuals!O315</f>
        <v>0</v>
      </c>
      <c r="S73" s="130">
        <f>+Actuals!P315</f>
        <v>0</v>
      </c>
      <c r="T73" s="129">
        <f>+Actuals!Q515</f>
        <v>0</v>
      </c>
      <c r="U73" s="130">
        <f>+Actuals!R515</f>
        <v>0</v>
      </c>
      <c r="V73" s="129">
        <f>+Actuals!S515</f>
        <v>0</v>
      </c>
      <c r="W73" s="130">
        <f>+Actuals!T515</f>
        <v>0</v>
      </c>
      <c r="X73" s="129">
        <f>+Actuals!U515</f>
        <v>0</v>
      </c>
      <c r="Y73" s="130">
        <f>+Actuals!V515</f>
        <v>0</v>
      </c>
      <c r="Z73" s="129">
        <f>+Actuals!W515</f>
        <v>0</v>
      </c>
      <c r="AA73" s="130">
        <f>+Actuals!X515</f>
        <v>0</v>
      </c>
      <c r="AB73" s="129">
        <f>+Actuals!Y315</f>
        <v>0</v>
      </c>
      <c r="AC73" s="130">
        <f>+Actuals!Z315</f>
        <v>0</v>
      </c>
      <c r="AD73" s="129">
        <f>+Actuals!AA315</f>
        <v>0</v>
      </c>
      <c r="AE73" s="130">
        <f>+Actuals!AB315</f>
        <v>0</v>
      </c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-811482</v>
      </c>
      <c r="F74" s="60">
        <f>'TIE-OUT'!N74+RECLASS!N74</f>
        <v>0</v>
      </c>
      <c r="G74" s="60">
        <f>'TIE-OUT'!O74+RECLASS!O74</f>
        <v>-819542</v>
      </c>
      <c r="H74" s="129">
        <f>+Actuals!E316</f>
        <v>0</v>
      </c>
      <c r="I74" s="130">
        <f>+Actuals!F316</f>
        <v>0</v>
      </c>
      <c r="J74" s="129">
        <f>+Actuals!G316</f>
        <v>0</v>
      </c>
      <c r="K74" s="159">
        <v>8060</v>
      </c>
      <c r="L74" s="129">
        <f>+Actuals!I316</f>
        <v>0</v>
      </c>
      <c r="M74" s="130">
        <f>+Actuals!J316</f>
        <v>0</v>
      </c>
      <c r="N74" s="129">
        <f>+Actuals!K316</f>
        <v>0</v>
      </c>
      <c r="O74" s="130">
        <f>+Actuals!L316</f>
        <v>0</v>
      </c>
      <c r="P74" s="129">
        <f>+Actuals!M316</f>
        <v>0</v>
      </c>
      <c r="Q74" s="130">
        <f>+Actuals!N316</f>
        <v>0</v>
      </c>
      <c r="R74" s="129">
        <f>+Actuals!O316</f>
        <v>0</v>
      </c>
      <c r="S74" s="130">
        <f>+Actuals!P316</f>
        <v>0</v>
      </c>
      <c r="T74" s="129">
        <f>+Actuals!Q516</f>
        <v>0</v>
      </c>
      <c r="U74" s="130">
        <f>+Actuals!R516</f>
        <v>0</v>
      </c>
      <c r="V74" s="129">
        <f>+Actuals!S516</f>
        <v>0</v>
      </c>
      <c r="W74" s="130">
        <f>+Actuals!T516</f>
        <v>0</v>
      </c>
      <c r="X74" s="129">
        <f>+Actuals!U516</f>
        <v>0</v>
      </c>
      <c r="Y74" s="130">
        <f>+Actuals!V516</f>
        <v>0</v>
      </c>
      <c r="Z74" s="129">
        <f>+Actuals!W516</f>
        <v>0</v>
      </c>
      <c r="AA74" s="130">
        <f>+Actuals!X516</f>
        <v>0</v>
      </c>
      <c r="AB74" s="129">
        <f>+Actuals!Y316</f>
        <v>0</v>
      </c>
      <c r="AC74" s="130">
        <f>+Actuals!Z316</f>
        <v>0</v>
      </c>
      <c r="AD74" s="129">
        <f>+Actuals!AA316</f>
        <v>0</v>
      </c>
      <c r="AE74" s="130">
        <f>+Actuals!AB316</f>
        <v>0</v>
      </c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'TIE-OUT'!N75+RECLASS!N75</f>
        <v>0</v>
      </c>
      <c r="G75" s="60">
        <f>'TIE-OUT'!O75+RECLASS!O75</f>
        <v>0</v>
      </c>
      <c r="H75" s="129">
        <f>+Actuals!E317</f>
        <v>0</v>
      </c>
      <c r="I75" s="130">
        <f>+Actuals!F317</f>
        <v>0</v>
      </c>
      <c r="J75" s="129">
        <f>+Actuals!G317</f>
        <v>0</v>
      </c>
      <c r="K75" s="130">
        <f>+Actuals!H317</f>
        <v>0</v>
      </c>
      <c r="L75" s="129">
        <f>+Actuals!I317</f>
        <v>0</v>
      </c>
      <c r="M75" s="130">
        <f>+Actuals!J317</f>
        <v>0</v>
      </c>
      <c r="N75" s="129">
        <f>+Actuals!K317</f>
        <v>0</v>
      </c>
      <c r="O75" s="130">
        <f>+Actuals!L317</f>
        <v>0</v>
      </c>
      <c r="P75" s="129">
        <f>+Actuals!M317</f>
        <v>0</v>
      </c>
      <c r="Q75" s="130">
        <f>+Actuals!N317</f>
        <v>0</v>
      </c>
      <c r="R75" s="129">
        <f>+Actuals!O317</f>
        <v>0</v>
      </c>
      <c r="S75" s="130">
        <f>+Actuals!P317</f>
        <v>0</v>
      </c>
      <c r="T75" s="129">
        <f>+Actuals!Q517</f>
        <v>0</v>
      </c>
      <c r="U75" s="130">
        <f>+Actuals!R517</f>
        <v>0</v>
      </c>
      <c r="V75" s="129">
        <f>+Actuals!S517</f>
        <v>0</v>
      </c>
      <c r="W75" s="130">
        <f>+Actuals!T517</f>
        <v>0</v>
      </c>
      <c r="X75" s="129">
        <f>+Actuals!U517</f>
        <v>0</v>
      </c>
      <c r="Y75" s="130">
        <f>+Actuals!V517</f>
        <v>0</v>
      </c>
      <c r="Z75" s="129">
        <f>+Actuals!W517</f>
        <v>0</v>
      </c>
      <c r="AA75" s="130">
        <f>+Actuals!X517</f>
        <v>0</v>
      </c>
      <c r="AB75" s="129">
        <f>+Actuals!Y317</f>
        <v>0</v>
      </c>
      <c r="AC75" s="130">
        <f>+Actuals!Z317</f>
        <v>0</v>
      </c>
      <c r="AD75" s="129">
        <f>+Actuals!AA317</f>
        <v>0</v>
      </c>
      <c r="AE75" s="130">
        <f>+Actuals!AB317</f>
        <v>0</v>
      </c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-18863.54</v>
      </c>
      <c r="F76" s="60">
        <f>'TIE-OUT'!N76+RECLASS!N76</f>
        <v>0</v>
      </c>
      <c r="G76" s="60">
        <f>'TIE-OUT'!O76+RECLASS!O76</f>
        <v>0</v>
      </c>
      <c r="H76" s="129">
        <f>+Actuals!E318</f>
        <v>0</v>
      </c>
      <c r="I76" s="130">
        <f>+Actuals!F318</f>
        <v>0</v>
      </c>
      <c r="J76" s="129">
        <f>+Actuals!G318</f>
        <v>0</v>
      </c>
      <c r="K76" s="130">
        <f>+Actuals!H318</f>
        <v>-18863.54</v>
      </c>
      <c r="L76" s="129">
        <f>+Actuals!I318</f>
        <v>0</v>
      </c>
      <c r="M76" s="130">
        <f>+Actuals!J318</f>
        <v>0</v>
      </c>
      <c r="N76" s="129">
        <f>+Actuals!K318</f>
        <v>0</v>
      </c>
      <c r="O76" s="130">
        <f>+Actuals!L318</f>
        <v>0</v>
      </c>
      <c r="P76" s="129">
        <f>+Actuals!M318</f>
        <v>0</v>
      </c>
      <c r="Q76" s="130">
        <f>+Actuals!N318</f>
        <v>0</v>
      </c>
      <c r="R76" s="129">
        <f>+Actuals!O318</f>
        <v>0</v>
      </c>
      <c r="S76" s="130">
        <f>+Actuals!P318</f>
        <v>0</v>
      </c>
      <c r="T76" s="129">
        <f>+Actuals!Q518</f>
        <v>0</v>
      </c>
      <c r="U76" s="130">
        <f>+Actuals!R518</f>
        <v>0</v>
      </c>
      <c r="V76" s="129">
        <f>+Actuals!S518</f>
        <v>0</v>
      </c>
      <c r="W76" s="130">
        <f>+Actuals!T518</f>
        <v>0</v>
      </c>
      <c r="X76" s="129">
        <f>+Actuals!U518</f>
        <v>0</v>
      </c>
      <c r="Y76" s="130">
        <f>+Actuals!V518</f>
        <v>0</v>
      </c>
      <c r="Z76" s="129">
        <f>+Actuals!W518</f>
        <v>0</v>
      </c>
      <c r="AA76" s="130">
        <f>+Actuals!X518</f>
        <v>0</v>
      </c>
      <c r="AB76" s="129">
        <f>+Actuals!Y318</f>
        <v>0</v>
      </c>
      <c r="AC76" s="130">
        <f>+Actuals!Z318</f>
        <v>0</v>
      </c>
      <c r="AD76" s="129">
        <f>+Actuals!AA318</f>
        <v>0</v>
      </c>
      <c r="AE76" s="130">
        <f>+Actuals!AB318</f>
        <v>0</v>
      </c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'TIE-OUT'!N77+RECLASS!N77</f>
        <v>0</v>
      </c>
      <c r="G77" s="60">
        <f>'TIE-OUT'!O77+RECLASS!O77</f>
        <v>0</v>
      </c>
      <c r="H77" s="129">
        <f>+Actuals!E319</f>
        <v>0</v>
      </c>
      <c r="I77" s="130">
        <f>+Actuals!F319</f>
        <v>0</v>
      </c>
      <c r="J77" s="129">
        <f>+Actuals!G319</f>
        <v>0</v>
      </c>
      <c r="K77" s="130">
        <f>+Actuals!H319</f>
        <v>0</v>
      </c>
      <c r="L77" s="129">
        <f>+Actuals!I319</f>
        <v>0</v>
      </c>
      <c r="M77" s="130">
        <f>+Actuals!J319</f>
        <v>0</v>
      </c>
      <c r="N77" s="129">
        <f>+Actuals!K319</f>
        <v>0</v>
      </c>
      <c r="O77" s="130">
        <f>+Actuals!L319</f>
        <v>0</v>
      </c>
      <c r="P77" s="129">
        <f>+Actuals!M319</f>
        <v>0</v>
      </c>
      <c r="Q77" s="130">
        <f>+Actuals!N319</f>
        <v>0</v>
      </c>
      <c r="R77" s="129">
        <f>+Actuals!O319</f>
        <v>0</v>
      </c>
      <c r="S77" s="130">
        <f>+Actuals!P319</f>
        <v>0</v>
      </c>
      <c r="T77" s="129">
        <f>+Actuals!Q519</f>
        <v>0</v>
      </c>
      <c r="U77" s="130">
        <f>+Actuals!R519</f>
        <v>0</v>
      </c>
      <c r="V77" s="129">
        <f>+Actuals!S519</f>
        <v>0</v>
      </c>
      <c r="W77" s="130">
        <f>+Actuals!T519</f>
        <v>0</v>
      </c>
      <c r="X77" s="129">
        <f>+Actuals!U519</f>
        <v>0</v>
      </c>
      <c r="Y77" s="130">
        <f>+Actuals!V519</f>
        <v>0</v>
      </c>
      <c r="Z77" s="129">
        <f>+Actuals!W519</f>
        <v>0</v>
      </c>
      <c r="AA77" s="130">
        <f>+Actuals!X519</f>
        <v>0</v>
      </c>
      <c r="AB77" s="129">
        <f>+Actuals!Y319</f>
        <v>0</v>
      </c>
      <c r="AC77" s="130">
        <f>+Actuals!Z319</f>
        <v>0</v>
      </c>
      <c r="AD77" s="129">
        <f>+Actuals!AA319</f>
        <v>0</v>
      </c>
      <c r="AE77" s="130">
        <f>+Actuals!AB319</f>
        <v>0</v>
      </c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'TIE-OUT'!N78+RECLASS!N78</f>
        <v>0</v>
      </c>
      <c r="G78" s="60">
        <f>'TIE-OUT'!O78+RECLASS!O78</f>
        <v>0</v>
      </c>
      <c r="H78" s="129">
        <f>+Actuals!E320</f>
        <v>0</v>
      </c>
      <c r="I78" s="130">
        <f>+Actuals!F320</f>
        <v>0</v>
      </c>
      <c r="J78" s="129">
        <f>+Actuals!G320</f>
        <v>0</v>
      </c>
      <c r="K78" s="130">
        <f>+Actuals!H320</f>
        <v>0</v>
      </c>
      <c r="L78" s="129">
        <f>+Actuals!I320</f>
        <v>0</v>
      </c>
      <c r="M78" s="130">
        <f>+Actuals!J320</f>
        <v>0</v>
      </c>
      <c r="N78" s="129">
        <f>+Actuals!K320</f>
        <v>0</v>
      </c>
      <c r="O78" s="130">
        <f>+Actuals!L320</f>
        <v>0</v>
      </c>
      <c r="P78" s="129">
        <f>+Actuals!M320</f>
        <v>0</v>
      </c>
      <c r="Q78" s="130">
        <f>+Actuals!N320</f>
        <v>0</v>
      </c>
      <c r="R78" s="129">
        <f>+Actuals!O320</f>
        <v>0</v>
      </c>
      <c r="S78" s="130">
        <f>+Actuals!P320</f>
        <v>0</v>
      </c>
      <c r="T78" s="129">
        <f>+Actuals!Q520</f>
        <v>0</v>
      </c>
      <c r="U78" s="130">
        <f>+Actuals!R520</f>
        <v>0</v>
      </c>
      <c r="V78" s="129">
        <f>+Actuals!S520</f>
        <v>0</v>
      </c>
      <c r="W78" s="130">
        <f>+Actuals!T520</f>
        <v>0</v>
      </c>
      <c r="X78" s="129">
        <f>+Actuals!U520</f>
        <v>0</v>
      </c>
      <c r="Y78" s="130">
        <f>+Actuals!V520</f>
        <v>0</v>
      </c>
      <c r="Z78" s="129">
        <f>+Actuals!W520</f>
        <v>0</v>
      </c>
      <c r="AA78" s="130">
        <f>+Actuals!X520</f>
        <v>0</v>
      </c>
      <c r="AB78" s="129">
        <f>+Actuals!Y320</f>
        <v>0</v>
      </c>
      <c r="AC78" s="130">
        <f>+Actuals!Z320</f>
        <v>0</v>
      </c>
      <c r="AD78" s="129">
        <f>+Actuals!AA320</f>
        <v>0</v>
      </c>
      <c r="AE78" s="130">
        <f>+Actuals!AB320</f>
        <v>0</v>
      </c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'TIE-OUT'!N79+RECLASS!N79</f>
        <v>0</v>
      </c>
      <c r="G79" s="60">
        <f>'TIE-OUT'!O79+RECLASS!O79</f>
        <v>0</v>
      </c>
      <c r="H79" s="129">
        <f>+Actuals!E321</f>
        <v>0</v>
      </c>
      <c r="I79" s="130">
        <f>+Actuals!F321</f>
        <v>0</v>
      </c>
      <c r="J79" s="129">
        <f>+Actuals!G321</f>
        <v>0</v>
      </c>
      <c r="K79" s="130">
        <f>+Actuals!H321</f>
        <v>0</v>
      </c>
      <c r="L79" s="129">
        <f>+Actuals!I321</f>
        <v>0</v>
      </c>
      <c r="M79" s="130">
        <f>+Actuals!J321</f>
        <v>0</v>
      </c>
      <c r="N79" s="129">
        <f>+Actuals!K321</f>
        <v>0</v>
      </c>
      <c r="O79" s="130">
        <f>+Actuals!L321</f>
        <v>0</v>
      </c>
      <c r="P79" s="129">
        <f>+Actuals!M321</f>
        <v>0</v>
      </c>
      <c r="Q79" s="130">
        <f>+Actuals!N321</f>
        <v>0</v>
      </c>
      <c r="R79" s="129">
        <f>+Actuals!O321</f>
        <v>0</v>
      </c>
      <c r="S79" s="130">
        <f>+Actuals!P321</f>
        <v>0</v>
      </c>
      <c r="T79" s="129">
        <f>+Actuals!Q521</f>
        <v>0</v>
      </c>
      <c r="U79" s="130">
        <f>+Actuals!R521</f>
        <v>0</v>
      </c>
      <c r="V79" s="129">
        <f>+Actuals!S521</f>
        <v>0</v>
      </c>
      <c r="W79" s="130">
        <f>+Actuals!T521</f>
        <v>0</v>
      </c>
      <c r="X79" s="129">
        <f>+Actuals!U521</f>
        <v>0</v>
      </c>
      <c r="Y79" s="130">
        <f>+Actuals!V521</f>
        <v>0</v>
      </c>
      <c r="Z79" s="129">
        <f>+Actuals!W521</f>
        <v>0</v>
      </c>
      <c r="AA79" s="130">
        <f>+Actuals!X521</f>
        <v>0</v>
      </c>
      <c r="AB79" s="129">
        <f>+Actuals!Y321</f>
        <v>0</v>
      </c>
      <c r="AC79" s="130">
        <f>+Actuals!Z321</f>
        <v>0</v>
      </c>
      <c r="AD79" s="129">
        <f>+Actuals!AA321</f>
        <v>0</v>
      </c>
      <c r="AE79" s="130">
        <f>+Actuals!AB321</f>
        <v>0</v>
      </c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'TIE-OUT'!N80+RECLASS!N80</f>
        <v>0</v>
      </c>
      <c r="G80" s="60">
        <f>'TIE-OUT'!O80+RECLASS!O80</f>
        <v>0</v>
      </c>
      <c r="H80" s="129">
        <f>+Actuals!E322</f>
        <v>0</v>
      </c>
      <c r="I80" s="130">
        <f>+Actuals!F322</f>
        <v>0</v>
      </c>
      <c r="J80" s="129">
        <f>+Actuals!G322</f>
        <v>0</v>
      </c>
      <c r="K80" s="130">
        <f>+Actuals!H322</f>
        <v>0</v>
      </c>
      <c r="L80" s="129">
        <f>+Actuals!I322</f>
        <v>0</v>
      </c>
      <c r="M80" s="130">
        <f>+Actuals!J322</f>
        <v>0</v>
      </c>
      <c r="N80" s="129">
        <f>+Actuals!K322</f>
        <v>0</v>
      </c>
      <c r="O80" s="130">
        <f>+Actuals!L322</f>
        <v>0</v>
      </c>
      <c r="P80" s="129">
        <f>+Actuals!M322</f>
        <v>0</v>
      </c>
      <c r="Q80" s="130">
        <f>+Actuals!N322</f>
        <v>0</v>
      </c>
      <c r="R80" s="129">
        <f>+Actuals!O322</f>
        <v>0</v>
      </c>
      <c r="S80" s="130">
        <f>+Actuals!P322</f>
        <v>0</v>
      </c>
      <c r="T80" s="129">
        <f>+Actuals!Q522</f>
        <v>0</v>
      </c>
      <c r="U80" s="130">
        <f>+Actuals!R522</f>
        <v>0</v>
      </c>
      <c r="V80" s="129">
        <f>+Actuals!S522</f>
        <v>0</v>
      </c>
      <c r="W80" s="130">
        <f>+Actuals!T522</f>
        <v>0</v>
      </c>
      <c r="X80" s="129">
        <f>+Actuals!U522</f>
        <v>0</v>
      </c>
      <c r="Y80" s="130">
        <f>+Actuals!V522</f>
        <v>0</v>
      </c>
      <c r="Z80" s="129">
        <f>+Actuals!W522</f>
        <v>0</v>
      </c>
      <c r="AA80" s="130">
        <f>+Actuals!X522</f>
        <v>0</v>
      </c>
      <c r="AB80" s="129">
        <f>+Actuals!Y322</f>
        <v>0</v>
      </c>
      <c r="AC80" s="130">
        <f>+Actuals!Z322</f>
        <v>0</v>
      </c>
      <c r="AD80" s="129">
        <f>+Actuals!AA322</f>
        <v>0</v>
      </c>
      <c r="AE80" s="130">
        <f>+Actuals!AB322</f>
        <v>0</v>
      </c>
    </row>
    <row r="81" spans="1:31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56433.84</v>
      </c>
      <c r="F81" s="60">
        <f>'TIE-OUT'!N81+RECLASS!N81</f>
        <v>0</v>
      </c>
      <c r="G81" s="60">
        <f>'TIE-OUT'!O81+RECLASS!O81</f>
        <v>0</v>
      </c>
      <c r="H81" s="129">
        <f>+Actuals!E323</f>
        <v>0</v>
      </c>
      <c r="I81" s="130">
        <f>+Actuals!F323</f>
        <v>61425.84</v>
      </c>
      <c r="J81" s="129">
        <f>+Actuals!G323</f>
        <v>0</v>
      </c>
      <c r="K81" s="130">
        <f>+Actuals!H323</f>
        <v>-4992</v>
      </c>
      <c r="L81" s="129">
        <f>+Actuals!I323</f>
        <v>0</v>
      </c>
      <c r="M81" s="130">
        <f>+Actuals!J323</f>
        <v>0</v>
      </c>
      <c r="N81" s="129">
        <f>+Actuals!K323</f>
        <v>0</v>
      </c>
      <c r="O81" s="130">
        <f>+Actuals!L323</f>
        <v>0</v>
      </c>
      <c r="P81" s="129">
        <f>+Actuals!M323</f>
        <v>0</v>
      </c>
      <c r="Q81" s="130">
        <f>+Actuals!N323</f>
        <v>0</v>
      </c>
      <c r="R81" s="129">
        <f>+Actuals!O323</f>
        <v>0</v>
      </c>
      <c r="S81" s="130">
        <f>+Actuals!P323</f>
        <v>0</v>
      </c>
      <c r="T81" s="129">
        <f>+Actuals!Q523</f>
        <v>0</v>
      </c>
      <c r="U81" s="130">
        <f>+Actuals!R523</f>
        <v>0</v>
      </c>
      <c r="V81" s="129">
        <f>+Actuals!S523</f>
        <v>0</v>
      </c>
      <c r="W81" s="130">
        <f>+Actuals!T523</f>
        <v>0</v>
      </c>
      <c r="X81" s="129">
        <f>+Actuals!U523</f>
        <v>0</v>
      </c>
      <c r="Y81" s="130">
        <f>+Actuals!V523</f>
        <v>0</v>
      </c>
      <c r="Z81" s="129">
        <f>+Actuals!W523</f>
        <v>0</v>
      </c>
      <c r="AA81" s="130">
        <f>+Actuals!X523</f>
        <v>0</v>
      </c>
      <c r="AB81" s="129">
        <f>+Actuals!Y323</f>
        <v>0</v>
      </c>
      <c r="AC81" s="130">
        <f>+Actuals!Z323</f>
        <v>0</v>
      </c>
      <c r="AD81" s="129">
        <f>+Actuals!AA323</f>
        <v>0</v>
      </c>
      <c r="AE81" s="130">
        <f>+Actuals!AB323</f>
        <v>0</v>
      </c>
    </row>
    <row r="82" spans="1:3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147741.17299999204</v>
      </c>
      <c r="F82" s="92">
        <f>F16+F24+F29+F36+F43+F45+F47+F49</f>
        <v>0</v>
      </c>
      <c r="G82" s="93">
        <f>SUM(G72:G81)+G16+G24+G29+G36+G43+G45+G47+G49+G51+G56+G61+G66</f>
        <v>2358130.4899999993</v>
      </c>
      <c r="H82" s="92">
        <f>H16+H24+H29+H36+H43+H45+H47+H49</f>
        <v>0</v>
      </c>
      <c r="I82" s="93">
        <f>SUM(I72:I81)+I16+I24+I29+I36+I43+I45+I47+I49+I51+I56+I61+I66</f>
        <v>-807567.48399999691</v>
      </c>
      <c r="J82" s="92">
        <f>J16+J24+J29+J36+J43+J45+J47+J49</f>
        <v>0</v>
      </c>
      <c r="K82" s="160">
        <f>SUM(K72:K81)+K16+K24+K29+K36+K43+K45+K47+K49+K51+K56+K61+K66</f>
        <v>-849347.7999999997</v>
      </c>
      <c r="L82" s="92">
        <f>L16+L24+L29+L36+L43+L45+L47+L49</f>
        <v>0</v>
      </c>
      <c r="M82" s="93">
        <f>SUM(M72:M81)+M16+M24+M29+M36+M43+M45+M47+M49+M51+M56+M61+M66</f>
        <v>-563792.01</v>
      </c>
      <c r="N82" s="92">
        <f>N16+N24+N29+N36+N43+N45+N47+N49</f>
        <v>0</v>
      </c>
      <c r="O82" s="93">
        <f>SUM(O72:O81)+O16+O24+O29+O36+O43+O45+O47+O49+O51+O56+O61+O66</f>
        <v>363068.92699999979</v>
      </c>
      <c r="P82" s="92">
        <f>P16+P24+P29+P36+P43+P45+P47+P49</f>
        <v>0</v>
      </c>
      <c r="Q82" s="93">
        <f>SUM(Q72:Q81)+Q16+Q24+Q29+Q36+Q43+Q45+Q47+Q49+Q51+Q56+Q61+Q66</f>
        <v>-931477</v>
      </c>
      <c r="R82" s="92">
        <f>R16+R24+R29+R36+R43+R45+R47+R49</f>
        <v>0</v>
      </c>
      <c r="S82" s="93">
        <f>SUM(S72:S81)+S16+S24+S29+S36+S43+S45+S47+S49+S51+S56+S61+S66</f>
        <v>122360.29999999981</v>
      </c>
      <c r="T82" s="92">
        <f>T16+T24+T29+T36+T43+T45+T47+T49</f>
        <v>0</v>
      </c>
      <c r="U82" s="93">
        <f>SUM(U72:U81)+U16+U24+U29+U36+U43+U45+U47+U49+U51+U56+U61+U66</f>
        <v>-122360.29999999981</v>
      </c>
      <c r="V82" s="92">
        <f>V16+V24+V29+V36+V43+V45+V47+V49</f>
        <v>0</v>
      </c>
      <c r="W82" s="93">
        <f>SUM(W72:W81)+W16+W24+W29+W36+W43+W45+W47+W49+W51+W56+W61+W66</f>
        <v>-5796.25</v>
      </c>
      <c r="X82" s="92">
        <f>X16+X24+X29+X36+X43+X45+X47+X49</f>
        <v>0</v>
      </c>
      <c r="Y82" s="93">
        <f>SUM(Y72:Y81)+Y16+Y24+Y29+Y36+Y43+Y45+Y47+Y49+Y51+Y56+Y61+Y66</f>
        <v>584522.29999999981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Q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5" customWidth="1"/>
    <col min="12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169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9281040</v>
      </c>
      <c r="E11" s="38">
        <f>SUM(G11,I11,K11,M11,O11,Q11,S11,U11,W11,Y11,AA11,AC11,AE11)</f>
        <v>21434744.010000002</v>
      </c>
      <c r="F11" s="60">
        <f>'TIE-OUT'!Z11+RECLASS!Z11</f>
        <v>0</v>
      </c>
      <c r="G11" s="38">
        <f>'TIE-OUT'!AA11+RECLASS!AA11</f>
        <v>-13967720</v>
      </c>
      <c r="H11" s="132">
        <f>25456128-16101572</f>
        <v>9354556</v>
      </c>
      <c r="I11" s="133">
        <f>66720111-41121828</f>
        <v>25598283</v>
      </c>
      <c r="J11" s="132">
        <f>-162-96837</f>
        <v>-96999</v>
      </c>
      <c r="K11" s="149">
        <f>-409+10452779</f>
        <v>10452370</v>
      </c>
      <c r="L11" s="132">
        <v>15110</v>
      </c>
      <c r="M11" s="133">
        <v>-348950</v>
      </c>
      <c r="N11" s="132">
        <v>-133</v>
      </c>
      <c r="O11" s="133">
        <v>-403</v>
      </c>
      <c r="P11" s="132">
        <v>10252</v>
      </c>
      <c r="Q11" s="133">
        <v>-294563</v>
      </c>
      <c r="R11" s="132">
        <f>+Actuals!O84</f>
        <v>0</v>
      </c>
      <c r="S11" s="133">
        <f>+Actuals!P84</f>
        <v>0</v>
      </c>
      <c r="T11" s="129">
        <f>+Actuals!Q124</f>
        <v>-1746</v>
      </c>
      <c r="U11" s="130">
        <f>+Actuals!R124</f>
        <v>-4272.99</v>
      </c>
      <c r="V11" s="132">
        <f>+Actuals!S124</f>
        <v>0</v>
      </c>
      <c r="W11" s="133">
        <f>+Actuals!T124</f>
        <v>0</v>
      </c>
      <c r="X11" s="132">
        <f>+Actuals!U124</f>
        <v>0</v>
      </c>
      <c r="Y11" s="133">
        <f>+Actuals!V124</f>
        <v>0</v>
      </c>
      <c r="Z11" s="132">
        <f>+Actuals!W124</f>
        <v>0</v>
      </c>
      <c r="AA11" s="133">
        <f>+Actuals!X124</f>
        <v>0</v>
      </c>
      <c r="AB11" s="132">
        <f>+Actuals!Y84</f>
        <v>0</v>
      </c>
      <c r="AC11" s="133">
        <f>+Actuals!Z84</f>
        <v>0</v>
      </c>
      <c r="AD11" s="132">
        <f>+Actuals!AA84</f>
        <v>0</v>
      </c>
      <c r="AE11" s="133">
        <f>+Actuals!AB84</f>
        <v>0</v>
      </c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-0.2000000000007276</v>
      </c>
      <c r="F12" s="60">
        <f>'TIE-OUT'!Z12+RECLASS!Z12</f>
        <v>0</v>
      </c>
      <c r="G12" s="38">
        <f>'TIE-OUT'!AA12+RECLASS!AA12</f>
        <v>0</v>
      </c>
      <c r="H12" s="132">
        <f>+Actuals!E85</f>
        <v>0</v>
      </c>
      <c r="I12" s="133">
        <f>+Actuals!F85</f>
        <v>0</v>
      </c>
      <c r="J12" s="132">
        <f>+Actuals!G85</f>
        <v>0</v>
      </c>
      <c r="K12" s="149">
        <f>+Actuals!H85</f>
        <v>0</v>
      </c>
      <c r="L12" s="132">
        <f>+Actuals!I85</f>
        <v>0</v>
      </c>
      <c r="M12" s="159">
        <v>16908.8</v>
      </c>
      <c r="N12" s="132">
        <f>+Actuals!K85</f>
        <v>0</v>
      </c>
      <c r="O12" s="133">
        <f>+Actuals!L85</f>
        <v>0</v>
      </c>
      <c r="P12" s="132">
        <f>+Actuals!M85</f>
        <v>0</v>
      </c>
      <c r="Q12" s="133">
        <v>-16909</v>
      </c>
      <c r="R12" s="132">
        <f>+Actuals!O85</f>
        <v>0</v>
      </c>
      <c r="S12" s="133">
        <f>+Actuals!P85</f>
        <v>0</v>
      </c>
      <c r="T12" s="129">
        <f>+Actuals!Q125</f>
        <v>0</v>
      </c>
      <c r="U12" s="130">
        <f>+Actuals!R125</f>
        <v>0</v>
      </c>
      <c r="V12" s="132">
        <f>+Actuals!S125</f>
        <v>0</v>
      </c>
      <c r="W12" s="133">
        <f>+Actuals!T125</f>
        <v>0</v>
      </c>
      <c r="X12" s="132">
        <f>+Actuals!U125</f>
        <v>0</v>
      </c>
      <c r="Y12" s="133">
        <f>+Actuals!V125</f>
        <v>0</v>
      </c>
      <c r="Z12" s="132">
        <f>+Actuals!W125</f>
        <v>0</v>
      </c>
      <c r="AA12" s="133">
        <f>+Actuals!X125</f>
        <v>0</v>
      </c>
      <c r="AB12" s="132">
        <f>+Actuals!Y85</f>
        <v>0</v>
      </c>
      <c r="AC12" s="133">
        <f>+Actuals!Z85</f>
        <v>0</v>
      </c>
      <c r="AD12" s="132">
        <f>+Actuals!AA85</f>
        <v>0</v>
      </c>
      <c r="AE12" s="133">
        <f>+Actuals!AB85</f>
        <v>0</v>
      </c>
    </row>
    <row r="13" spans="1:31" x14ac:dyDescent="0.25">
      <c r="A13" s="9">
        <v>3</v>
      </c>
      <c r="B13" s="7"/>
      <c r="C13" s="18" t="s">
        <v>28</v>
      </c>
      <c r="D13" s="60">
        <f t="shared" si="0"/>
        <v>16101572</v>
      </c>
      <c r="E13" s="38">
        <f t="shared" si="0"/>
        <v>41121828</v>
      </c>
      <c r="F13" s="60">
        <f>'TIE-OUT'!Z13+RECLASS!Z13</f>
        <v>0</v>
      </c>
      <c r="G13" s="38">
        <f>'TIE-OUT'!AA13+RECLASS!AA13</f>
        <v>0</v>
      </c>
      <c r="H13" s="132">
        <v>16101572</v>
      </c>
      <c r="I13" s="133">
        <v>41121828</v>
      </c>
      <c r="J13" s="132">
        <v>14943</v>
      </c>
      <c r="K13" s="149">
        <v>35671</v>
      </c>
      <c r="L13" s="132">
        <f>+Actuals!I86</f>
        <v>0</v>
      </c>
      <c r="M13" s="133">
        <f>+Actuals!J86</f>
        <v>0</v>
      </c>
      <c r="N13" s="132">
        <v>1938640</v>
      </c>
      <c r="O13" s="133">
        <v>4676504</v>
      </c>
      <c r="P13" s="132">
        <v>1938640</v>
      </c>
      <c r="Q13" s="133">
        <v>4676504</v>
      </c>
      <c r="R13" s="132">
        <v>-3892223</v>
      </c>
      <c r="S13" s="133">
        <v>-9388679</v>
      </c>
      <c r="T13" s="129">
        <f>+Actuals!Q126</f>
        <v>3892223</v>
      </c>
      <c r="U13" s="130">
        <f>+Actuals!R126</f>
        <v>9388679</v>
      </c>
      <c r="V13" s="132">
        <f>+Actuals!S126</f>
        <v>0</v>
      </c>
      <c r="W13" s="133">
        <f>+Actuals!T126</f>
        <v>0</v>
      </c>
      <c r="X13" s="132">
        <f>+Actuals!U126</f>
        <v>-3892223</v>
      </c>
      <c r="Y13" s="133">
        <f>+Actuals!V126</f>
        <v>-9388679</v>
      </c>
      <c r="Z13" s="132">
        <f>+Actuals!W126</f>
        <v>0</v>
      </c>
      <c r="AA13" s="133">
        <f>+Actuals!X126</f>
        <v>0</v>
      </c>
      <c r="AB13" s="132">
        <f>+Actuals!Y86</f>
        <v>0</v>
      </c>
      <c r="AC13" s="133">
        <f>+Actuals!Z86</f>
        <v>0</v>
      </c>
      <c r="AD13" s="132">
        <f>+Actuals!AA86</f>
        <v>0</v>
      </c>
      <c r="AE13" s="133">
        <f>+Actuals!AB86</f>
        <v>0</v>
      </c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'TIE-OUT'!Z14+RECLASS!Z14</f>
        <v>0</v>
      </c>
      <c r="G14" s="38">
        <f>'TIE-OUT'!AA14+RECLASS!AA14</f>
        <v>0</v>
      </c>
      <c r="H14" s="132">
        <f>+Actuals!E87</f>
        <v>0</v>
      </c>
      <c r="I14" s="133">
        <f>+Actuals!F87</f>
        <v>0</v>
      </c>
      <c r="J14" s="132">
        <f>+Actuals!G87</f>
        <v>0</v>
      </c>
      <c r="K14" s="149">
        <f>+Actuals!H87</f>
        <v>0</v>
      </c>
      <c r="L14" s="132">
        <f>+Actuals!I87</f>
        <v>0</v>
      </c>
      <c r="M14" s="133">
        <f>+Actuals!J87</f>
        <v>0</v>
      </c>
      <c r="N14" s="132">
        <f>+Actuals!K87</f>
        <v>0</v>
      </c>
      <c r="O14" s="133">
        <f>+Actuals!L87</f>
        <v>0</v>
      </c>
      <c r="P14" s="132">
        <f>+Actuals!M87</f>
        <v>0</v>
      </c>
      <c r="Q14" s="133">
        <f>+Actuals!N87</f>
        <v>0</v>
      </c>
      <c r="R14" s="132">
        <f>+Actuals!O87</f>
        <v>0</v>
      </c>
      <c r="S14" s="133">
        <f>+Actuals!P87</f>
        <v>0</v>
      </c>
      <c r="T14" s="129">
        <f>+Actuals!Q127</f>
        <v>0</v>
      </c>
      <c r="U14" s="130">
        <f>+Actuals!R127</f>
        <v>0</v>
      </c>
      <c r="V14" s="132">
        <f>+Actuals!S127</f>
        <v>0</v>
      </c>
      <c r="W14" s="133">
        <f>+Actuals!T127</f>
        <v>0</v>
      </c>
      <c r="X14" s="132">
        <f>+Actuals!U127</f>
        <v>0</v>
      </c>
      <c r="Y14" s="133">
        <f>+Actuals!V127</f>
        <v>0</v>
      </c>
      <c r="Z14" s="132">
        <f>+Actuals!W127</f>
        <v>0</v>
      </c>
      <c r="AA14" s="133">
        <f>+Actuals!X127</f>
        <v>0</v>
      </c>
      <c r="AB14" s="132">
        <f>+Actuals!Y87</f>
        <v>0</v>
      </c>
      <c r="AC14" s="133">
        <f>+Actuals!Z87</f>
        <v>0</v>
      </c>
      <c r="AD14" s="132">
        <f>+Actuals!AA87</f>
        <v>0</v>
      </c>
      <c r="AE14" s="133">
        <f>+Actuals!AB87</f>
        <v>0</v>
      </c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10337771</v>
      </c>
      <c r="F15" s="81">
        <f>'TIE-OUT'!Z15+RECLASS!Z15</f>
        <v>0</v>
      </c>
      <c r="G15" s="82">
        <f>'TIE-OUT'!AA15+RECLASS!AA15</f>
        <v>10337748</v>
      </c>
      <c r="H15" s="132">
        <f>+Actuals!E88</f>
        <v>0</v>
      </c>
      <c r="I15" s="133">
        <v>0</v>
      </c>
      <c r="J15" s="132">
        <f>+Actuals!G88</f>
        <v>0</v>
      </c>
      <c r="K15" s="149">
        <v>0</v>
      </c>
      <c r="L15" s="132">
        <f>+Actuals!I88</f>
        <v>0</v>
      </c>
      <c r="M15" s="133">
        <f>+Actuals!J88</f>
        <v>0</v>
      </c>
      <c r="N15" s="132">
        <f>+Actuals!K88</f>
        <v>0</v>
      </c>
      <c r="O15" s="133">
        <f>+Actuals!L88</f>
        <v>0</v>
      </c>
      <c r="P15" s="132">
        <f>+Actuals!M88</f>
        <v>0</v>
      </c>
      <c r="Q15" s="133">
        <f>+Actuals!N88</f>
        <v>0</v>
      </c>
      <c r="R15" s="132">
        <f>+Actuals!O88</f>
        <v>0</v>
      </c>
      <c r="S15" s="133">
        <f>+Actuals!P88</f>
        <v>0</v>
      </c>
      <c r="T15" s="129">
        <f>+Actuals!Q128</f>
        <v>0</v>
      </c>
      <c r="U15" s="131">
        <f>+Actuals!R128</f>
        <v>0</v>
      </c>
      <c r="V15" s="132">
        <f>+Actuals!S128</f>
        <v>0</v>
      </c>
      <c r="W15" s="133">
        <f>+Actuals!T128</f>
        <v>23</v>
      </c>
      <c r="X15" s="132">
        <f>+Actuals!U128</f>
        <v>0</v>
      </c>
      <c r="Y15" s="133">
        <f>+Actuals!V128</f>
        <v>0</v>
      </c>
      <c r="Z15" s="132">
        <f>+Actuals!W128</f>
        <v>0</v>
      </c>
      <c r="AA15" s="133">
        <f>+Actuals!X128</f>
        <v>0</v>
      </c>
      <c r="AB15" s="132">
        <f>+Actuals!Y88</f>
        <v>0</v>
      </c>
      <c r="AC15" s="133">
        <f>+Actuals!Z88</f>
        <v>0</v>
      </c>
      <c r="AD15" s="132">
        <f>+Actuals!AA88</f>
        <v>0</v>
      </c>
      <c r="AE15" s="133">
        <f>+Actuals!AB88</f>
        <v>0</v>
      </c>
    </row>
    <row r="16" spans="1:31" x14ac:dyDescent="0.25">
      <c r="A16" s="9"/>
      <c r="B16" s="7" t="s">
        <v>31</v>
      </c>
      <c r="C16" s="6"/>
      <c r="D16" s="61">
        <f t="shared" ref="D16:AE16" si="1">SUM(D11:D15)</f>
        <v>25382612</v>
      </c>
      <c r="E16" s="39">
        <f t="shared" si="1"/>
        <v>72894342.810000002</v>
      </c>
      <c r="F16" s="61">
        <f t="shared" si="1"/>
        <v>0</v>
      </c>
      <c r="G16" s="39">
        <f t="shared" si="1"/>
        <v>-3629972</v>
      </c>
      <c r="H16" s="61">
        <f t="shared" si="1"/>
        <v>25456128</v>
      </c>
      <c r="I16" s="39">
        <f t="shared" si="1"/>
        <v>66720111</v>
      </c>
      <c r="J16" s="61">
        <f t="shared" si="1"/>
        <v>-82056</v>
      </c>
      <c r="K16" s="150">
        <f t="shared" si="1"/>
        <v>10488041</v>
      </c>
      <c r="L16" s="61">
        <f t="shared" si="1"/>
        <v>15110</v>
      </c>
      <c r="M16" s="39">
        <f t="shared" si="1"/>
        <v>-332041.2</v>
      </c>
      <c r="N16" s="61">
        <f t="shared" si="1"/>
        <v>1938507</v>
      </c>
      <c r="O16" s="39">
        <f t="shared" si="1"/>
        <v>4676101</v>
      </c>
      <c r="P16" s="61">
        <f t="shared" si="1"/>
        <v>1948892</v>
      </c>
      <c r="Q16" s="39">
        <f t="shared" si="1"/>
        <v>4365032</v>
      </c>
      <c r="R16" s="61">
        <f t="shared" si="1"/>
        <v>-3892223</v>
      </c>
      <c r="S16" s="39">
        <f t="shared" si="1"/>
        <v>-9388679</v>
      </c>
      <c r="T16" s="61">
        <f t="shared" si="1"/>
        <v>3890477</v>
      </c>
      <c r="U16" s="82">
        <f t="shared" si="1"/>
        <v>9384406.0099999998</v>
      </c>
      <c r="V16" s="61">
        <f t="shared" ref="V16:AA16" si="2">SUM(V11:V15)</f>
        <v>0</v>
      </c>
      <c r="W16" s="39">
        <f t="shared" si="2"/>
        <v>23</v>
      </c>
      <c r="X16" s="61">
        <f t="shared" si="2"/>
        <v>-3892223</v>
      </c>
      <c r="Y16" s="39">
        <f t="shared" si="2"/>
        <v>-9388679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-6696382</v>
      </c>
      <c r="E19" s="38">
        <f t="shared" si="3"/>
        <v>-12746453.6</v>
      </c>
      <c r="F19" s="64">
        <f>'TIE-OUT'!Z19+RECLASS!Z19</f>
        <v>0</v>
      </c>
      <c r="G19" s="68">
        <f>'TIE-OUT'!AA19+RECLASS!AA19</f>
        <v>3629972</v>
      </c>
      <c r="H19" s="132">
        <v>-6719000</v>
      </c>
      <c r="I19" s="133">
        <v>-13738465</v>
      </c>
      <c r="J19" s="132">
        <v>27118</v>
      </c>
      <c r="K19" s="149">
        <v>-2595152</v>
      </c>
      <c r="L19" s="132">
        <v>-4500</v>
      </c>
      <c r="M19" s="133">
        <v>-43029</v>
      </c>
      <c r="N19" s="132">
        <f>+Actuals!K89</f>
        <v>0</v>
      </c>
      <c r="O19" s="133">
        <f>+Actuals!L89</f>
        <v>0</v>
      </c>
      <c r="P19" s="132">
        <f>+Actuals!M89</f>
        <v>0</v>
      </c>
      <c r="Q19" s="133">
        <v>183</v>
      </c>
      <c r="R19" s="132">
        <f>+Actuals!O89</f>
        <v>0</v>
      </c>
      <c r="S19" s="133">
        <f>+Actuals!P89</f>
        <v>0</v>
      </c>
      <c r="T19" s="129">
        <f>+Actuals!Q129</f>
        <v>0</v>
      </c>
      <c r="U19" s="130">
        <f>+Actuals!R129</f>
        <v>36.4</v>
      </c>
      <c r="V19" s="132">
        <f>+Actuals!S129</f>
        <v>0</v>
      </c>
      <c r="W19" s="133">
        <f>+Actuals!T129</f>
        <v>1</v>
      </c>
      <c r="X19" s="132">
        <f>+Actuals!U129</f>
        <v>0</v>
      </c>
      <c r="Y19" s="133">
        <f>+Actuals!V129</f>
        <v>0</v>
      </c>
      <c r="Z19" s="132">
        <f>+Actuals!W129</f>
        <v>0</v>
      </c>
      <c r="AA19" s="133">
        <f>+Actuals!X129</f>
        <v>0</v>
      </c>
      <c r="AB19" s="132">
        <f>+Actuals!Y89</f>
        <v>0</v>
      </c>
      <c r="AC19" s="133">
        <f>+Actuals!Z89</f>
        <v>0</v>
      </c>
      <c r="AD19" s="132">
        <f>+Actuals!AA89</f>
        <v>0</v>
      </c>
      <c r="AE19" s="133">
        <f>+Actuals!AB89</f>
        <v>0</v>
      </c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0</v>
      </c>
      <c r="F20" s="60">
        <f>'TIE-OUT'!Z20+RECLASS!Z20</f>
        <v>0</v>
      </c>
      <c r="G20" s="38">
        <f>'TIE-OUT'!AA20+RECLASS!AA20</f>
        <v>0</v>
      </c>
      <c r="H20" s="132">
        <f>+Actuals!E90</f>
        <v>0</v>
      </c>
      <c r="I20" s="133">
        <f>+Actuals!F90</f>
        <v>0</v>
      </c>
      <c r="J20" s="132">
        <f>+Actuals!G90</f>
        <v>0</v>
      </c>
      <c r="K20" s="149">
        <f>+Actuals!H90</f>
        <v>0</v>
      </c>
      <c r="L20" s="132">
        <f>+Actuals!I90</f>
        <v>0</v>
      </c>
      <c r="M20" s="133">
        <f>+Actuals!J90</f>
        <v>0</v>
      </c>
      <c r="N20" s="132">
        <f>+Actuals!K90</f>
        <v>0</v>
      </c>
      <c r="O20" s="133">
        <f>+Actuals!L90</f>
        <v>0</v>
      </c>
      <c r="P20" s="132">
        <f>+Actuals!M90</f>
        <v>0</v>
      </c>
      <c r="Q20" s="133">
        <f>+Actuals!N90</f>
        <v>0</v>
      </c>
      <c r="R20" s="132">
        <f>+Actuals!O90</f>
        <v>0</v>
      </c>
      <c r="S20" s="133">
        <f>+Actuals!P90</f>
        <v>0</v>
      </c>
      <c r="T20" s="129">
        <f>+Actuals!Q130</f>
        <v>0</v>
      </c>
      <c r="U20" s="130">
        <f>+Actuals!R130</f>
        <v>0</v>
      </c>
      <c r="V20" s="132">
        <f>+Actuals!S130</f>
        <v>0</v>
      </c>
      <c r="W20" s="133">
        <f>+Actuals!T130</f>
        <v>0</v>
      </c>
      <c r="X20" s="132">
        <f>+Actuals!U130</f>
        <v>0</v>
      </c>
      <c r="Y20" s="133">
        <f>+Actuals!V130</f>
        <v>0</v>
      </c>
      <c r="Z20" s="132">
        <f>+Actuals!W130</f>
        <v>0</v>
      </c>
      <c r="AA20" s="133">
        <f>+Actuals!X130</f>
        <v>0</v>
      </c>
      <c r="AB20" s="132">
        <f>+Actuals!Y90</f>
        <v>0</v>
      </c>
      <c r="AC20" s="133">
        <f>+Actuals!Z90</f>
        <v>0</v>
      </c>
      <c r="AD20" s="132">
        <f>+Actuals!AA90</f>
        <v>0</v>
      </c>
      <c r="AE20" s="133">
        <f>+Actuals!AB90</f>
        <v>0</v>
      </c>
    </row>
    <row r="21" spans="1:31" x14ac:dyDescent="0.25">
      <c r="A21" s="9">
        <v>8</v>
      </c>
      <c r="B21" s="7"/>
      <c r="C21" s="18" t="s">
        <v>28</v>
      </c>
      <c r="D21" s="60">
        <f t="shared" si="3"/>
        <v>-21579459</v>
      </c>
      <c r="E21" s="38">
        <f t="shared" si="3"/>
        <v>-53470940</v>
      </c>
      <c r="F21" s="60">
        <f>'TIE-OUT'!Z21+RECLASS!Z21</f>
        <v>0</v>
      </c>
      <c r="G21" s="38">
        <f>'TIE-OUT'!AA21+RECLASS!AA21</f>
        <v>0</v>
      </c>
      <c r="H21" s="132">
        <v>-21579459</v>
      </c>
      <c r="I21" s="133">
        <v>-53470940</v>
      </c>
      <c r="J21" s="132">
        <f>+Actuals!G91</f>
        <v>0</v>
      </c>
      <c r="K21" s="149">
        <f>+Actuals!H91</f>
        <v>0</v>
      </c>
      <c r="L21" s="132">
        <f>+Actuals!I91</f>
        <v>0</v>
      </c>
      <c r="M21" s="133">
        <f>+Actuals!J91</f>
        <v>0</v>
      </c>
      <c r="N21" s="132">
        <v>-1938640</v>
      </c>
      <c r="O21" s="133">
        <v>-4676504</v>
      </c>
      <c r="P21" s="132">
        <v>-1938640</v>
      </c>
      <c r="Q21" s="133">
        <v>-4676504</v>
      </c>
      <c r="R21" s="132">
        <v>3877280</v>
      </c>
      <c r="S21" s="133">
        <v>9353008</v>
      </c>
      <c r="T21" s="129">
        <f>+Actuals!Q131</f>
        <v>-3877280</v>
      </c>
      <c r="U21" s="130">
        <f>+Actuals!R131</f>
        <v>-9353008</v>
      </c>
      <c r="V21" s="132">
        <f>+Actuals!S131</f>
        <v>0</v>
      </c>
      <c r="W21" s="133">
        <f>+Actuals!T131</f>
        <v>0</v>
      </c>
      <c r="X21" s="132">
        <f>+Actuals!U131</f>
        <v>3877280</v>
      </c>
      <c r="Y21" s="133">
        <f>+Actuals!V131</f>
        <v>9353008</v>
      </c>
      <c r="Z21" s="132">
        <f>+Actuals!W131</f>
        <v>0</v>
      </c>
      <c r="AA21" s="133">
        <f>+Actuals!X131</f>
        <v>0</v>
      </c>
      <c r="AB21" s="132">
        <f>+Actuals!Y91</f>
        <v>0</v>
      </c>
      <c r="AC21" s="133">
        <f>+Actuals!Z91</f>
        <v>0</v>
      </c>
      <c r="AD21" s="132">
        <f>+Actuals!AA91</f>
        <v>0</v>
      </c>
      <c r="AE21" s="133">
        <f>+Actuals!AB91</f>
        <v>0</v>
      </c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'TIE-OUT'!Z22+RECLASS!Z22</f>
        <v>0</v>
      </c>
      <c r="G22" s="38">
        <f>'TIE-OUT'!AA22+RECLASS!AA22</f>
        <v>0</v>
      </c>
      <c r="H22" s="132">
        <f>+Actuals!E92</f>
        <v>0</v>
      </c>
      <c r="I22" s="133">
        <f>+Actuals!F92</f>
        <v>0</v>
      </c>
      <c r="J22" s="132">
        <f>+Actuals!G92</f>
        <v>0</v>
      </c>
      <c r="K22" s="149">
        <f>+Actuals!H92</f>
        <v>0</v>
      </c>
      <c r="L22" s="132">
        <f>+Actuals!I92</f>
        <v>0</v>
      </c>
      <c r="M22" s="133">
        <f>+Actuals!J92</f>
        <v>0</v>
      </c>
      <c r="N22" s="132">
        <f>+Actuals!K92</f>
        <v>0</v>
      </c>
      <c r="O22" s="133">
        <f>+Actuals!L92</f>
        <v>0</v>
      </c>
      <c r="P22" s="132">
        <f>+Actuals!M92</f>
        <v>0</v>
      </c>
      <c r="Q22" s="133">
        <f>+Actuals!N92</f>
        <v>0</v>
      </c>
      <c r="R22" s="132">
        <f>+Actuals!O92</f>
        <v>0</v>
      </c>
      <c r="S22" s="133">
        <f>+Actuals!P92</f>
        <v>0</v>
      </c>
      <c r="T22" s="129">
        <f>+Actuals!Q132</f>
        <v>0</v>
      </c>
      <c r="U22" s="130">
        <f>+Actuals!R132</f>
        <v>0</v>
      </c>
      <c r="V22" s="132">
        <f>+Actuals!S132</f>
        <v>0</v>
      </c>
      <c r="W22" s="133">
        <f>+Actuals!T132</f>
        <v>0</v>
      </c>
      <c r="X22" s="132">
        <f>+Actuals!U132</f>
        <v>0</v>
      </c>
      <c r="Y22" s="133">
        <f>+Actuals!V132</f>
        <v>0</v>
      </c>
      <c r="Z22" s="132">
        <f>+Actuals!W132</f>
        <v>0</v>
      </c>
      <c r="AA22" s="133">
        <f>+Actuals!X132</f>
        <v>0</v>
      </c>
      <c r="AB22" s="132">
        <f>+Actuals!Y92</f>
        <v>0</v>
      </c>
      <c r="AC22" s="133">
        <f>+Actuals!Z92</f>
        <v>0</v>
      </c>
      <c r="AD22" s="132">
        <f>+Actuals!AA92</f>
        <v>0</v>
      </c>
      <c r="AE22" s="133">
        <f>+Actuals!AB92</f>
        <v>0</v>
      </c>
    </row>
    <row r="23" spans="1:31" x14ac:dyDescent="0.25">
      <c r="A23" s="9">
        <v>10</v>
      </c>
      <c r="B23" s="7"/>
      <c r="C23" s="18" t="s">
        <v>33</v>
      </c>
      <c r="D23" s="60">
        <f t="shared" si="3"/>
        <v>433218</v>
      </c>
      <c r="E23" s="38">
        <f t="shared" si="3"/>
        <v>0</v>
      </c>
      <c r="F23" s="81">
        <f>'TIE-OUT'!Z23+RECLASS!Z23</f>
        <v>0</v>
      </c>
      <c r="G23" s="82">
        <f>'TIE-OUT'!AA23+RECLASS!AA23</f>
        <v>0</v>
      </c>
      <c r="H23" s="132">
        <f>+Actuals!E93</f>
        <v>0</v>
      </c>
      <c r="I23" s="133">
        <f>+Actuals!F93</f>
        <v>0</v>
      </c>
      <c r="J23" s="132">
        <f>+Actuals!G93</f>
        <v>0</v>
      </c>
      <c r="K23" s="149">
        <f>+Actuals!H93</f>
        <v>0</v>
      </c>
      <c r="L23" s="132">
        <f>+Actuals!I93</f>
        <v>0</v>
      </c>
      <c r="M23" s="133">
        <f>+Actuals!J93</f>
        <v>0</v>
      </c>
      <c r="N23" s="132">
        <f>+Actuals!K93</f>
        <v>0</v>
      </c>
      <c r="O23" s="133">
        <f>+Actuals!L93</f>
        <v>0</v>
      </c>
      <c r="P23" s="132">
        <f>+Actuals!M93</f>
        <v>0</v>
      </c>
      <c r="Q23" s="133">
        <f>+Actuals!N93</f>
        <v>0</v>
      </c>
      <c r="R23" s="132">
        <f>+Actuals!O93</f>
        <v>0</v>
      </c>
      <c r="S23" s="133">
        <f>+Actuals!P93</f>
        <v>0</v>
      </c>
      <c r="T23" s="129">
        <f>+Actuals!Q133</f>
        <v>0</v>
      </c>
      <c r="U23" s="131">
        <f>+Actuals!R133</f>
        <v>0</v>
      </c>
      <c r="V23" s="132">
        <f>+Actuals!S133</f>
        <v>433218</v>
      </c>
      <c r="W23" s="133">
        <f>+Actuals!T133</f>
        <v>0</v>
      </c>
      <c r="X23" s="132">
        <f>+Actuals!U133</f>
        <v>0</v>
      </c>
      <c r="Y23" s="133">
        <f>+Actuals!V133</f>
        <v>0</v>
      </c>
      <c r="Z23" s="132">
        <f>+Actuals!W133</f>
        <v>0</v>
      </c>
      <c r="AA23" s="133">
        <f>+Actuals!X133</f>
        <v>0</v>
      </c>
      <c r="AB23" s="132">
        <f>+Actuals!Y93</f>
        <v>0</v>
      </c>
      <c r="AC23" s="133">
        <f>+Actuals!Z93</f>
        <v>0</v>
      </c>
      <c r="AD23" s="132">
        <f>+Actuals!AA93</f>
        <v>0</v>
      </c>
      <c r="AE23" s="133">
        <f>+Actuals!AB93</f>
        <v>0</v>
      </c>
    </row>
    <row r="24" spans="1:31" x14ac:dyDescent="0.25">
      <c r="A24" s="9"/>
      <c r="B24" s="7" t="s">
        <v>34</v>
      </c>
      <c r="C24" s="6"/>
      <c r="D24" s="61">
        <f t="shared" ref="D24:AE24" si="4">SUM(D19:D23)</f>
        <v>-27842623</v>
      </c>
      <c r="E24" s="39">
        <f t="shared" si="4"/>
        <v>-66217393.600000001</v>
      </c>
      <c r="F24" s="61">
        <f t="shared" si="4"/>
        <v>0</v>
      </c>
      <c r="G24" s="39">
        <f t="shared" si="4"/>
        <v>3629972</v>
      </c>
      <c r="H24" s="61">
        <f t="shared" si="4"/>
        <v>-28298459</v>
      </c>
      <c r="I24" s="39">
        <f t="shared" si="4"/>
        <v>-67209405</v>
      </c>
      <c r="J24" s="61">
        <f t="shared" si="4"/>
        <v>27118</v>
      </c>
      <c r="K24" s="150">
        <f t="shared" si="4"/>
        <v>-2595152</v>
      </c>
      <c r="L24" s="61">
        <f t="shared" si="4"/>
        <v>-4500</v>
      </c>
      <c r="M24" s="39">
        <f t="shared" si="4"/>
        <v>-43029</v>
      </c>
      <c r="N24" s="61">
        <f t="shared" si="4"/>
        <v>-1938640</v>
      </c>
      <c r="O24" s="39">
        <f t="shared" si="4"/>
        <v>-4676504</v>
      </c>
      <c r="P24" s="61">
        <f t="shared" si="4"/>
        <v>-1938640</v>
      </c>
      <c r="Q24" s="39">
        <f t="shared" si="4"/>
        <v>-4676321</v>
      </c>
      <c r="R24" s="61">
        <f t="shared" si="4"/>
        <v>3877280</v>
      </c>
      <c r="S24" s="39">
        <f t="shared" si="4"/>
        <v>9353008</v>
      </c>
      <c r="T24" s="61">
        <f t="shared" si="4"/>
        <v>-3877280</v>
      </c>
      <c r="U24" s="39">
        <f t="shared" si="4"/>
        <v>-9352971.5999999996</v>
      </c>
      <c r="V24" s="61">
        <f t="shared" ref="V24:AA24" si="5">SUM(V19:V23)</f>
        <v>433218</v>
      </c>
      <c r="W24" s="39">
        <f t="shared" si="5"/>
        <v>1</v>
      </c>
      <c r="X24" s="61">
        <f t="shared" si="5"/>
        <v>3877280</v>
      </c>
      <c r="Y24" s="39">
        <f t="shared" si="5"/>
        <v>9353008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319487</v>
      </c>
      <c r="E27" s="38">
        <f>SUM(G27,I27,K27,M27,O27,Q27,S27,U27,W27,Y27,AA27,AC27,AE27)</f>
        <v>808319</v>
      </c>
      <c r="F27" s="64">
        <f>'TIE-OUT'!Z27+RECLASS!Z27</f>
        <v>0</v>
      </c>
      <c r="G27" s="68">
        <f>'TIE-OUT'!AA27+RECLASS!AA27</f>
        <v>0</v>
      </c>
      <c r="H27" s="132">
        <f>+Actuals!E94</f>
        <v>0</v>
      </c>
      <c r="I27" s="133">
        <f>+Actuals!F94</f>
        <v>0</v>
      </c>
      <c r="J27" s="132">
        <f>+Actuals!G94</f>
        <v>0</v>
      </c>
      <c r="K27" s="149">
        <f>+Actuals!H94</f>
        <v>0</v>
      </c>
      <c r="L27" s="132">
        <v>319487</v>
      </c>
      <c r="M27" s="133">
        <v>808319</v>
      </c>
      <c r="N27" s="132">
        <f>+Actuals!K94</f>
        <v>0</v>
      </c>
      <c r="O27" s="133">
        <f>+Actuals!L94</f>
        <v>0</v>
      </c>
      <c r="P27" s="132">
        <f>+Actuals!M94</f>
        <v>0</v>
      </c>
      <c r="Q27" s="133">
        <f>+Actuals!N94</f>
        <v>0</v>
      </c>
      <c r="R27" s="132">
        <f>+Actuals!O94</f>
        <v>0</v>
      </c>
      <c r="S27" s="133">
        <f>+Actuals!P94</f>
        <v>0</v>
      </c>
      <c r="T27" s="129">
        <f>+Actuals!Q134</f>
        <v>0</v>
      </c>
      <c r="U27" s="130">
        <f>+Actuals!R134</f>
        <v>0</v>
      </c>
      <c r="V27" s="132">
        <f>+Actuals!S134</f>
        <v>0</v>
      </c>
      <c r="W27" s="133">
        <f>+Actuals!T134</f>
        <v>0</v>
      </c>
      <c r="X27" s="132">
        <f>+Actuals!U134</f>
        <v>0</v>
      </c>
      <c r="Y27" s="133">
        <f>+Actuals!V134</f>
        <v>0</v>
      </c>
      <c r="Z27" s="132">
        <f>+Actuals!W134</f>
        <v>0</v>
      </c>
      <c r="AA27" s="133">
        <f>+Actuals!X134</f>
        <v>0</v>
      </c>
      <c r="AB27" s="132">
        <f>+Actuals!Y94</f>
        <v>0</v>
      </c>
      <c r="AC27" s="133">
        <f>+Actuals!Z94</f>
        <v>0</v>
      </c>
      <c r="AD27" s="132">
        <f>+Actuals!AA94</f>
        <v>0</v>
      </c>
      <c r="AE27" s="133">
        <f>+Actuals!AB94</f>
        <v>0</v>
      </c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'TIE-OUT'!Z28+RECLASS!Z28</f>
        <v>0</v>
      </c>
      <c r="G28" s="82">
        <f>'TIE-OUT'!AA28+RECLASS!AA28</f>
        <v>0</v>
      </c>
      <c r="H28" s="132">
        <f>+Actuals!E95</f>
        <v>0</v>
      </c>
      <c r="I28" s="133">
        <f>+Actuals!F95</f>
        <v>0</v>
      </c>
      <c r="J28" s="132">
        <f>+Actuals!G95</f>
        <v>0</v>
      </c>
      <c r="K28" s="149">
        <f>+Actuals!H95</f>
        <v>0</v>
      </c>
      <c r="L28" s="132">
        <f>+Actuals!I95</f>
        <v>0</v>
      </c>
      <c r="M28" s="133">
        <f>+Actuals!J95</f>
        <v>0</v>
      </c>
      <c r="N28" s="132">
        <f>+Actuals!K95</f>
        <v>0</v>
      </c>
      <c r="O28" s="133">
        <f>+Actuals!L95</f>
        <v>0</v>
      </c>
      <c r="P28" s="132">
        <f>+Actuals!M95</f>
        <v>0</v>
      </c>
      <c r="Q28" s="133">
        <f>+Actuals!N95</f>
        <v>0</v>
      </c>
      <c r="R28" s="132">
        <f>+Actuals!O95</f>
        <v>0</v>
      </c>
      <c r="S28" s="133">
        <f>+Actuals!P95</f>
        <v>0</v>
      </c>
      <c r="T28" s="129">
        <f>+Actuals!Q135</f>
        <v>0</v>
      </c>
      <c r="U28" s="130">
        <f>+Actuals!R135</f>
        <v>0</v>
      </c>
      <c r="V28" s="132">
        <f>+Actuals!S135</f>
        <v>0</v>
      </c>
      <c r="W28" s="133">
        <f>+Actuals!T135</f>
        <v>0</v>
      </c>
      <c r="X28" s="132">
        <f>+Actuals!U135</f>
        <v>0</v>
      </c>
      <c r="Y28" s="133">
        <f>+Actuals!V135</f>
        <v>0</v>
      </c>
      <c r="Z28" s="132">
        <f>+Actuals!W135</f>
        <v>0</v>
      </c>
      <c r="AA28" s="133">
        <f>+Actuals!X135</f>
        <v>0</v>
      </c>
      <c r="AB28" s="132">
        <f>+Actuals!Y95</f>
        <v>0</v>
      </c>
      <c r="AC28" s="133">
        <f>+Actuals!Z95</f>
        <v>0</v>
      </c>
      <c r="AD28" s="132">
        <f>+Actuals!AA95</f>
        <v>0</v>
      </c>
      <c r="AE28" s="133">
        <f>+Actuals!AB95</f>
        <v>0</v>
      </c>
    </row>
    <row r="29" spans="1:31" x14ac:dyDescent="0.25">
      <c r="A29" s="9"/>
      <c r="B29" s="7" t="s">
        <v>38</v>
      </c>
      <c r="C29" s="18"/>
      <c r="D29" s="61">
        <f t="shared" ref="D29:AE29" si="6">SUM(D27:D28)</f>
        <v>319487</v>
      </c>
      <c r="E29" s="39">
        <f t="shared" si="6"/>
        <v>808319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319487</v>
      </c>
      <c r="M29" s="39">
        <f t="shared" si="6"/>
        <v>808319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ref="V29:AA29" si="7">SUM(V27:V28)</f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132"/>
      <c r="I31" s="133"/>
      <c r="J31" s="132"/>
      <c r="K31" s="149"/>
      <c r="L31" s="132"/>
      <c r="M31" s="133"/>
      <c r="N31" s="132"/>
      <c r="O31" s="133"/>
      <c r="P31" s="132"/>
      <c r="Q31" s="133"/>
      <c r="R31" s="132"/>
      <c r="S31" s="133"/>
      <c r="T31" s="60"/>
      <c r="U31" s="38"/>
      <c r="V31" s="132"/>
      <c r="W31" s="133"/>
      <c r="X31" s="132"/>
      <c r="Y31" s="133"/>
      <c r="Z31" s="132"/>
      <c r="AA31" s="133"/>
      <c r="AB31" s="132"/>
      <c r="AC31" s="133"/>
      <c r="AD31" s="132"/>
      <c r="AE31" s="133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'TIE-OUT'!Z32+RECLASS!Z32</f>
        <v>0</v>
      </c>
      <c r="G32" s="68">
        <f>'TIE-OUT'!AA32+RECLASS!AA32</f>
        <v>0</v>
      </c>
      <c r="H32" s="132">
        <v>1363174</v>
      </c>
      <c r="I32" s="133">
        <v>3088563</v>
      </c>
      <c r="J32" s="132">
        <v>-1363174</v>
      </c>
      <c r="K32" s="149">
        <v>-3088563</v>
      </c>
      <c r="L32" s="132">
        <f>+Actuals!I96</f>
        <v>0</v>
      </c>
      <c r="M32" s="133">
        <f>+Actuals!J96</f>
        <v>0</v>
      </c>
      <c r="N32" s="132">
        <f>+Actuals!K96</f>
        <v>0</v>
      </c>
      <c r="O32" s="133">
        <f>+Actuals!L96</f>
        <v>0</v>
      </c>
      <c r="P32" s="132">
        <f>+Actuals!M96</f>
        <v>0</v>
      </c>
      <c r="Q32" s="133">
        <f>+Actuals!N96</f>
        <v>0</v>
      </c>
      <c r="R32" s="132">
        <f>+Actuals!O96</f>
        <v>0</v>
      </c>
      <c r="S32" s="133">
        <f>+Actuals!P96</f>
        <v>0</v>
      </c>
      <c r="T32" s="129">
        <f>+Actuals!Q136</f>
        <v>0</v>
      </c>
      <c r="U32" s="130">
        <f>+Actuals!R136</f>
        <v>0</v>
      </c>
      <c r="V32" s="132">
        <f>+Actuals!S136</f>
        <v>0</v>
      </c>
      <c r="W32" s="133">
        <f>+Actuals!T136</f>
        <v>0</v>
      </c>
      <c r="X32" s="132">
        <f>+Actuals!U136</f>
        <v>0</v>
      </c>
      <c r="Y32" s="133">
        <f>+Actuals!V136</f>
        <v>0</v>
      </c>
      <c r="Z32" s="132">
        <f>+Actuals!W136</f>
        <v>0</v>
      </c>
      <c r="AA32" s="133">
        <f>+Actuals!X136</f>
        <v>0</v>
      </c>
      <c r="AB32" s="132">
        <f>+Actuals!Y96</f>
        <v>0</v>
      </c>
      <c r="AC32" s="133">
        <f>+Actuals!Z96</f>
        <v>0</v>
      </c>
      <c r="AD32" s="132">
        <f>+Actuals!AA96</f>
        <v>0</v>
      </c>
      <c r="AE32" s="133">
        <f>+Actuals!AB96</f>
        <v>0</v>
      </c>
    </row>
    <row r="33" spans="1:31" x14ac:dyDescent="0.25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'TIE-OUT'!Z33+RECLASS!Z33</f>
        <v>0</v>
      </c>
      <c r="G33" s="38">
        <f>'TIE-OUT'!AA33+RECLASS!AA33</f>
        <v>0</v>
      </c>
      <c r="H33" s="132">
        <f>+Actuals!E97</f>
        <v>0</v>
      </c>
      <c r="I33" s="133">
        <f>+Actuals!F97</f>
        <v>0</v>
      </c>
      <c r="J33" s="132">
        <f>+Actuals!G97</f>
        <v>0</v>
      </c>
      <c r="K33" s="149">
        <f>+Actuals!H97</f>
        <v>0</v>
      </c>
      <c r="L33" s="132">
        <f>+Actuals!I97</f>
        <v>0</v>
      </c>
      <c r="M33" s="133">
        <f>+Actuals!J97</f>
        <v>0</v>
      </c>
      <c r="N33" s="132">
        <f>+Actuals!K97</f>
        <v>0</v>
      </c>
      <c r="O33" s="133">
        <f>+Actuals!L97</f>
        <v>0</v>
      </c>
      <c r="P33" s="132">
        <f>+Actuals!M97</f>
        <v>0</v>
      </c>
      <c r="Q33" s="133">
        <f>+Actuals!N97</f>
        <v>0</v>
      </c>
      <c r="R33" s="132">
        <f>+Actuals!O97</f>
        <v>0</v>
      </c>
      <c r="S33" s="133">
        <f>+Actuals!P97</f>
        <v>0</v>
      </c>
      <c r="T33" s="129">
        <f>+Actuals!Q137</f>
        <v>0</v>
      </c>
      <c r="U33" s="130">
        <f>+Actuals!R137</f>
        <v>0</v>
      </c>
      <c r="V33" s="132">
        <f>+Actuals!S137</f>
        <v>0</v>
      </c>
      <c r="W33" s="133">
        <f>+Actuals!T137</f>
        <v>0</v>
      </c>
      <c r="X33" s="132">
        <f>+Actuals!U137</f>
        <v>0</v>
      </c>
      <c r="Y33" s="133">
        <f>+Actuals!V137</f>
        <v>0</v>
      </c>
      <c r="Z33" s="132">
        <f>+Actuals!W137</f>
        <v>0</v>
      </c>
      <c r="AA33" s="133">
        <f>+Actuals!X137</f>
        <v>0</v>
      </c>
      <c r="AB33" s="132">
        <f>+Actuals!Y97</f>
        <v>0</v>
      </c>
      <c r="AC33" s="133">
        <f>+Actuals!Z97</f>
        <v>0</v>
      </c>
      <c r="AD33" s="132">
        <f>+Actuals!AA97</f>
        <v>0</v>
      </c>
      <c r="AE33" s="133">
        <f>+Actuals!AB97</f>
        <v>0</v>
      </c>
    </row>
    <row r="34" spans="1:31" x14ac:dyDescent="0.25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'TIE-OUT'!Z34+RECLASS!Z34</f>
        <v>0</v>
      </c>
      <c r="G34" s="38">
        <f>'TIE-OUT'!AA34+RECLASS!AA34</f>
        <v>0</v>
      </c>
      <c r="H34" s="132">
        <f>+Actuals!E98</f>
        <v>0</v>
      </c>
      <c r="I34" s="133">
        <f>+Actuals!F98</f>
        <v>0</v>
      </c>
      <c r="J34" s="132">
        <v>0</v>
      </c>
      <c r="K34" s="149">
        <v>0</v>
      </c>
      <c r="L34" s="132">
        <f>+Actuals!I98</f>
        <v>0</v>
      </c>
      <c r="M34" s="133">
        <f>+Actuals!J98</f>
        <v>0</v>
      </c>
      <c r="N34" s="132">
        <f>+Actuals!K98</f>
        <v>0</v>
      </c>
      <c r="O34" s="133">
        <f>+Actuals!L98</f>
        <v>0</v>
      </c>
      <c r="P34" s="132">
        <f>+Actuals!M98</f>
        <v>0</v>
      </c>
      <c r="Q34" s="133">
        <f>+Actuals!N98</f>
        <v>0</v>
      </c>
      <c r="R34" s="132">
        <f>+Actuals!O98</f>
        <v>0</v>
      </c>
      <c r="S34" s="133">
        <f>+Actuals!P98</f>
        <v>0</v>
      </c>
      <c r="T34" s="129">
        <f>+Actuals!Q138</f>
        <v>0</v>
      </c>
      <c r="U34" s="130">
        <f>+Actuals!R138</f>
        <v>0</v>
      </c>
      <c r="V34" s="132">
        <f>+Actuals!S138</f>
        <v>0</v>
      </c>
      <c r="W34" s="133">
        <f>+Actuals!T138</f>
        <v>0</v>
      </c>
      <c r="X34" s="132">
        <f>+Actuals!U138</f>
        <v>0</v>
      </c>
      <c r="Y34" s="133">
        <f>+Actuals!V138</f>
        <v>0</v>
      </c>
      <c r="Z34" s="132">
        <f>+Actuals!W138</f>
        <v>0</v>
      </c>
      <c r="AA34" s="133">
        <f>+Actuals!X138</f>
        <v>0</v>
      </c>
      <c r="AB34" s="132">
        <f>+Actuals!Y98</f>
        <v>0</v>
      </c>
      <c r="AC34" s="133">
        <f>+Actuals!Z98</f>
        <v>0</v>
      </c>
      <c r="AD34" s="132">
        <f>+Actuals!AA98</f>
        <v>0</v>
      </c>
      <c r="AE34" s="133">
        <f>+Actuals!AB98</f>
        <v>0</v>
      </c>
    </row>
    <row r="35" spans="1:31" x14ac:dyDescent="0.25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81">
        <f>'TIE-OUT'!Z35+RECLASS!Z35</f>
        <v>0</v>
      </c>
      <c r="G35" s="82">
        <f>'TIE-OUT'!AA35+RECLASS!AA35</f>
        <v>0</v>
      </c>
      <c r="H35" s="132">
        <f>+Actuals!E99</f>
        <v>0</v>
      </c>
      <c r="I35" s="133">
        <f>+Actuals!F99</f>
        <v>0</v>
      </c>
      <c r="J35" s="132">
        <f>+Actuals!G99</f>
        <v>0</v>
      </c>
      <c r="K35" s="149">
        <f>+Actuals!H99</f>
        <v>0</v>
      </c>
      <c r="L35" s="132">
        <f>+Actuals!I99</f>
        <v>0</v>
      </c>
      <c r="M35" s="133">
        <f>+Actuals!J99</f>
        <v>0</v>
      </c>
      <c r="N35" s="132">
        <f>+Actuals!K99</f>
        <v>0</v>
      </c>
      <c r="O35" s="133">
        <f>+Actuals!L99</f>
        <v>0</v>
      </c>
      <c r="P35" s="132">
        <f>+Actuals!M99</f>
        <v>0</v>
      </c>
      <c r="Q35" s="133">
        <f>+Actuals!N99</f>
        <v>0</v>
      </c>
      <c r="R35" s="132">
        <f>+Actuals!O99</f>
        <v>0</v>
      </c>
      <c r="S35" s="133">
        <f>+Actuals!P99</f>
        <v>0</v>
      </c>
      <c r="T35" s="129">
        <f>+Actuals!Q139</f>
        <v>0</v>
      </c>
      <c r="U35" s="130">
        <f>+Actuals!R139</f>
        <v>0</v>
      </c>
      <c r="V35" s="132">
        <f>+Actuals!S139</f>
        <v>0</v>
      </c>
      <c r="W35" s="133">
        <f>+Actuals!T139</f>
        <v>0</v>
      </c>
      <c r="X35" s="132">
        <f>+Actuals!U139</f>
        <v>0</v>
      </c>
      <c r="Y35" s="133">
        <f>+Actuals!V139</f>
        <v>0</v>
      </c>
      <c r="Z35" s="132">
        <f>+Actuals!W139</f>
        <v>0</v>
      </c>
      <c r="AA35" s="133">
        <f>+Actuals!X139</f>
        <v>0</v>
      </c>
      <c r="AB35" s="132">
        <f>+Actuals!Y99</f>
        <v>0</v>
      </c>
      <c r="AC35" s="133">
        <f>+Actuals!Z99</f>
        <v>0</v>
      </c>
      <c r="AD35" s="132">
        <f>+Actuals!AA99</f>
        <v>0</v>
      </c>
      <c r="AE35" s="133">
        <f>+Actuals!AB99</f>
        <v>0</v>
      </c>
    </row>
    <row r="36" spans="1:31" x14ac:dyDescent="0.25">
      <c r="A36" s="9"/>
      <c r="B36" s="7" t="s">
        <v>44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1363174</v>
      </c>
      <c r="I36" s="39">
        <f t="shared" si="9"/>
        <v>3088563</v>
      </c>
      <c r="J36" s="61">
        <f t="shared" si="9"/>
        <v>-1363174</v>
      </c>
      <c r="K36" s="150">
        <f t="shared" si="9"/>
        <v>-3088563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1519503</v>
      </c>
      <c r="E39" s="38">
        <f t="shared" si="11"/>
        <v>3822445.7</v>
      </c>
      <c r="F39" s="64">
        <f>'TIE-OUT'!Z39+RECLASS!Z39</f>
        <v>0</v>
      </c>
      <c r="G39" s="68">
        <f>'TIE-OUT'!AA39+RECLASS!AA39</f>
        <v>0</v>
      </c>
      <c r="H39" s="132">
        <v>1479157</v>
      </c>
      <c r="I39" s="133">
        <v>3717635</v>
      </c>
      <c r="J39" s="132">
        <v>41589</v>
      </c>
      <c r="K39" s="149">
        <v>104535</v>
      </c>
      <c r="L39" s="132">
        <f>+Actuals!I100</f>
        <v>0</v>
      </c>
      <c r="M39" s="133">
        <f>+Actuals!J100</f>
        <v>0</v>
      </c>
      <c r="N39" s="132">
        <v>3214</v>
      </c>
      <c r="O39" s="133">
        <v>7916</v>
      </c>
      <c r="P39" s="132">
        <f>+Actuals!M100</f>
        <v>0</v>
      </c>
      <c r="Q39" s="133">
        <f>+Actuals!N100</f>
        <v>0</v>
      </c>
      <c r="R39" s="132">
        <v>-49296</v>
      </c>
      <c r="S39" s="133">
        <v>-125569</v>
      </c>
      <c r="T39" s="129">
        <f>+Actuals!Q140</f>
        <v>75195</v>
      </c>
      <c r="U39" s="130">
        <f>+Actuals!R140</f>
        <v>184387.71</v>
      </c>
      <c r="V39" s="132">
        <f>+Actuals!S140</f>
        <v>-27829</v>
      </c>
      <c r="W39" s="133">
        <f>+Actuals!T140</f>
        <v>-60111.19</v>
      </c>
      <c r="X39" s="132">
        <f>+Actuals!U140</f>
        <v>-2527</v>
      </c>
      <c r="Y39" s="133">
        <f>+Actuals!V140</f>
        <v>-6347.82</v>
      </c>
      <c r="Z39" s="132">
        <f>+Actuals!W140</f>
        <v>0</v>
      </c>
      <c r="AA39" s="133">
        <f>+Actuals!X140</f>
        <v>0</v>
      </c>
      <c r="AB39" s="132">
        <f>+Actuals!Y100</f>
        <v>0</v>
      </c>
      <c r="AC39" s="133">
        <f>+Actuals!Z100</f>
        <v>0</v>
      </c>
      <c r="AD39" s="132">
        <f>+Actuals!AA100</f>
        <v>0</v>
      </c>
      <c r="AE39" s="133">
        <f>+Actuals!AB100</f>
        <v>0</v>
      </c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-352692</v>
      </c>
      <c r="E40" s="38">
        <f t="shared" si="11"/>
        <v>-935931.3</v>
      </c>
      <c r="F40" s="60">
        <f>'TIE-OUT'!Z40+RECLASS!Z40</f>
        <v>0</v>
      </c>
      <c r="G40" s="38">
        <f>'TIE-OUT'!AA40+RECLASS!AA40</f>
        <v>0</v>
      </c>
      <c r="H40" s="132">
        <f>+Actuals!E101</f>
        <v>0</v>
      </c>
      <c r="I40" s="133">
        <f>+Actuals!F101</f>
        <v>0</v>
      </c>
      <c r="J40" s="132">
        <f>+Actuals!G101</f>
        <v>0</v>
      </c>
      <c r="K40" s="149">
        <f>+Actuals!H101</f>
        <v>0</v>
      </c>
      <c r="L40" s="132">
        <f>+Actuals!I101</f>
        <v>0</v>
      </c>
      <c r="M40" s="133">
        <f>+Actuals!J101</f>
        <v>0</v>
      </c>
      <c r="N40" s="132">
        <f>+Actuals!K101</f>
        <v>0</v>
      </c>
      <c r="O40" s="133">
        <f>+Actuals!L101</f>
        <v>0</v>
      </c>
      <c r="P40" s="132">
        <f>+Actuals!M101</f>
        <v>0</v>
      </c>
      <c r="Q40" s="133">
        <f>+Actuals!N101</f>
        <v>0</v>
      </c>
      <c r="R40" s="132">
        <f>+Actuals!O101</f>
        <v>0</v>
      </c>
      <c r="S40" s="133">
        <f>+Actuals!P101</f>
        <v>0</v>
      </c>
      <c r="T40" s="129">
        <f>+Actuals!Q141</f>
        <v>0</v>
      </c>
      <c r="U40" s="130">
        <f>+Actuals!R141</f>
        <v>0</v>
      </c>
      <c r="V40" s="132">
        <f>+Actuals!S141</f>
        <v>-353036</v>
      </c>
      <c r="W40" s="133">
        <f>+Actuals!T141</f>
        <v>-936844.17</v>
      </c>
      <c r="X40" s="132">
        <f>+Actuals!U141</f>
        <v>0</v>
      </c>
      <c r="Y40" s="133">
        <f>+Actuals!V141</f>
        <v>0</v>
      </c>
      <c r="Z40" s="132">
        <f>+Actuals!W141</f>
        <v>344</v>
      </c>
      <c r="AA40" s="133">
        <f>+Actuals!X141</f>
        <v>912.87</v>
      </c>
      <c r="AB40" s="132">
        <f>+Actuals!Y101</f>
        <v>0</v>
      </c>
      <c r="AC40" s="133">
        <f>+Actuals!Z101</f>
        <v>0</v>
      </c>
      <c r="AD40" s="132">
        <f>+Actuals!AA101</f>
        <v>0</v>
      </c>
      <c r="AE40" s="133">
        <f>+Actuals!AB101</f>
        <v>0</v>
      </c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'TIE-OUT'!Z41+RECLASS!Z41</f>
        <v>0</v>
      </c>
      <c r="G41" s="82">
        <f>'TIE-OUT'!AA41+RECLASS!AA41</f>
        <v>0</v>
      </c>
      <c r="H41" s="132">
        <f>+Actuals!E102</f>
        <v>0</v>
      </c>
      <c r="I41" s="133">
        <f>+Actuals!F102</f>
        <v>0</v>
      </c>
      <c r="J41" s="132">
        <f>+Actuals!G102</f>
        <v>0</v>
      </c>
      <c r="K41" s="149">
        <f>+Actuals!H102</f>
        <v>0</v>
      </c>
      <c r="L41" s="132">
        <f>+Actuals!I102</f>
        <v>0</v>
      </c>
      <c r="M41" s="133">
        <f>+Actuals!J102</f>
        <v>0</v>
      </c>
      <c r="N41" s="132">
        <f>+Actuals!K102</f>
        <v>0</v>
      </c>
      <c r="O41" s="133">
        <f>+Actuals!L102</f>
        <v>0</v>
      </c>
      <c r="P41" s="132">
        <f>+Actuals!M102</f>
        <v>0</v>
      </c>
      <c r="Q41" s="133">
        <f>+Actuals!N102</f>
        <v>0</v>
      </c>
      <c r="R41" s="132">
        <f>+Actuals!O102</f>
        <v>0</v>
      </c>
      <c r="S41" s="133">
        <f>+Actuals!P102</f>
        <v>0</v>
      </c>
      <c r="T41" s="129">
        <f>+Actuals!Q142</f>
        <v>0</v>
      </c>
      <c r="U41" s="130">
        <f>+Actuals!R142</f>
        <v>0</v>
      </c>
      <c r="V41" s="132">
        <f>+Actuals!S142</f>
        <v>0</v>
      </c>
      <c r="W41" s="133">
        <f>+Actuals!T142</f>
        <v>0</v>
      </c>
      <c r="X41" s="132">
        <f>+Actuals!U142</f>
        <v>0</v>
      </c>
      <c r="Y41" s="133">
        <f>+Actuals!V142</f>
        <v>0</v>
      </c>
      <c r="Z41" s="132">
        <f>+Actuals!W142</f>
        <v>0</v>
      </c>
      <c r="AA41" s="133">
        <f>+Actuals!X142</f>
        <v>0</v>
      </c>
      <c r="AB41" s="132">
        <f>+Actuals!Y102</f>
        <v>0</v>
      </c>
      <c r="AC41" s="133">
        <f>+Actuals!Z102</f>
        <v>0</v>
      </c>
      <c r="AD41" s="132">
        <f>+Actuals!AA102</f>
        <v>0</v>
      </c>
      <c r="AE41" s="133">
        <f>+Actuals!AB102</f>
        <v>0</v>
      </c>
    </row>
    <row r="42" spans="1:31" x14ac:dyDescent="0.25">
      <c r="A42" s="9"/>
      <c r="B42" s="7"/>
      <c r="C42" s="53" t="s">
        <v>49</v>
      </c>
      <c r="D42" s="61">
        <f t="shared" ref="D42:AE42" si="12">SUM(D40:D41)</f>
        <v>-352692</v>
      </c>
      <c r="E42" s="39">
        <f t="shared" si="12"/>
        <v>-935931.3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-353036</v>
      </c>
      <c r="W42" s="39">
        <f t="shared" si="13"/>
        <v>-936844.17</v>
      </c>
      <c r="X42" s="61">
        <f t="shared" si="13"/>
        <v>0</v>
      </c>
      <c r="Y42" s="39">
        <f t="shared" si="13"/>
        <v>0</v>
      </c>
      <c r="Z42" s="61">
        <f t="shared" si="13"/>
        <v>344</v>
      </c>
      <c r="AA42" s="39">
        <f t="shared" si="13"/>
        <v>912.87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50</v>
      </c>
      <c r="C43" s="6"/>
      <c r="D43" s="61">
        <f t="shared" ref="D43:AE43" si="14">D42+D39</f>
        <v>1166811</v>
      </c>
      <c r="E43" s="39">
        <f t="shared" si="14"/>
        <v>2886514.4000000004</v>
      </c>
      <c r="F43" s="61">
        <f t="shared" si="14"/>
        <v>0</v>
      </c>
      <c r="G43" s="39">
        <f t="shared" si="14"/>
        <v>0</v>
      </c>
      <c r="H43" s="61">
        <f t="shared" si="14"/>
        <v>1479157</v>
      </c>
      <c r="I43" s="39">
        <f t="shared" si="14"/>
        <v>3717635</v>
      </c>
      <c r="J43" s="61">
        <f t="shared" si="14"/>
        <v>41589</v>
      </c>
      <c r="K43" s="150">
        <f t="shared" si="14"/>
        <v>104535</v>
      </c>
      <c r="L43" s="61">
        <f t="shared" si="14"/>
        <v>0</v>
      </c>
      <c r="M43" s="39">
        <f t="shared" si="14"/>
        <v>0</v>
      </c>
      <c r="N43" s="61">
        <f t="shared" si="14"/>
        <v>3214</v>
      </c>
      <c r="O43" s="39">
        <f t="shared" si="14"/>
        <v>7916</v>
      </c>
      <c r="P43" s="61">
        <f t="shared" si="14"/>
        <v>0</v>
      </c>
      <c r="Q43" s="39">
        <f t="shared" si="14"/>
        <v>0</v>
      </c>
      <c r="R43" s="61">
        <f t="shared" si="14"/>
        <v>-49296</v>
      </c>
      <c r="S43" s="39">
        <f t="shared" si="14"/>
        <v>-125569</v>
      </c>
      <c r="T43" s="61">
        <f t="shared" si="14"/>
        <v>75195</v>
      </c>
      <c r="U43" s="39">
        <f t="shared" si="14"/>
        <v>184387.71</v>
      </c>
      <c r="V43" s="61">
        <f t="shared" ref="V43:AA43" si="15">V42+V39</f>
        <v>-380865</v>
      </c>
      <c r="W43" s="39">
        <f t="shared" si="15"/>
        <v>-996955.3600000001</v>
      </c>
      <c r="X43" s="61">
        <f t="shared" si="15"/>
        <v>-2527</v>
      </c>
      <c r="Y43" s="39">
        <f t="shared" si="15"/>
        <v>-6347.82</v>
      </c>
      <c r="Z43" s="61">
        <f t="shared" si="15"/>
        <v>344</v>
      </c>
      <c r="AA43" s="39">
        <f t="shared" si="15"/>
        <v>912.87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'TIE-OUT'!Z45+RECLASS!Z45</f>
        <v>0</v>
      </c>
      <c r="G45" s="68">
        <f>'TIE-OUT'!AA45+RECLASS!AA45</f>
        <v>0</v>
      </c>
      <c r="H45" s="132">
        <f>+Actuals!E103</f>
        <v>0</v>
      </c>
      <c r="I45" s="133">
        <f>+Actuals!F103</f>
        <v>0</v>
      </c>
      <c r="J45" s="132">
        <f>+Actuals!G103</f>
        <v>0</v>
      </c>
      <c r="K45" s="149">
        <f>+Actuals!H103</f>
        <v>0</v>
      </c>
      <c r="L45" s="132">
        <f>+Actuals!I103</f>
        <v>0</v>
      </c>
      <c r="M45" s="133">
        <f>+Actuals!J103</f>
        <v>0</v>
      </c>
      <c r="N45" s="132">
        <f>+Actuals!K103</f>
        <v>0</v>
      </c>
      <c r="O45" s="133">
        <f>+Actuals!L103</f>
        <v>0</v>
      </c>
      <c r="P45" s="132">
        <f>+Actuals!M103</f>
        <v>0</v>
      </c>
      <c r="Q45" s="133">
        <f>+Actuals!N103</f>
        <v>0</v>
      </c>
      <c r="R45" s="132">
        <f>+Actuals!O103</f>
        <v>0</v>
      </c>
      <c r="S45" s="133">
        <f>+Actuals!P103</f>
        <v>0</v>
      </c>
      <c r="T45" s="129">
        <f>+Actuals!Q143</f>
        <v>0</v>
      </c>
      <c r="U45" s="130">
        <f>+Actuals!R143</f>
        <v>0</v>
      </c>
      <c r="V45" s="132">
        <f>+Actuals!S143</f>
        <v>0</v>
      </c>
      <c r="W45" s="133">
        <f>+Actuals!T143</f>
        <v>0</v>
      </c>
      <c r="X45" s="132">
        <f>+Actuals!U143</f>
        <v>0</v>
      </c>
      <c r="Y45" s="133">
        <f>+Actuals!V143</f>
        <v>0</v>
      </c>
      <c r="Z45" s="132">
        <f>+Actuals!W143</f>
        <v>0</v>
      </c>
      <c r="AA45" s="133">
        <f>+Actuals!X143</f>
        <v>0</v>
      </c>
      <c r="AB45" s="132">
        <f>+Actuals!Y103</f>
        <v>0</v>
      </c>
      <c r="AC45" s="133">
        <f>+Actuals!Z103</f>
        <v>0</v>
      </c>
      <c r="AD45" s="132">
        <f>+Actuals!AA103</f>
        <v>0</v>
      </c>
      <c r="AE45" s="133">
        <f>+Actuals!AB103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'TIE-OUT'!Z47+RECLASS!Z47</f>
        <v>0</v>
      </c>
      <c r="G47" s="38">
        <f>'TIE-OUT'!AA47+RECLASS!AA47</f>
        <v>0</v>
      </c>
      <c r="H47" s="132">
        <f>+Actuals!E104</f>
        <v>0</v>
      </c>
      <c r="I47" s="133">
        <f>+Actuals!F104</f>
        <v>0</v>
      </c>
      <c r="J47" s="132">
        <f>+Actuals!G104</f>
        <v>0</v>
      </c>
      <c r="K47" s="149">
        <f>+Actuals!H104</f>
        <v>0</v>
      </c>
      <c r="L47" s="132">
        <f>+Actuals!I104</f>
        <v>0</v>
      </c>
      <c r="M47" s="133">
        <f>+Actuals!J104</f>
        <v>0</v>
      </c>
      <c r="N47" s="132">
        <f>+Actuals!K104</f>
        <v>0</v>
      </c>
      <c r="O47" s="133">
        <f>+Actuals!L104</f>
        <v>0</v>
      </c>
      <c r="P47" s="132">
        <f>+Actuals!M104</f>
        <v>0</v>
      </c>
      <c r="Q47" s="133">
        <f>+Actuals!N104</f>
        <v>0</v>
      </c>
      <c r="R47" s="132">
        <f>+Actuals!O104</f>
        <v>0</v>
      </c>
      <c r="S47" s="133">
        <f>+Actuals!P104</f>
        <v>0</v>
      </c>
      <c r="T47" s="129">
        <f>+Actuals!Q144</f>
        <v>0</v>
      </c>
      <c r="U47" s="130">
        <f>+Actuals!R144</f>
        <v>0</v>
      </c>
      <c r="V47" s="132">
        <f>+Actuals!S144</f>
        <v>0</v>
      </c>
      <c r="W47" s="133">
        <f>+Actuals!T144</f>
        <v>0</v>
      </c>
      <c r="X47" s="132">
        <f>+Actuals!U144</f>
        <v>0</v>
      </c>
      <c r="Y47" s="133">
        <f>+Actuals!V144</f>
        <v>0</v>
      </c>
      <c r="Z47" s="132">
        <f>+Actuals!W144</f>
        <v>0</v>
      </c>
      <c r="AA47" s="133">
        <f>+Actuals!X144</f>
        <v>0</v>
      </c>
      <c r="AB47" s="132">
        <f>+Actuals!Y104</f>
        <v>0</v>
      </c>
      <c r="AC47" s="133">
        <f>+Actuals!Z104</f>
        <v>0</v>
      </c>
      <c r="AD47" s="132">
        <f>+Actuals!AA104</f>
        <v>0</v>
      </c>
      <c r="AE47" s="133">
        <f>+Actuals!AB104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973713</v>
      </c>
      <c r="E49" s="38">
        <f>SUM(G49,I49,K49,M49,O49,Q49,S49,U49,W49,Y49,AA49,AC49,AE49)</f>
        <v>2205459.9649999999</v>
      </c>
      <c r="F49" s="60">
        <f>'TIE-OUT'!Z49+RECLASS!Z49</f>
        <v>0</v>
      </c>
      <c r="G49" s="38">
        <f>'TIE-OUT'!AA49+RECLASS!AA49</f>
        <v>0</v>
      </c>
      <c r="H49" s="132">
        <f>+Actuals!E105</f>
        <v>0</v>
      </c>
      <c r="I49" s="133">
        <f>+Actuals!F105</f>
        <v>0</v>
      </c>
      <c r="J49" s="132">
        <v>1376523</v>
      </c>
      <c r="K49" s="149">
        <v>3117825</v>
      </c>
      <c r="L49" s="132">
        <v>-330097</v>
      </c>
      <c r="M49" s="133">
        <v>-747670</v>
      </c>
      <c r="N49" s="132">
        <v>-3081</v>
      </c>
      <c r="O49" s="133">
        <v>-6978</v>
      </c>
      <c r="P49" s="132">
        <v>-10252</v>
      </c>
      <c r="Q49" s="133">
        <v>-23221</v>
      </c>
      <c r="R49" s="132">
        <v>64239</v>
      </c>
      <c r="S49" s="133">
        <v>145501</v>
      </c>
      <c r="T49" s="129">
        <f>+Actuals!Q145</f>
        <v>-88392</v>
      </c>
      <c r="U49" s="130">
        <f>+Actuals!R145</f>
        <v>-200207.88</v>
      </c>
      <c r="V49" s="132">
        <f>+Actuals!S145</f>
        <v>-52353</v>
      </c>
      <c r="W49" s="133">
        <f>+Actuals!T145</f>
        <v>-118579.545</v>
      </c>
      <c r="X49" s="132">
        <f>+Actuals!U145</f>
        <v>17470</v>
      </c>
      <c r="Y49" s="133">
        <f>+Actuals!V145</f>
        <v>39569.550000000003</v>
      </c>
      <c r="Z49" s="132">
        <f>+Actuals!W145</f>
        <v>-344</v>
      </c>
      <c r="AA49" s="133">
        <f>+Actuals!X145</f>
        <v>-779.16</v>
      </c>
      <c r="AB49" s="132">
        <f>+Actuals!Y105</f>
        <v>0</v>
      </c>
      <c r="AC49" s="133">
        <f>+Actuals!Z105</f>
        <v>0</v>
      </c>
      <c r="AD49" s="132">
        <f>+Actuals!AA105</f>
        <v>0</v>
      </c>
      <c r="AE49" s="133">
        <f>+Actuals!AB105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'TIE-OUT'!Z51+RECLASS!Z51</f>
        <v>0</v>
      </c>
      <c r="G51" s="38">
        <f>'TIE-OUT'!AA51+RECLASS!AA51</f>
        <v>0</v>
      </c>
      <c r="H51" s="132">
        <v>0</v>
      </c>
      <c r="I51" s="133">
        <v>0</v>
      </c>
      <c r="J51" s="132">
        <v>0</v>
      </c>
      <c r="K51" s="149">
        <v>0</v>
      </c>
      <c r="L51" s="132">
        <f>+Actuals!I106</f>
        <v>0</v>
      </c>
      <c r="M51" s="133">
        <f>+Actuals!J106</f>
        <v>0</v>
      </c>
      <c r="N51" s="132">
        <f>+Actuals!K106</f>
        <v>0</v>
      </c>
      <c r="O51" s="133">
        <f>+Actuals!L106</f>
        <v>0</v>
      </c>
      <c r="P51" s="132">
        <f>+Actuals!M106</f>
        <v>0</v>
      </c>
      <c r="Q51" s="133">
        <f>+Actuals!N106</f>
        <v>0</v>
      </c>
      <c r="R51" s="132">
        <f>+Actuals!O106</f>
        <v>0</v>
      </c>
      <c r="S51" s="133">
        <f>+Actuals!P106</f>
        <v>0</v>
      </c>
      <c r="T51" s="129">
        <f>+Actuals!Q146</f>
        <v>0</v>
      </c>
      <c r="U51" s="130">
        <f>+Actuals!R146</f>
        <v>0</v>
      </c>
      <c r="V51" s="132">
        <f>+Actuals!S146</f>
        <v>0</v>
      </c>
      <c r="W51" s="133">
        <f>+Actuals!T146</f>
        <v>0</v>
      </c>
      <c r="X51" s="132">
        <f>+Actuals!U146</f>
        <v>0</v>
      </c>
      <c r="Y51" s="133">
        <f>+Actuals!V146</f>
        <v>0</v>
      </c>
      <c r="Z51" s="132">
        <f>+Actuals!W146</f>
        <v>0</v>
      </c>
      <c r="AA51" s="133">
        <f>+Actuals!X146</f>
        <v>0</v>
      </c>
      <c r="AB51" s="132">
        <f>+Actuals!Y106</f>
        <v>0</v>
      </c>
      <c r="AC51" s="133">
        <f>+Actuals!Z106</f>
        <v>0</v>
      </c>
      <c r="AD51" s="132">
        <f>+Actuals!AA106</f>
        <v>0</v>
      </c>
      <c r="AE51" s="133">
        <f>+Actuals!AB106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>
        <v>0</v>
      </c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-13890079</v>
      </c>
      <c r="E54" s="38">
        <f>SUM(G54,I54,K54,M54,O54,Q54,S54,U54,W54,Y54,AA54,AC54,AE54)</f>
        <v>-518118.01999999996</v>
      </c>
      <c r="F54" s="64">
        <f>'TIE-OUT'!Z54+RECLASS!Z54</f>
        <v>0</v>
      </c>
      <c r="G54" s="68">
        <f>'TIE-OUT'!AA54+RECLASS!AA54</f>
        <v>6087726</v>
      </c>
      <c r="H54" s="132">
        <f>-14423776-892036</f>
        <v>-15315812</v>
      </c>
      <c r="I54" s="133">
        <f>-1253630-11405</f>
        <v>-1265035</v>
      </c>
      <c r="J54" s="132">
        <f>1897420+188511</f>
        <v>2085931</v>
      </c>
      <c r="K54" s="149">
        <f>-4171310-1043659</f>
        <v>-5214969</v>
      </c>
      <c r="L54" s="132">
        <f>-112933-171150</f>
        <v>-284083</v>
      </c>
      <c r="M54" s="133">
        <f>-33974+7033-295061</f>
        <v>-322002</v>
      </c>
      <c r="N54" s="132">
        <f>-335937-233809</f>
        <v>-569746</v>
      </c>
      <c r="O54" s="133">
        <f>27555-38016+189699</f>
        <v>179238</v>
      </c>
      <c r="P54" s="132">
        <v>-1383</v>
      </c>
      <c r="Q54" s="133">
        <f>-185+948</f>
        <v>763</v>
      </c>
      <c r="R54" s="132">
        <f>-9464+166991</f>
        <v>157527</v>
      </c>
      <c r="S54" s="133">
        <f>8043+6621-1858</f>
        <v>12806</v>
      </c>
      <c r="T54" s="129">
        <f>+Actuals!Q147</f>
        <v>14065</v>
      </c>
      <c r="U54" s="130">
        <f>+Actuals!R147</f>
        <v>2768.64</v>
      </c>
      <c r="V54" s="132">
        <f>+Actuals!S147</f>
        <v>-4210</v>
      </c>
      <c r="W54" s="133">
        <f>+Actuals!T147</f>
        <v>-301.43</v>
      </c>
      <c r="X54" s="132">
        <f>+Actuals!U147</f>
        <v>27632</v>
      </c>
      <c r="Y54" s="133">
        <f>+Actuals!V147</f>
        <v>887.77</v>
      </c>
      <c r="Z54" s="132">
        <f>+Actuals!W147</f>
        <v>0</v>
      </c>
      <c r="AA54" s="133">
        <f>+Actuals!X147</f>
        <v>0</v>
      </c>
      <c r="AB54" s="132">
        <f>+Actuals!Y107</f>
        <v>0</v>
      </c>
      <c r="AC54" s="133">
        <f>+Actuals!Z107</f>
        <v>0</v>
      </c>
      <c r="AD54" s="132">
        <f>+Actuals!AA107</f>
        <v>0</v>
      </c>
      <c r="AE54" s="133">
        <f>+Actuals!AB107</f>
        <v>0</v>
      </c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-10044794.630000001</v>
      </c>
      <c r="F55" s="81">
        <f>'TIE-OUT'!Z55+RECLASS!Z55</f>
        <v>0</v>
      </c>
      <c r="G55" s="82">
        <f>'TIE-OUT'!AA55+RECLASS!AA55</f>
        <v>-7969906</v>
      </c>
      <c r="H55" s="132">
        <v>0</v>
      </c>
      <c r="I55" s="133">
        <v>-20775</v>
      </c>
      <c r="J55" s="132">
        <f>+Actuals!G108</f>
        <v>0</v>
      </c>
      <c r="K55" s="149">
        <v>0</v>
      </c>
      <c r="L55" s="132">
        <f>+Actuals!I108</f>
        <v>0</v>
      </c>
      <c r="M55" s="133">
        <v>-251301</v>
      </c>
      <c r="N55" s="132">
        <f>+Actuals!K108</f>
        <v>0</v>
      </c>
      <c r="O55" s="133">
        <v>-1802844</v>
      </c>
      <c r="P55" s="132">
        <f>+Actuals!M108</f>
        <v>0</v>
      </c>
      <c r="Q55" s="133">
        <f>+Actuals!N108</f>
        <v>0</v>
      </c>
      <c r="R55" s="132">
        <f>+Actuals!O108</f>
        <v>0</v>
      </c>
      <c r="S55" s="133">
        <v>287775</v>
      </c>
      <c r="T55" s="129">
        <f>+Actuals!Q148</f>
        <v>0</v>
      </c>
      <c r="U55" s="130">
        <f>+Actuals!R148</f>
        <v>-287774.63</v>
      </c>
      <c r="V55" s="132">
        <f>+Actuals!S148</f>
        <v>0</v>
      </c>
      <c r="W55" s="133">
        <f>+Actuals!T148</f>
        <v>0</v>
      </c>
      <c r="X55" s="132">
        <f>+Actuals!U148</f>
        <v>0</v>
      </c>
      <c r="Y55" s="133">
        <f>+Actuals!V148</f>
        <v>31</v>
      </c>
      <c r="Z55" s="132">
        <f>+Actuals!W148</f>
        <v>0</v>
      </c>
      <c r="AA55" s="133">
        <f>+Actuals!X148</f>
        <v>0</v>
      </c>
      <c r="AB55" s="132">
        <f>+Actuals!Y108</f>
        <v>0</v>
      </c>
      <c r="AC55" s="133">
        <f>+Actuals!Z108</f>
        <v>0</v>
      </c>
      <c r="AD55" s="132">
        <f>+Actuals!AA108</f>
        <v>0</v>
      </c>
      <c r="AE55" s="133">
        <f>+Actuals!AB108</f>
        <v>0</v>
      </c>
    </row>
    <row r="56" spans="1:31" x14ac:dyDescent="0.25">
      <c r="A56" s="9"/>
      <c r="B56" s="7" t="s">
        <v>58</v>
      </c>
      <c r="C56" s="6"/>
      <c r="D56" s="61">
        <f t="shared" ref="D56:AE56" si="16">SUM(D54:D55)</f>
        <v>-13890079</v>
      </c>
      <c r="E56" s="39">
        <f t="shared" si="16"/>
        <v>-10562912.65</v>
      </c>
      <c r="F56" s="61">
        <f t="shared" si="16"/>
        <v>0</v>
      </c>
      <c r="G56" s="39">
        <f t="shared" si="16"/>
        <v>-1882180</v>
      </c>
      <c r="H56" s="61">
        <f t="shared" si="16"/>
        <v>-15315812</v>
      </c>
      <c r="I56" s="39">
        <f t="shared" si="16"/>
        <v>-1285810</v>
      </c>
      <c r="J56" s="61">
        <f t="shared" si="16"/>
        <v>2085931</v>
      </c>
      <c r="K56" s="150">
        <f t="shared" si="16"/>
        <v>-5214969</v>
      </c>
      <c r="L56" s="61">
        <f t="shared" si="16"/>
        <v>-284083</v>
      </c>
      <c r="M56" s="39">
        <f t="shared" si="16"/>
        <v>-573303</v>
      </c>
      <c r="N56" s="61">
        <f t="shared" si="16"/>
        <v>-569746</v>
      </c>
      <c r="O56" s="39">
        <f t="shared" si="16"/>
        <v>-1623606</v>
      </c>
      <c r="P56" s="61">
        <f t="shared" si="16"/>
        <v>-1383</v>
      </c>
      <c r="Q56" s="39">
        <f t="shared" si="16"/>
        <v>763</v>
      </c>
      <c r="R56" s="61">
        <f t="shared" si="16"/>
        <v>157527</v>
      </c>
      <c r="S56" s="39">
        <f t="shared" si="16"/>
        <v>300581</v>
      </c>
      <c r="T56" s="61">
        <f t="shared" si="16"/>
        <v>14065</v>
      </c>
      <c r="U56" s="39">
        <f t="shared" si="16"/>
        <v>-285005.99</v>
      </c>
      <c r="V56" s="61">
        <f t="shared" ref="V56:AA56" si="17">SUM(V54:V55)</f>
        <v>-4210</v>
      </c>
      <c r="W56" s="39">
        <f t="shared" si="17"/>
        <v>-301.43</v>
      </c>
      <c r="X56" s="61">
        <f t="shared" si="17"/>
        <v>27632</v>
      </c>
      <c r="Y56" s="39">
        <f t="shared" si="17"/>
        <v>918.77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-1</v>
      </c>
      <c r="F59" s="64">
        <f>'TIE-OUT'!Z59+RECLASS!Z59</f>
        <v>0</v>
      </c>
      <c r="G59" s="68">
        <f>'TIE-OUT'!AA59+RECLASS!AA59</f>
        <v>0</v>
      </c>
      <c r="H59" s="132">
        <f>+Actuals!E109</f>
        <v>0</v>
      </c>
      <c r="I59" s="133">
        <v>54937</v>
      </c>
      <c r="J59" s="132">
        <f>+Actuals!G109</f>
        <v>0</v>
      </c>
      <c r="K59" s="149">
        <f>+Actuals!H109-5</f>
        <v>-5</v>
      </c>
      <c r="L59" s="132">
        <f>+Actuals!I109</f>
        <v>0</v>
      </c>
      <c r="M59" s="133">
        <v>-54933</v>
      </c>
      <c r="N59" s="132">
        <f>+Actuals!K109</f>
        <v>0</v>
      </c>
      <c r="O59" s="133">
        <f>+Actuals!L109</f>
        <v>0</v>
      </c>
      <c r="P59" s="132">
        <f>+Actuals!M109</f>
        <v>0</v>
      </c>
      <c r="Q59" s="133">
        <f>+Actuals!N109</f>
        <v>0</v>
      </c>
      <c r="R59" s="132">
        <f>+Actuals!O109</f>
        <v>0</v>
      </c>
      <c r="S59" s="133">
        <f>+Actuals!P109</f>
        <v>0</v>
      </c>
      <c r="T59" s="129">
        <f>+Actuals!Q149</f>
        <v>0</v>
      </c>
      <c r="U59" s="130">
        <f>+Actuals!R149</f>
        <v>0</v>
      </c>
      <c r="V59" s="132">
        <f>+Actuals!S149</f>
        <v>0</v>
      </c>
      <c r="W59" s="133">
        <f>+Actuals!T149</f>
        <v>0</v>
      </c>
      <c r="X59" s="132">
        <f>+Actuals!U149</f>
        <v>0</v>
      </c>
      <c r="Y59" s="133">
        <f>+Actuals!V149</f>
        <v>0</v>
      </c>
      <c r="Z59" s="132">
        <f>+Actuals!W149</f>
        <v>0</v>
      </c>
      <c r="AA59" s="133">
        <f>+Actuals!X149</f>
        <v>0</v>
      </c>
      <c r="AB59" s="132">
        <f>+Actuals!Y109</f>
        <v>0</v>
      </c>
      <c r="AC59" s="133">
        <f>+Actuals!Z109</f>
        <v>0</v>
      </c>
      <c r="AD59" s="132">
        <f>+Actuals!AA109</f>
        <v>0</v>
      </c>
      <c r="AE59" s="133">
        <f>+Actuals!AB109</f>
        <v>0</v>
      </c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'TIE-OUT'!Z60+RECLASS!Z60</f>
        <v>0</v>
      </c>
      <c r="G60" s="82">
        <f>'TIE-OUT'!AA60+RECLASS!AA60</f>
        <v>0</v>
      </c>
      <c r="H60" s="132">
        <f>+Actuals!E110</f>
        <v>0</v>
      </c>
      <c r="I60" s="133">
        <f>+Actuals!F110</f>
        <v>0</v>
      </c>
      <c r="J60" s="132">
        <f>+Actuals!G110</f>
        <v>0</v>
      </c>
      <c r="K60" s="149">
        <f>+Actuals!H110</f>
        <v>0</v>
      </c>
      <c r="L60" s="132">
        <f>+Actuals!I110</f>
        <v>0</v>
      </c>
      <c r="M60" s="133">
        <f>+Actuals!J110</f>
        <v>0</v>
      </c>
      <c r="N60" s="132">
        <f>+Actuals!K110</f>
        <v>0</v>
      </c>
      <c r="O60" s="133">
        <f>+Actuals!L110</f>
        <v>0</v>
      </c>
      <c r="P60" s="132">
        <f>+Actuals!M110</f>
        <v>0</v>
      </c>
      <c r="Q60" s="133">
        <f>+Actuals!N110</f>
        <v>0</v>
      </c>
      <c r="R60" s="132">
        <f>+Actuals!O110</f>
        <v>0</v>
      </c>
      <c r="S60" s="133">
        <f>+Actuals!P110</f>
        <v>0</v>
      </c>
      <c r="T60" s="129">
        <f>+Actuals!Q150</f>
        <v>0</v>
      </c>
      <c r="U60" s="130">
        <f>+Actuals!R150</f>
        <v>0</v>
      </c>
      <c r="V60" s="132">
        <f>+Actuals!S150</f>
        <v>0</v>
      </c>
      <c r="W60" s="133">
        <f>+Actuals!T150</f>
        <v>0</v>
      </c>
      <c r="X60" s="132">
        <f>+Actuals!U150</f>
        <v>0</v>
      </c>
      <c r="Y60" s="133">
        <f>+Actuals!V150</f>
        <v>0</v>
      </c>
      <c r="Z60" s="132">
        <f>+Actuals!W150</f>
        <v>0</v>
      </c>
      <c r="AA60" s="133">
        <f>+Actuals!X150</f>
        <v>0</v>
      </c>
      <c r="AB60" s="132">
        <f>+Actuals!Y110</f>
        <v>0</v>
      </c>
      <c r="AC60" s="133">
        <f>+Actuals!Z110</f>
        <v>0</v>
      </c>
      <c r="AD60" s="132">
        <f>+Actuals!AA110</f>
        <v>0</v>
      </c>
      <c r="AE60" s="133">
        <f>+Actuals!AB110</f>
        <v>0</v>
      </c>
    </row>
    <row r="61" spans="1:31" x14ac:dyDescent="0.25">
      <c r="A61" s="9"/>
      <c r="B61" s="62" t="s">
        <v>62</v>
      </c>
      <c r="C61" s="6"/>
      <c r="D61" s="61">
        <f t="shared" ref="D61:AE61" si="18">SUM(D59:D60)</f>
        <v>0</v>
      </c>
      <c r="E61" s="39">
        <f t="shared" si="18"/>
        <v>-1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54937</v>
      </c>
      <c r="J61" s="61">
        <f t="shared" si="18"/>
        <v>0</v>
      </c>
      <c r="K61" s="150">
        <f t="shared" si="18"/>
        <v>-5</v>
      </c>
      <c r="L61" s="61">
        <f t="shared" si="18"/>
        <v>0</v>
      </c>
      <c r="M61" s="39">
        <f t="shared" si="18"/>
        <v>-54933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ref="V61:AA61" si="19">SUM(V59:V60)</f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'TIE-OUT'!Z64+RECLASS!Z64</f>
        <v>0</v>
      </c>
      <c r="G64" s="68">
        <f>'TIE-OUT'!AA64+RECLASS!AA64</f>
        <v>0</v>
      </c>
      <c r="H64" s="132">
        <f>+Actuals!E111</f>
        <v>0</v>
      </c>
      <c r="I64" s="133">
        <f>+Actuals!F111</f>
        <v>0</v>
      </c>
      <c r="J64" s="132">
        <f>+Actuals!G111</f>
        <v>0</v>
      </c>
      <c r="K64" s="149">
        <f>+Actuals!H111</f>
        <v>0</v>
      </c>
      <c r="L64" s="132">
        <f>+Actuals!I111</f>
        <v>0</v>
      </c>
      <c r="M64" s="133">
        <f>+Actuals!J111</f>
        <v>0</v>
      </c>
      <c r="N64" s="132">
        <f>+Actuals!K111</f>
        <v>0</v>
      </c>
      <c r="O64" s="133">
        <f>+Actuals!L111</f>
        <v>0</v>
      </c>
      <c r="P64" s="132">
        <f>+Actuals!M111</f>
        <v>0</v>
      </c>
      <c r="Q64" s="133">
        <f>+Actuals!N111</f>
        <v>0</v>
      </c>
      <c r="R64" s="132">
        <f>+Actuals!O111</f>
        <v>0</v>
      </c>
      <c r="S64" s="133">
        <f>+Actuals!P111</f>
        <v>0</v>
      </c>
      <c r="T64" s="129">
        <f>+Actuals!Q151</f>
        <v>0</v>
      </c>
      <c r="U64" s="130">
        <f>+Actuals!R151</f>
        <v>0</v>
      </c>
      <c r="V64" s="132">
        <f>+Actuals!S151</f>
        <v>0</v>
      </c>
      <c r="W64" s="133">
        <f>+Actuals!T151</f>
        <v>0</v>
      </c>
      <c r="X64" s="132">
        <f>+Actuals!U151</f>
        <v>0</v>
      </c>
      <c r="Y64" s="133">
        <f>+Actuals!V151</f>
        <v>0</v>
      </c>
      <c r="Z64" s="132">
        <f>+Actuals!W151</f>
        <v>0</v>
      </c>
      <c r="AA64" s="133">
        <f>+Actuals!X151</f>
        <v>0</v>
      </c>
      <c r="AB64" s="132">
        <f>+Actuals!Y111</f>
        <v>0</v>
      </c>
      <c r="AC64" s="133">
        <f>+Actuals!Z111</f>
        <v>0</v>
      </c>
      <c r="AD64" s="132">
        <f>+Actuals!AA111</f>
        <v>0</v>
      </c>
      <c r="AE64" s="133">
        <f>+Actuals!AB111</f>
        <v>0</v>
      </c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'TIE-OUT'!Z65+RECLASS!Z65</f>
        <v>0</v>
      </c>
      <c r="G65" s="82">
        <f>'TIE-OUT'!AA65+RECLASS!AA65</f>
        <v>0</v>
      </c>
      <c r="H65" s="132">
        <f>+Actuals!E112</f>
        <v>0</v>
      </c>
      <c r="I65" s="133">
        <f>+Actuals!F112</f>
        <v>0</v>
      </c>
      <c r="J65" s="132">
        <f>+Actuals!G112</f>
        <v>0</v>
      </c>
      <c r="K65" s="149">
        <f>+Actuals!H112</f>
        <v>0</v>
      </c>
      <c r="L65" s="132">
        <f>+Actuals!I112</f>
        <v>0</v>
      </c>
      <c r="M65" s="133">
        <f>+Actuals!J112</f>
        <v>0</v>
      </c>
      <c r="N65" s="132">
        <f>+Actuals!K112</f>
        <v>0</v>
      </c>
      <c r="O65" s="133">
        <f>+Actuals!L112</f>
        <v>0</v>
      </c>
      <c r="P65" s="132">
        <f>+Actuals!M112</f>
        <v>0</v>
      </c>
      <c r="Q65" s="133">
        <f>+Actuals!N112</f>
        <v>0</v>
      </c>
      <c r="R65" s="132">
        <f>+Actuals!O112</f>
        <v>0</v>
      </c>
      <c r="S65" s="133">
        <f>+Actuals!P112</f>
        <v>0</v>
      </c>
      <c r="T65" s="129">
        <f>+Actuals!Q152</f>
        <v>0</v>
      </c>
      <c r="U65" s="130">
        <f>+Actuals!R152</f>
        <v>0</v>
      </c>
      <c r="V65" s="132">
        <f>+Actuals!S152</f>
        <v>0</v>
      </c>
      <c r="W65" s="133">
        <f>+Actuals!T152</f>
        <v>0</v>
      </c>
      <c r="X65" s="132">
        <f>+Actuals!U152</f>
        <v>0</v>
      </c>
      <c r="Y65" s="133">
        <f>+Actuals!V152</f>
        <v>0</v>
      </c>
      <c r="Z65" s="132">
        <f>+Actuals!W152</f>
        <v>0</v>
      </c>
      <c r="AA65" s="133">
        <f>+Actuals!X152</f>
        <v>0</v>
      </c>
      <c r="AB65" s="132">
        <f>+Actuals!Y112</f>
        <v>0</v>
      </c>
      <c r="AC65" s="133">
        <f>+Actuals!Z112</f>
        <v>0</v>
      </c>
      <c r="AD65" s="132">
        <f>+Actuals!AA112</f>
        <v>0</v>
      </c>
      <c r="AE65" s="133">
        <f>+Actuals!AB112</f>
        <v>0</v>
      </c>
    </row>
    <row r="66" spans="1:31" x14ac:dyDescent="0.25">
      <c r="A66" s="9"/>
      <c r="B66" s="7" t="s">
        <v>65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ref="V66:AA66" si="21">SUM(V64:V65)</f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6564288.6299999999</v>
      </c>
      <c r="F70" s="64">
        <f>'TIE-OUT'!Z70+RECLASS!Z70</f>
        <v>0</v>
      </c>
      <c r="G70" s="68">
        <f>'TIE-OUT'!AA70+RECLASS!AA70</f>
        <v>6564288.6299999999</v>
      </c>
      <c r="H70" s="132">
        <f>+Actuals!E113</f>
        <v>0</v>
      </c>
      <c r="I70" s="133">
        <f>+Actuals!F113</f>
        <v>0</v>
      </c>
      <c r="J70" s="132">
        <f>+Actuals!G113</f>
        <v>0</v>
      </c>
      <c r="K70" s="159">
        <v>0</v>
      </c>
      <c r="L70" s="132">
        <f>+Actuals!I113</f>
        <v>0</v>
      </c>
      <c r="M70" s="133">
        <f>+Actuals!J113</f>
        <v>0</v>
      </c>
      <c r="N70" s="132">
        <f>+Actuals!K113</f>
        <v>0</v>
      </c>
      <c r="O70" s="133">
        <f>+Actuals!L113</f>
        <v>0</v>
      </c>
      <c r="P70" s="132">
        <f>+Actuals!M113</f>
        <v>0</v>
      </c>
      <c r="Q70" s="133">
        <f>+Actuals!N113</f>
        <v>0</v>
      </c>
      <c r="R70" s="132">
        <f>+Actuals!O113</f>
        <v>0</v>
      </c>
      <c r="S70" s="133">
        <f>+Actuals!P113</f>
        <v>0</v>
      </c>
      <c r="T70" s="129">
        <f>+Actuals!Q153</f>
        <v>0</v>
      </c>
      <c r="U70" s="130">
        <f>+Actuals!R153</f>
        <v>0</v>
      </c>
      <c r="V70" s="132">
        <f>+Actuals!S153</f>
        <v>0</v>
      </c>
      <c r="W70" s="133">
        <f>+Actuals!T153</f>
        <v>0</v>
      </c>
      <c r="X70" s="132">
        <f>+Actuals!U153</f>
        <v>0</v>
      </c>
      <c r="Y70" s="133">
        <f>+Actuals!V153</f>
        <v>0</v>
      </c>
      <c r="Z70" s="132">
        <f>+Actuals!W153</f>
        <v>0</v>
      </c>
      <c r="AA70" s="133">
        <f>+Actuals!X153</f>
        <v>0</v>
      </c>
      <c r="AB70" s="132">
        <f>+Actuals!Y113</f>
        <v>0</v>
      </c>
      <c r="AC70" s="133">
        <f>+Actuals!Z113</f>
        <v>0</v>
      </c>
      <c r="AD70" s="132">
        <f>+Actuals!AA113</f>
        <v>0</v>
      </c>
      <c r="AE70" s="133">
        <f>+Actuals!AB113</f>
        <v>0</v>
      </c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-6075072.7400000002</v>
      </c>
      <c r="F71" s="81">
        <f>'TIE-OUT'!Z71+RECLASS!Z71</f>
        <v>0</v>
      </c>
      <c r="G71" s="82">
        <f>'TIE-OUT'!AA71+RECLASS!AA71</f>
        <v>-6075072.7400000002</v>
      </c>
      <c r="H71" s="132">
        <f>+Actuals!E114</f>
        <v>0</v>
      </c>
      <c r="I71" s="133">
        <f>+Actuals!F114</f>
        <v>0</v>
      </c>
      <c r="J71" s="132">
        <f>+Actuals!G114</f>
        <v>0</v>
      </c>
      <c r="K71" s="149">
        <f>+Actuals!H114</f>
        <v>0</v>
      </c>
      <c r="L71" s="132">
        <f>+Actuals!I114</f>
        <v>0</v>
      </c>
      <c r="M71" s="133">
        <f>+Actuals!J114</f>
        <v>0</v>
      </c>
      <c r="N71" s="132">
        <f>+Actuals!K114</f>
        <v>0</v>
      </c>
      <c r="O71" s="133">
        <f>+Actuals!L114</f>
        <v>0</v>
      </c>
      <c r="P71" s="132">
        <f>+Actuals!M114</f>
        <v>0</v>
      </c>
      <c r="Q71" s="133">
        <f>+Actuals!N114</f>
        <v>0</v>
      </c>
      <c r="R71" s="132">
        <f>+Actuals!O114</f>
        <v>0</v>
      </c>
      <c r="S71" s="133">
        <f>+Actuals!P114</f>
        <v>0</v>
      </c>
      <c r="T71" s="129">
        <f>+Actuals!Q154</f>
        <v>0</v>
      </c>
      <c r="U71" s="130">
        <f>+Actuals!R154</f>
        <v>0</v>
      </c>
      <c r="V71" s="132">
        <f>+Actuals!S154</f>
        <v>0</v>
      </c>
      <c r="W71" s="133">
        <f>+Actuals!T154</f>
        <v>0</v>
      </c>
      <c r="X71" s="132">
        <f>+Actuals!U154</f>
        <v>0</v>
      </c>
      <c r="Y71" s="133">
        <f>+Actuals!V154</f>
        <v>0</v>
      </c>
      <c r="Z71" s="132">
        <f>+Actuals!W154</f>
        <v>0</v>
      </c>
      <c r="AA71" s="133">
        <f>+Actuals!X154</f>
        <v>0</v>
      </c>
      <c r="AB71" s="132">
        <f>+Actuals!Y114</f>
        <v>0</v>
      </c>
      <c r="AC71" s="133">
        <f>+Actuals!Z114</f>
        <v>0</v>
      </c>
      <c r="AD71" s="132">
        <f>+Actuals!AA114</f>
        <v>0</v>
      </c>
      <c r="AE71" s="133">
        <f>+Actuals!AB114</f>
        <v>0</v>
      </c>
    </row>
    <row r="72" spans="1:31" x14ac:dyDescent="0.25">
      <c r="A72" s="9"/>
      <c r="B72" s="3"/>
      <c r="C72" s="55" t="s">
        <v>70</v>
      </c>
      <c r="D72" s="61">
        <f t="shared" ref="D72:AE72" si="22">SUM(D70:D71)</f>
        <v>0</v>
      </c>
      <c r="E72" s="39">
        <f t="shared" si="22"/>
        <v>489215.88999999966</v>
      </c>
      <c r="F72" s="61">
        <f t="shared" si="22"/>
        <v>0</v>
      </c>
      <c r="G72" s="39">
        <f t="shared" si="22"/>
        <v>489215.88999999966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'TIE-OUT'!Z73+RECLASS!Z73</f>
        <v>0</v>
      </c>
      <c r="G73" s="60">
        <f>'TIE-OUT'!AA73+RECLASS!AA73</f>
        <v>0</v>
      </c>
      <c r="H73" s="132">
        <f>+Actuals!E115</f>
        <v>0</v>
      </c>
      <c r="I73" s="133">
        <f>+Actuals!F115</f>
        <v>0</v>
      </c>
      <c r="J73" s="132">
        <f>+Actuals!G115</f>
        <v>0</v>
      </c>
      <c r="K73" s="149">
        <f>+Actuals!H115</f>
        <v>0</v>
      </c>
      <c r="L73" s="132">
        <f>+Actuals!I115</f>
        <v>0</v>
      </c>
      <c r="M73" s="133">
        <f>+Actuals!J115</f>
        <v>0</v>
      </c>
      <c r="N73" s="132">
        <f>+Actuals!K115</f>
        <v>0</v>
      </c>
      <c r="O73" s="133">
        <f>+Actuals!L115</f>
        <v>0</v>
      </c>
      <c r="P73" s="132">
        <f>+Actuals!M115</f>
        <v>0</v>
      </c>
      <c r="Q73" s="133">
        <f>+Actuals!N115</f>
        <v>0</v>
      </c>
      <c r="R73" s="132">
        <f>+Actuals!O115</f>
        <v>0</v>
      </c>
      <c r="S73" s="133">
        <f>+Actuals!P115</f>
        <v>0</v>
      </c>
      <c r="T73" s="129">
        <f>+Actuals!Q155</f>
        <v>0</v>
      </c>
      <c r="U73" s="130">
        <f>+Actuals!R155</f>
        <v>0</v>
      </c>
      <c r="V73" s="132">
        <f>+Actuals!S155</f>
        <v>0</v>
      </c>
      <c r="W73" s="133">
        <f>+Actuals!T155</f>
        <v>0</v>
      </c>
      <c r="X73" s="132">
        <f>+Actuals!U155</f>
        <v>0</v>
      </c>
      <c r="Y73" s="133">
        <f>+Actuals!V155</f>
        <v>0</v>
      </c>
      <c r="Z73" s="132">
        <f>+Actuals!W155</f>
        <v>0</v>
      </c>
      <c r="AA73" s="133">
        <f>+Actuals!X155</f>
        <v>0</v>
      </c>
      <c r="AB73" s="132">
        <f>+Actuals!Y115</f>
        <v>0</v>
      </c>
      <c r="AC73" s="133">
        <f>+Actuals!Z115</f>
        <v>0</v>
      </c>
      <c r="AD73" s="132">
        <f>+Actuals!AA115</f>
        <v>0</v>
      </c>
      <c r="AE73" s="133">
        <f>+Actuals!AB115</f>
        <v>0</v>
      </c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-577141</v>
      </c>
      <c r="F74" s="60">
        <f>'TIE-OUT'!Z74+RECLASS!Z74</f>
        <v>0</v>
      </c>
      <c r="G74" s="60">
        <f>'TIE-OUT'!AA74+RECLASS!AA74</f>
        <v>-577141</v>
      </c>
      <c r="H74" s="132">
        <f>+Actuals!E116</f>
        <v>0</v>
      </c>
      <c r="I74" s="133">
        <f>+Actuals!F116</f>
        <v>0</v>
      </c>
      <c r="J74" s="132">
        <f>+Actuals!G116</f>
        <v>0</v>
      </c>
      <c r="K74" s="149">
        <f>+Actuals!H116</f>
        <v>0</v>
      </c>
      <c r="L74" s="132">
        <f>+Actuals!I116</f>
        <v>0</v>
      </c>
      <c r="M74" s="133">
        <f>+Actuals!J116</f>
        <v>0</v>
      </c>
      <c r="N74" s="132">
        <f>+Actuals!K116</f>
        <v>0</v>
      </c>
      <c r="O74" s="133">
        <f>+Actuals!L116</f>
        <v>0</v>
      </c>
      <c r="P74" s="132">
        <f>+Actuals!M116</f>
        <v>0</v>
      </c>
      <c r="Q74" s="133">
        <f>+Actuals!N116</f>
        <v>0</v>
      </c>
      <c r="R74" s="132">
        <f>+Actuals!O116</f>
        <v>0</v>
      </c>
      <c r="S74" s="133">
        <f>+Actuals!P116</f>
        <v>0</v>
      </c>
      <c r="T74" s="129">
        <f>+Actuals!Q156</f>
        <v>0</v>
      </c>
      <c r="U74" s="130">
        <f>+Actuals!R156</f>
        <v>0</v>
      </c>
      <c r="V74" s="132">
        <f>+Actuals!S156</f>
        <v>0</v>
      </c>
      <c r="W74" s="133">
        <f>+Actuals!T156</f>
        <v>0</v>
      </c>
      <c r="X74" s="132">
        <f>+Actuals!U156</f>
        <v>0</v>
      </c>
      <c r="Y74" s="133">
        <f>+Actuals!V156</f>
        <v>0</v>
      </c>
      <c r="Z74" s="132">
        <f>+Actuals!W156</f>
        <v>0</v>
      </c>
      <c r="AA74" s="133">
        <f>+Actuals!X156</f>
        <v>0</v>
      </c>
      <c r="AB74" s="132">
        <f>+Actuals!Y116</f>
        <v>0</v>
      </c>
      <c r="AC74" s="133">
        <f>+Actuals!Z116</f>
        <v>0</v>
      </c>
      <c r="AD74" s="132">
        <f>+Actuals!AA116</f>
        <v>0</v>
      </c>
      <c r="AE74" s="133">
        <f>+Actuals!AB116</f>
        <v>0</v>
      </c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130700</v>
      </c>
      <c r="F75" s="60">
        <f>'TIE-OUT'!Z75+RECLASS!Z75</f>
        <v>0</v>
      </c>
      <c r="G75" s="60">
        <f>'TIE-OUT'!AA75+RECLASS!AA75</f>
        <v>130700</v>
      </c>
      <c r="H75" s="132">
        <f>+Actuals!E117</f>
        <v>0</v>
      </c>
      <c r="I75" s="133">
        <f>+Actuals!F117</f>
        <v>0</v>
      </c>
      <c r="J75" s="132">
        <f>+Actuals!G117</f>
        <v>0</v>
      </c>
      <c r="K75" s="149">
        <f>+Actuals!H117</f>
        <v>0</v>
      </c>
      <c r="L75" s="132">
        <f>+Actuals!I117</f>
        <v>0</v>
      </c>
      <c r="M75" s="133">
        <f>+Actuals!J117</f>
        <v>0</v>
      </c>
      <c r="N75" s="132">
        <f>+Actuals!K117</f>
        <v>0</v>
      </c>
      <c r="O75" s="133">
        <f>+Actuals!L117</f>
        <v>0</v>
      </c>
      <c r="P75" s="132">
        <f>+Actuals!M117</f>
        <v>0</v>
      </c>
      <c r="Q75" s="133">
        <f>+Actuals!N117</f>
        <v>0</v>
      </c>
      <c r="R75" s="132">
        <f>+Actuals!O117</f>
        <v>0</v>
      </c>
      <c r="S75" s="133">
        <f>+Actuals!P117</f>
        <v>0</v>
      </c>
      <c r="T75" s="129">
        <f>+Actuals!Q157</f>
        <v>0</v>
      </c>
      <c r="U75" s="130">
        <f>+Actuals!R157</f>
        <v>0</v>
      </c>
      <c r="V75" s="132">
        <f>+Actuals!S157</f>
        <v>0</v>
      </c>
      <c r="W75" s="133">
        <f>+Actuals!T157</f>
        <v>0</v>
      </c>
      <c r="X75" s="132">
        <f>+Actuals!U157</f>
        <v>0</v>
      </c>
      <c r="Y75" s="133">
        <f>+Actuals!V157</f>
        <v>0</v>
      </c>
      <c r="Z75" s="132">
        <f>+Actuals!W157</f>
        <v>0</v>
      </c>
      <c r="AA75" s="133">
        <f>+Actuals!X157</f>
        <v>0</v>
      </c>
      <c r="AB75" s="132">
        <f>+Actuals!Y117</f>
        <v>0</v>
      </c>
      <c r="AC75" s="133">
        <f>+Actuals!Z117</f>
        <v>0</v>
      </c>
      <c r="AD75" s="132">
        <f>+Actuals!AA117</f>
        <v>0</v>
      </c>
      <c r="AE75" s="133">
        <f>+Actuals!AB117</f>
        <v>0</v>
      </c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60">
        <f>'TIE-OUT'!Z76+RECLASS!Z76</f>
        <v>0</v>
      </c>
      <c r="G76" s="60">
        <f>'TIE-OUT'!AA76+RECLASS!AA76</f>
        <v>0</v>
      </c>
      <c r="H76" s="132">
        <f>+Actuals!E118</f>
        <v>0</v>
      </c>
      <c r="I76" s="133">
        <f>+Actuals!F118</f>
        <v>0</v>
      </c>
      <c r="J76" s="132">
        <f>+Actuals!G118</f>
        <v>0</v>
      </c>
      <c r="K76" s="149">
        <f>+Actuals!H118</f>
        <v>0</v>
      </c>
      <c r="L76" s="132">
        <f>+Actuals!I118</f>
        <v>0</v>
      </c>
      <c r="M76" s="133">
        <f>+Actuals!J118</f>
        <v>0</v>
      </c>
      <c r="N76" s="132">
        <f>+Actuals!K118</f>
        <v>0</v>
      </c>
      <c r="O76" s="133">
        <f>+Actuals!L118</f>
        <v>0</v>
      </c>
      <c r="P76" s="132">
        <f>+Actuals!M118</f>
        <v>0</v>
      </c>
      <c r="Q76" s="133">
        <f>+Actuals!N118</f>
        <v>0</v>
      </c>
      <c r="R76" s="132">
        <f>+Actuals!O118</f>
        <v>0</v>
      </c>
      <c r="S76" s="133">
        <f>+Actuals!P118</f>
        <v>0</v>
      </c>
      <c r="T76" s="129">
        <f>+Actuals!Q158</f>
        <v>0</v>
      </c>
      <c r="U76" s="130">
        <f>+Actuals!R158</f>
        <v>0</v>
      </c>
      <c r="V76" s="132">
        <f>+Actuals!S158</f>
        <v>0</v>
      </c>
      <c r="W76" s="133">
        <f>+Actuals!T158</f>
        <v>0</v>
      </c>
      <c r="X76" s="132">
        <f>+Actuals!U158</f>
        <v>0</v>
      </c>
      <c r="Y76" s="133">
        <f>+Actuals!V158</f>
        <v>0</v>
      </c>
      <c r="Z76" s="132">
        <f>+Actuals!W158</f>
        <v>0</v>
      </c>
      <c r="AA76" s="133">
        <f>+Actuals!X158</f>
        <v>0</v>
      </c>
      <c r="AB76" s="132">
        <f>+Actuals!Y118</f>
        <v>0</v>
      </c>
      <c r="AC76" s="133">
        <f>+Actuals!Z118</f>
        <v>0</v>
      </c>
      <c r="AD76" s="132">
        <f>+Actuals!AA118</f>
        <v>0</v>
      </c>
      <c r="AE76" s="133">
        <f>+Actuals!AB118</f>
        <v>0</v>
      </c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'TIE-OUT'!Z77+RECLASS!Z77</f>
        <v>0</v>
      </c>
      <c r="G77" s="60">
        <f>'TIE-OUT'!AA77+RECLASS!AA77</f>
        <v>0</v>
      </c>
      <c r="H77" s="132">
        <f>+Actuals!E119</f>
        <v>0</v>
      </c>
      <c r="I77" s="133">
        <f>+Actuals!F119</f>
        <v>0</v>
      </c>
      <c r="J77" s="132">
        <f>+Actuals!G119</f>
        <v>0</v>
      </c>
      <c r="K77" s="149">
        <f>+Actuals!H119</f>
        <v>0</v>
      </c>
      <c r="L77" s="132">
        <f>+Actuals!I119</f>
        <v>0</v>
      </c>
      <c r="M77" s="133">
        <f>+Actuals!J119</f>
        <v>0</v>
      </c>
      <c r="N77" s="132">
        <f>+Actuals!K119</f>
        <v>0</v>
      </c>
      <c r="O77" s="133">
        <f>+Actuals!L119</f>
        <v>0</v>
      </c>
      <c r="P77" s="132">
        <f>+Actuals!M119</f>
        <v>0</v>
      </c>
      <c r="Q77" s="133">
        <f>+Actuals!N119</f>
        <v>0</v>
      </c>
      <c r="R77" s="132">
        <f>+Actuals!O119</f>
        <v>0</v>
      </c>
      <c r="S77" s="133">
        <f>+Actuals!P119</f>
        <v>0</v>
      </c>
      <c r="T77" s="129">
        <f>+Actuals!Q159</f>
        <v>0</v>
      </c>
      <c r="U77" s="130">
        <f>+Actuals!R159</f>
        <v>0</v>
      </c>
      <c r="V77" s="132">
        <f>+Actuals!S159</f>
        <v>0</v>
      </c>
      <c r="W77" s="133">
        <f>+Actuals!T159</f>
        <v>0</v>
      </c>
      <c r="X77" s="132">
        <f>+Actuals!U159</f>
        <v>0</v>
      </c>
      <c r="Y77" s="133">
        <f>+Actuals!V159</f>
        <v>0</v>
      </c>
      <c r="Z77" s="132">
        <f>+Actuals!W159</f>
        <v>0</v>
      </c>
      <c r="AA77" s="133">
        <f>+Actuals!X159</f>
        <v>0</v>
      </c>
      <c r="AB77" s="132">
        <f>+Actuals!Y119</f>
        <v>0</v>
      </c>
      <c r="AC77" s="133">
        <f>+Actuals!Z119</f>
        <v>0</v>
      </c>
      <c r="AD77" s="132">
        <f>+Actuals!AA119</f>
        <v>0</v>
      </c>
      <c r="AE77" s="133">
        <f>+Actuals!AB119</f>
        <v>0</v>
      </c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'TIE-OUT'!Z78+RECLASS!Z78</f>
        <v>0</v>
      </c>
      <c r="G78" s="60">
        <f>'TIE-OUT'!AA78+RECLASS!AA78</f>
        <v>0</v>
      </c>
      <c r="H78" s="132">
        <f>+Actuals!E120</f>
        <v>0</v>
      </c>
      <c r="I78" s="133">
        <f>+Actuals!F120</f>
        <v>0</v>
      </c>
      <c r="J78" s="132">
        <f>+Actuals!G120</f>
        <v>0</v>
      </c>
      <c r="K78" s="149">
        <f>+Actuals!H120</f>
        <v>0</v>
      </c>
      <c r="L78" s="132">
        <f>+Actuals!I120</f>
        <v>0</v>
      </c>
      <c r="M78" s="133">
        <f>+Actuals!J120</f>
        <v>0</v>
      </c>
      <c r="N78" s="132">
        <f>+Actuals!K120</f>
        <v>0</v>
      </c>
      <c r="O78" s="133">
        <f>+Actuals!L120</f>
        <v>0</v>
      </c>
      <c r="P78" s="132">
        <f>+Actuals!M120</f>
        <v>0</v>
      </c>
      <c r="Q78" s="133">
        <f>+Actuals!N120</f>
        <v>0</v>
      </c>
      <c r="R78" s="132">
        <f>+Actuals!O120</f>
        <v>0</v>
      </c>
      <c r="S78" s="133">
        <f>+Actuals!P120</f>
        <v>0</v>
      </c>
      <c r="T78" s="129">
        <f>+Actuals!Q160</f>
        <v>0</v>
      </c>
      <c r="U78" s="130">
        <f>+Actuals!R160</f>
        <v>0</v>
      </c>
      <c r="V78" s="132">
        <f>+Actuals!S160</f>
        <v>0</v>
      </c>
      <c r="W78" s="133">
        <f>+Actuals!T160</f>
        <v>0</v>
      </c>
      <c r="X78" s="132">
        <f>+Actuals!U160</f>
        <v>0</v>
      </c>
      <c r="Y78" s="133">
        <f>+Actuals!V160</f>
        <v>0</v>
      </c>
      <c r="Z78" s="132">
        <f>+Actuals!W160</f>
        <v>0</v>
      </c>
      <c r="AA78" s="133">
        <f>+Actuals!X160</f>
        <v>0</v>
      </c>
      <c r="AB78" s="132">
        <f>+Actuals!Y120</f>
        <v>0</v>
      </c>
      <c r="AC78" s="133">
        <f>+Actuals!Z120</f>
        <v>0</v>
      </c>
      <c r="AD78" s="132">
        <f>+Actuals!AA120</f>
        <v>0</v>
      </c>
      <c r="AE78" s="133">
        <f>+Actuals!AB120</f>
        <v>0</v>
      </c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'TIE-OUT'!Z79+RECLASS!Z79</f>
        <v>0</v>
      </c>
      <c r="G79" s="60">
        <f>'TIE-OUT'!AA79+RECLASS!AA79</f>
        <v>0</v>
      </c>
      <c r="H79" s="132">
        <f>+Actuals!E121</f>
        <v>0</v>
      </c>
      <c r="I79" s="133">
        <f>+Actuals!F121</f>
        <v>0</v>
      </c>
      <c r="J79" s="132">
        <f>+Actuals!G121</f>
        <v>0</v>
      </c>
      <c r="K79" s="149">
        <f>+Actuals!H121</f>
        <v>0</v>
      </c>
      <c r="L79" s="132">
        <f>+Actuals!I121</f>
        <v>0</v>
      </c>
      <c r="M79" s="133">
        <f>+Actuals!J121</f>
        <v>0</v>
      </c>
      <c r="N79" s="132">
        <f>+Actuals!K121</f>
        <v>0</v>
      </c>
      <c r="O79" s="133">
        <f>+Actuals!L121</f>
        <v>0</v>
      </c>
      <c r="P79" s="132">
        <f>+Actuals!M121</f>
        <v>0</v>
      </c>
      <c r="Q79" s="133">
        <f>+Actuals!N121</f>
        <v>0</v>
      </c>
      <c r="R79" s="132">
        <f>+Actuals!O121</f>
        <v>0</v>
      </c>
      <c r="S79" s="133">
        <f>+Actuals!P121</f>
        <v>0</v>
      </c>
      <c r="T79" s="129">
        <f>+Actuals!Q161</f>
        <v>0</v>
      </c>
      <c r="U79" s="130">
        <f>+Actuals!R161</f>
        <v>0</v>
      </c>
      <c r="V79" s="132">
        <f>+Actuals!S161</f>
        <v>0</v>
      </c>
      <c r="W79" s="133">
        <f>+Actuals!T161</f>
        <v>0</v>
      </c>
      <c r="X79" s="132">
        <f>+Actuals!U161</f>
        <v>0</v>
      </c>
      <c r="Y79" s="133">
        <f>+Actuals!V161</f>
        <v>0</v>
      </c>
      <c r="Z79" s="132">
        <f>+Actuals!W161</f>
        <v>0</v>
      </c>
      <c r="AA79" s="133">
        <f>+Actuals!X161</f>
        <v>0</v>
      </c>
      <c r="AB79" s="132">
        <f>+Actuals!Y121</f>
        <v>0</v>
      </c>
      <c r="AC79" s="133">
        <f>+Actuals!Z121</f>
        <v>0</v>
      </c>
      <c r="AD79" s="132">
        <f>+Actuals!AA121</f>
        <v>0</v>
      </c>
      <c r="AE79" s="133">
        <f>+Actuals!AB121</f>
        <v>0</v>
      </c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'TIE-OUT'!Z80+RECLASS!Z80</f>
        <v>0</v>
      </c>
      <c r="G80" s="60">
        <f>'TIE-OUT'!AA80+RECLASS!AA80</f>
        <v>0</v>
      </c>
      <c r="H80" s="132">
        <f>+Actuals!E122</f>
        <v>0</v>
      </c>
      <c r="I80" s="133">
        <f>+Actuals!F122</f>
        <v>0</v>
      </c>
      <c r="J80" s="132">
        <f>+Actuals!G122</f>
        <v>0</v>
      </c>
      <c r="K80" s="149">
        <f>+Actuals!H122</f>
        <v>0</v>
      </c>
      <c r="L80" s="132">
        <f>+Actuals!I122</f>
        <v>0</v>
      </c>
      <c r="M80" s="133">
        <f>+Actuals!J122</f>
        <v>0</v>
      </c>
      <c r="N80" s="132">
        <f>+Actuals!K122</f>
        <v>0</v>
      </c>
      <c r="O80" s="133">
        <f>+Actuals!L122</f>
        <v>0</v>
      </c>
      <c r="P80" s="132">
        <f>+Actuals!M122</f>
        <v>0</v>
      </c>
      <c r="Q80" s="133">
        <f>+Actuals!N122</f>
        <v>0</v>
      </c>
      <c r="R80" s="132">
        <f>+Actuals!O122</f>
        <v>0</v>
      </c>
      <c r="S80" s="133">
        <f>+Actuals!P122</f>
        <v>0</v>
      </c>
      <c r="T80" s="129">
        <f>+Actuals!Q162</f>
        <v>0</v>
      </c>
      <c r="U80" s="130">
        <f>+Actuals!R162</f>
        <v>0</v>
      </c>
      <c r="V80" s="132">
        <f>+Actuals!S162</f>
        <v>0</v>
      </c>
      <c r="W80" s="133">
        <f>+Actuals!T162</f>
        <v>0</v>
      </c>
      <c r="X80" s="132">
        <f>+Actuals!U162</f>
        <v>0</v>
      </c>
      <c r="Y80" s="133">
        <f>+Actuals!V162</f>
        <v>0</v>
      </c>
      <c r="Z80" s="132">
        <f>+Actuals!W162</f>
        <v>0</v>
      </c>
      <c r="AA80" s="133">
        <f>+Actuals!X162</f>
        <v>0</v>
      </c>
      <c r="AB80" s="132">
        <f>+Actuals!Y122</f>
        <v>0</v>
      </c>
      <c r="AC80" s="133">
        <f>+Actuals!Z122</f>
        <v>0</v>
      </c>
      <c r="AD80" s="132">
        <f>+Actuals!AA122</f>
        <v>0</v>
      </c>
      <c r="AE80" s="133">
        <f>+Actuals!AB122</f>
        <v>0</v>
      </c>
    </row>
    <row r="81" spans="1:31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60">
        <f>'TIE-OUT'!Z81+RECLASS!Z81</f>
        <v>0</v>
      </c>
      <c r="G81" s="60">
        <f>'TIE-OUT'!AA81+RECLASS!AA81</f>
        <v>0</v>
      </c>
      <c r="H81" s="132">
        <f>+Actuals!E123</f>
        <v>0</v>
      </c>
      <c r="I81" s="133">
        <f>+Actuals!F123</f>
        <v>0</v>
      </c>
      <c r="J81" s="132">
        <f>+Actuals!G123</f>
        <v>0</v>
      </c>
      <c r="K81" s="149">
        <f>+Actuals!H123</f>
        <v>0</v>
      </c>
      <c r="L81" s="132">
        <f>+Actuals!I123</f>
        <v>0</v>
      </c>
      <c r="M81" s="133">
        <f>+Actuals!J123</f>
        <v>0</v>
      </c>
      <c r="N81" s="132">
        <f>+Actuals!K123</f>
        <v>0</v>
      </c>
      <c r="O81" s="133">
        <f>+Actuals!L123</f>
        <v>0</v>
      </c>
      <c r="P81" s="132">
        <f>+Actuals!M123</f>
        <v>0</v>
      </c>
      <c r="Q81" s="133">
        <f>+Actuals!N123</f>
        <v>0</v>
      </c>
      <c r="R81" s="132">
        <f>+Actuals!O123</f>
        <v>0</v>
      </c>
      <c r="S81" s="133">
        <f>+Actuals!P123</f>
        <v>0</v>
      </c>
      <c r="T81" s="129">
        <f>+Actuals!Q163</f>
        <v>0</v>
      </c>
      <c r="U81" s="130">
        <f>+Actuals!R163</f>
        <v>0</v>
      </c>
      <c r="V81" s="132">
        <f>+Actuals!S163</f>
        <v>0</v>
      </c>
      <c r="W81" s="133">
        <f>+Actuals!T163</f>
        <v>0</v>
      </c>
      <c r="X81" s="132">
        <f>+Actuals!U163</f>
        <v>0</v>
      </c>
      <c r="Y81" s="133">
        <f>+Actuals!V163</f>
        <v>0</v>
      </c>
      <c r="Z81" s="132">
        <f>+Actuals!W163</f>
        <v>0</v>
      </c>
      <c r="AA81" s="133">
        <f>+Actuals!X163</f>
        <v>0</v>
      </c>
      <c r="AB81" s="132">
        <f>+Actuals!Y123</f>
        <v>0</v>
      </c>
      <c r="AC81" s="133">
        <f>+Actuals!Z123</f>
        <v>0</v>
      </c>
      <c r="AD81" s="132">
        <f>+Actuals!AA123</f>
        <v>0</v>
      </c>
      <c r="AE81" s="133">
        <f>+Actuals!AB123</f>
        <v>0</v>
      </c>
    </row>
    <row r="82" spans="1:3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2057103.8150000013</v>
      </c>
      <c r="F82" s="92">
        <f>F16+F24+F29+F36+F43+F45+F47+F49</f>
        <v>0</v>
      </c>
      <c r="G82" s="93">
        <f>SUM(G72:G81)+G16+G24+G29+G36+G43+G45+G47+G49+G51+G56+G61+G66</f>
        <v>-1839405.1100000003</v>
      </c>
      <c r="H82" s="92">
        <f>H16+H24+H29+H36+H43+H45+H47+H49</f>
        <v>0</v>
      </c>
      <c r="I82" s="93">
        <f>SUM(I72:I81)+I16+I24+I29+I36+I43+I45+I47+I49+I51+I56+I61+I66</f>
        <v>5086031</v>
      </c>
      <c r="J82" s="92">
        <f>J16+J24+J29+J36+J43+J45+J47+J49</f>
        <v>0</v>
      </c>
      <c r="K82" s="160">
        <f>SUM(K72:K81)+K16+K24+K29+K36+K43+K45+K47+K49+K51+K56+K61+K66</f>
        <v>2811712</v>
      </c>
      <c r="L82" s="92">
        <f>L16+L24+L29+L36+L43+L45+L47+L49</f>
        <v>0</v>
      </c>
      <c r="M82" s="160">
        <f>SUM(M72:M81)+M16+M24+M29+M36+M43+M45+M47+M49+M51+M56+M61+M66</f>
        <v>-942657.2</v>
      </c>
      <c r="N82" s="92">
        <f>N16+N24+N29+N36+N43+N45+N47+N49</f>
        <v>0</v>
      </c>
      <c r="O82" s="93">
        <f>SUM(O72:O81)+O16+O24+O29+O36+O43+O45+O47+O49+O51+O56+O61+O66</f>
        <v>-1623071</v>
      </c>
      <c r="P82" s="92">
        <f>P16+P24+P29+P36+P43+P45+P47+P49</f>
        <v>0</v>
      </c>
      <c r="Q82" s="93">
        <f>SUM(Q72:Q81)+Q16+Q24+Q29+Q36+Q43+Q45+Q47+Q49+Q51+Q56+Q61+Q66</f>
        <v>-333747</v>
      </c>
      <c r="R82" s="92">
        <f>R16+R24+R29+R36+R43+R45+R47+R49</f>
        <v>0</v>
      </c>
      <c r="S82" s="93">
        <f>SUM(S72:S81)+S16+S24+S29+S36+S43+S45+S47+S49+S51+S56+S61+S66</f>
        <v>284842</v>
      </c>
      <c r="T82" s="92">
        <f>T16+T24+T29+T36+T43+T45+T47+T49</f>
        <v>0</v>
      </c>
      <c r="U82" s="93">
        <f>SUM(U72:U81)+U16+U24+U29+U36+U43+U45+U47+U49+U51+U56+U61+U66</f>
        <v>-269391.74999999988</v>
      </c>
      <c r="V82" s="92">
        <f>V16+V24+V29+V36+V43+V45+V47+V49</f>
        <v>0</v>
      </c>
      <c r="W82" s="93">
        <f>SUM(W72:W81)+W16+W24+W29+W36+W43+W45+W47+W49+W51+W56+W61+W66</f>
        <v>-1115812.335</v>
      </c>
      <c r="X82" s="92">
        <f>X16+X24+X29+X36+X43+X45+X47+X49</f>
        <v>0</v>
      </c>
      <c r="Y82" s="93">
        <f>SUM(Y72:Y81)+Y16+Y24+Y29+Y36+Y43+Y45+Y47+Y49+Y51+Y56+Y61+Y66</f>
        <v>-1530.4999999999968</v>
      </c>
      <c r="Z82" s="92">
        <f>Z16+Z24+Z29+Z36+Z43+Z45+Z47+Z49</f>
        <v>0</v>
      </c>
      <c r="AA82" s="93">
        <f>SUM(AA72:AA81)+AA16+AA24+AA29+AA36+AA43+AA45+AA47+AA49+AA51+AA56+AA61+AA66</f>
        <v>133.71000000000004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3" activePane="bottomRight" state="frozen"/>
      <selection activeCell="N105" sqref="N105"/>
      <selection pane="topRight" activeCell="N105" sqref="N105"/>
      <selection pane="bottomLeft" activeCell="N105" sqref="N105"/>
      <selection pane="bottomRight" activeCell="G72" sqref="G7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21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STG_VAR!D11+ONT_VAR!D11+'CE-VAR'!D11+'EAST-EGM-VAR'!D11+'BGC-EGM-VAR'!D11+'EAST-LRC-VAR'!D11+'TX-EGM-VAR'!D11+'TX-HPLR-VAR '!D11+'WE-VAR'!D11+BUG_VAR!D11+'TX-HPLC-VAR'!D11</f>
        <v>311446006</v>
      </c>
      <c r="E11" s="65">
        <f>STG_VAR!E11+ONT_VAR!E11+'CE-VAR'!E11+'EAST-EGM-VAR'!E11+'BGC-EGM-VAR'!E11+'EAST-LRC-VAR'!E11+'TX-EGM-VAR'!E11+'TX-HPLR-VAR '!E11+'WE-VAR'!E11+BUG_VAR!E11+'TX-HPLC-VAR'!E11</f>
        <v>710168788</v>
      </c>
      <c r="F11" s="65">
        <f>STG_VAR!F11+ONT_VAR!F11+'CE-VAR'!F11+'EAST-EGM-VAR'!F11+'BGC-EGM-VAR'!F11+'EAST-LRC-VAR'!F11+'TX-EGM-VAR'!F11+'TX-HPLR-VAR '!F11+'WE-VAR'!F11+BUG_VAR!F11+'TX-HPLC-VAR'!F11</f>
        <v>259066667</v>
      </c>
      <c r="G11" s="65">
        <f>STG_VAR!G11+ONT_VAR!G11+'CE-VAR'!G11+'EAST-EGM-VAR'!G11+'BGC-EGM-VAR'!G11+'EAST-LRC-VAR'!G11+'TX-EGM-VAR'!G11+'TX-HPLR-VAR '!G11+'WE-VAR'!G11+BUG_VAR!G11+'TX-HPLC-VAR'!G11</f>
        <v>592529997.79999995</v>
      </c>
      <c r="H11" s="60">
        <f>F11-D11</f>
        <v>-52379339</v>
      </c>
      <c r="I11" s="38">
        <f>G11-E11</f>
        <v>-117638790.20000005</v>
      </c>
    </row>
    <row r="12" spans="1:22" x14ac:dyDescent="0.25">
      <c r="A12" s="9">
        <v>2</v>
      </c>
      <c r="B12" s="7"/>
      <c r="C12" s="18" t="s">
        <v>27</v>
      </c>
      <c r="D12" s="65">
        <f>STG_VAR!D12+ONT_VAR!D12+'CE-VAR'!D12+'EAST-EGM-VAR'!D12+'BGC-EGM-VAR'!D12+'EAST-LRC-VAR'!D12+'TX-EGM-VAR'!D12+'TX-HPLR-VAR '!D12+'WE-VAR'!D12+BUG_VAR!D12+'TX-HPLC-VAR'!D12</f>
        <v>0</v>
      </c>
      <c r="E12" s="65">
        <f>STG_VAR!E12+ONT_VAR!E12+'CE-VAR'!E12+'EAST-EGM-VAR'!E12+'BGC-EGM-VAR'!E12+'EAST-LRC-VAR'!E12+'TX-EGM-VAR'!E12+'TX-HPLR-VAR '!E12+'WE-VAR'!E12+BUG_VAR!E12+'TX-HPLC-VAR'!E12</f>
        <v>0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-3937718.81</v>
      </c>
      <c r="H12" s="60">
        <f>F12-D12</f>
        <v>0</v>
      </c>
      <c r="I12" s="38">
        <f>G12-E12</f>
        <v>-3937718.81</v>
      </c>
    </row>
    <row r="13" spans="1:22" x14ac:dyDescent="0.25">
      <c r="A13" s="9">
        <v>3</v>
      </c>
      <c r="B13" s="7"/>
      <c r="C13" s="18" t="s">
        <v>28</v>
      </c>
      <c r="D13" s="65">
        <f>STG_VAR!D13+ONT_VAR!D13+'CE-VAR'!D13+'EAST-EGM-VAR'!D13+'BGC-EGM-VAR'!D13+'EAST-LRC-VAR'!D13+'TX-EGM-VAR'!D13+'TX-HPLR-VAR '!D13+'WE-VAR'!D13+BUG_VAR!D13+'TX-HPLC-VAR'!D13</f>
        <v>101648424</v>
      </c>
      <c r="E13" s="65">
        <f>STG_VAR!E13+ONT_VAR!E13+'CE-VAR'!E13+'EAST-EGM-VAR'!E13+'BGC-EGM-VAR'!E13+'EAST-LRC-VAR'!E13+'TX-EGM-VAR'!E13+'TX-HPLR-VAR '!E13+'WE-VAR'!E13+BUG_VAR!E13+'TX-HPLC-VAR'!E13</f>
        <v>235911342</v>
      </c>
      <c r="F13" s="65">
        <f>STG_VAR!F13+ONT_VAR!F13+'CE-VAR'!F13+'EAST-EGM-VAR'!F13+'BGC-EGM-VAR'!F13+'EAST-LRC-VAR'!F13+'TX-EGM-VAR'!F13+'TX-HPLR-VAR '!F13+'WE-VAR'!F13+BUG_VAR!F13+'TX-HPLC-VAR'!F13</f>
        <v>103104243</v>
      </c>
      <c r="G13" s="65">
        <f>STG_VAR!G13+ONT_VAR!G13+'CE-VAR'!G13+'EAST-EGM-VAR'!G13+'BGC-EGM-VAR'!G13+'EAST-LRC-VAR'!G13+'TX-EGM-VAR'!G13+'TX-HPLR-VAR '!G13+'WE-VAR'!G13+BUG_VAR!G13+'TX-HPLC-VAR'!G13</f>
        <v>240640812</v>
      </c>
      <c r="H13" s="60">
        <f t="shared" ref="H13:I15" si="0">F13-D13</f>
        <v>1455819</v>
      </c>
      <c r="I13" s="38">
        <f t="shared" si="0"/>
        <v>4729470</v>
      </c>
    </row>
    <row r="14" spans="1:22" x14ac:dyDescent="0.25">
      <c r="A14" s="9">
        <v>4</v>
      </c>
      <c r="B14" s="7"/>
      <c r="C14" s="18" t="s">
        <v>29</v>
      </c>
      <c r="D14" s="65">
        <f>STG_VAR!D14+ONT_VAR!D14+'CE-VAR'!D14+'EAST-EGM-VAR'!D14+'BGC-EGM-VAR'!D14+'EAST-LRC-VAR'!D14+'TX-EGM-VAR'!D14+'TX-HPLR-VAR '!D14+'WE-VAR'!D14+BUG_VAR!D14+'TX-HPLC-VAR'!D14</f>
        <v>0</v>
      </c>
      <c r="E14" s="65">
        <f>STG_VAR!E14+ONT_VAR!E14+'CE-VAR'!E14+'EAST-EGM-VAR'!E14+'BGC-EGM-VAR'!E14+'EAST-LRC-VAR'!E14+'TX-EGM-VAR'!E14+'TX-HPLR-VAR '!E14+'WE-VAR'!E14+BUG_VAR!E14+'TX-HPLC-VAR'!E14</f>
        <v>0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STG_VAR!D15+ONT_VAR!D15+'CE-VAR'!D15+'EAST-EGM-VAR'!D15+'BGC-EGM-VAR'!D15+'EAST-LRC-VAR'!D15+'TX-EGM-VAR'!D15+'TX-HPLR-VAR '!D15+'WE-VAR'!D15+BUG_VAR!D15+'TX-HPLC-VAR'!D15</f>
        <v>0</v>
      </c>
      <c r="E15" s="65">
        <f>STG_VAR!E15+ONT_VAR!E15+'CE-VAR'!E15+'EAST-EGM-VAR'!E15+'BGC-EGM-VAR'!E15+'EAST-LRC-VAR'!E15+'TX-EGM-VAR'!E15+'TX-HPLR-VAR '!E15+'WE-VAR'!E15+BUG_VAR!E15+'TX-HPLC-VAR'!E15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11565239.58</v>
      </c>
      <c r="H15" s="60">
        <f t="shared" si="0"/>
        <v>0</v>
      </c>
      <c r="I15" s="38">
        <f t="shared" si="0"/>
        <v>11565239.58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413094430</v>
      </c>
      <c r="E16" s="39">
        <f t="shared" si="1"/>
        <v>946080130</v>
      </c>
      <c r="F16" s="61">
        <f t="shared" si="1"/>
        <v>362170910</v>
      </c>
      <c r="G16" s="39">
        <f t="shared" si="1"/>
        <v>840798330.57000005</v>
      </c>
      <c r="H16" s="61">
        <f t="shared" si="1"/>
        <v>-50923520</v>
      </c>
      <c r="I16" s="39">
        <f t="shared" si="1"/>
        <v>-105281799.43000005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STG_VAR!D19+ONT_VAR!D19+'CE-VAR'!D19+'EAST-EGM-VAR'!D19+'BGC-EGM-VAR'!D19+'EAST-LRC-VAR'!D19+'TX-EGM-VAR'!D19+'TX-HPLR-VAR '!D19+'WE-VAR'!D19+BUG_VAR!D19+'TX-HPLC-VAR'!D19</f>
        <v>-309641550</v>
      </c>
      <c r="E19" s="65">
        <f>STG_VAR!E19+ONT_VAR!E19+'CE-VAR'!E19+'EAST-EGM-VAR'!E19+'BGC-EGM-VAR'!E19+'EAST-LRC-VAR'!E19+'TX-EGM-VAR'!E19+'TX-HPLR-VAR '!E19+'WE-VAR'!E19+BUG_VAR!E19+'TX-HPLC-VAR'!E19</f>
        <v>-696873462</v>
      </c>
      <c r="F19" s="65">
        <f>STG_VAR!F19+ONT_VAR!F19+'CE-VAR'!F19+'EAST-EGM-VAR'!F19+'BGC-EGM-VAR'!F19+'EAST-LRC-VAR'!F19+'TX-EGM-VAR'!F19+'TX-HPLR-VAR '!F19+'WE-VAR'!F19+BUG_VAR!F19+'TX-HPLC-VAR'!F19</f>
        <v>-261985474</v>
      </c>
      <c r="G19" s="65">
        <f>STG_VAR!G19+ONT_VAR!G19+'CE-VAR'!G19+'EAST-EGM-VAR'!G19+'BGC-EGM-VAR'!G19+'EAST-LRC-VAR'!G19+'TX-EGM-VAR'!G19+'TX-HPLR-VAR '!G19+'WE-VAR'!G19+BUG_VAR!G19+'TX-HPLC-VAR'!G19</f>
        <v>-580110813.94000006</v>
      </c>
      <c r="H19" s="60">
        <f>F19-D19</f>
        <v>47656076</v>
      </c>
      <c r="I19" s="38">
        <f>G19-E19</f>
        <v>116762648.05999994</v>
      </c>
    </row>
    <row r="20" spans="1:9" x14ac:dyDescent="0.25">
      <c r="A20" s="9">
        <v>7</v>
      </c>
      <c r="B20" s="7"/>
      <c r="C20" s="18" t="s">
        <v>27</v>
      </c>
      <c r="D20" s="65">
        <f>STG_VAR!D20+ONT_VAR!D20+'CE-VAR'!D20+'EAST-EGM-VAR'!D20+'BGC-EGM-VAR'!D20+'EAST-LRC-VAR'!D20+'TX-EGM-VAR'!D20+'TX-HPLR-VAR '!D20+'WE-VAR'!D20+BUG_VAR!D20+'TX-HPLC-VAR'!D20</f>
        <v>0</v>
      </c>
      <c r="E20" s="65">
        <f>STG_VAR!E20+ONT_VAR!E20+'CE-VAR'!E20+'EAST-EGM-VAR'!E20+'BGC-EGM-VAR'!E20+'EAST-LRC-VAR'!E20+'TX-EGM-VAR'!E20+'TX-HPLR-VAR '!E20+'WE-VAR'!E20+BUG_VAR!E20+'TX-HPLC-VAR'!E20</f>
        <v>0</v>
      </c>
      <c r="F20" s="65">
        <f>STG_VAR!F20+ONT_VAR!F20+'CE-VAR'!F20+'EAST-EGM-VAR'!F20+'BGC-EGM-VAR'!F20+'EAST-LRC-VAR'!F20+'TX-EGM-VAR'!F20+'TX-HPLR-VAR '!F20+'WE-VAR'!F20+BUG_VAR!F20+'TX-HPLC-VAR'!F20</f>
        <v>0</v>
      </c>
      <c r="G20" s="65">
        <f>STG_VAR!G20+ONT_VAR!G20+'CE-VAR'!G20+'EAST-EGM-VAR'!G20+'BGC-EGM-VAR'!G20+'EAST-LRC-VAR'!G20+'TX-EGM-VAR'!G20+'TX-HPLR-VAR '!G20+'WE-VAR'!G20+BUG_VAR!G20+'TX-HPLC-VAR'!G20</f>
        <v>-4993466.540000001</v>
      </c>
      <c r="H20" s="60">
        <f>F20-D20</f>
        <v>0</v>
      </c>
      <c r="I20" s="38">
        <f>G20-E20</f>
        <v>-4993466.540000001</v>
      </c>
    </row>
    <row r="21" spans="1:9" x14ac:dyDescent="0.25">
      <c r="A21" s="9">
        <v>8</v>
      </c>
      <c r="B21" s="7"/>
      <c r="C21" s="18" t="s">
        <v>28</v>
      </c>
      <c r="D21" s="65">
        <f>STG_VAR!D21+ONT_VAR!D21+'CE-VAR'!D21+'EAST-EGM-VAR'!D21+'BGC-EGM-VAR'!D21+'EAST-LRC-VAR'!D21+'TX-EGM-VAR'!D21+'TX-HPLR-VAR '!D21+'WE-VAR'!D21+BUG_VAR!D21+'TX-HPLC-VAR'!D21</f>
        <v>-113716725</v>
      </c>
      <c r="E21" s="65">
        <f>STG_VAR!E21+ONT_VAR!E21+'CE-VAR'!E21+'EAST-EGM-VAR'!E21+'BGC-EGM-VAR'!E21+'EAST-LRC-VAR'!E21+'TX-EGM-VAR'!E21+'TX-HPLR-VAR '!E21+'WE-VAR'!E21+BUG_VAR!E21+'TX-HPLC-VAR'!E21</f>
        <v>-263049628</v>
      </c>
      <c r="F21" s="65">
        <f>STG_VAR!F21+ONT_VAR!F21+'CE-VAR'!F21+'EAST-EGM-VAR'!F21+'BGC-EGM-VAR'!F21+'EAST-LRC-VAR'!F21+'TX-EGM-VAR'!F21+'TX-HPLR-VAR '!F21+'WE-VAR'!F21+BUG_VAR!F21+'TX-HPLC-VAR'!F21</f>
        <v>-103104243</v>
      </c>
      <c r="G21" s="65">
        <f>STG_VAR!G21+ONT_VAR!G21+'CE-VAR'!G21+'EAST-EGM-VAR'!G21+'BGC-EGM-VAR'!G21+'EAST-LRC-VAR'!G21+'TX-EGM-VAR'!G21+'TX-HPLR-VAR '!G21+'WE-VAR'!G21+BUG_VAR!G21+'TX-HPLC-VAR'!G21</f>
        <v>-239244750</v>
      </c>
      <c r="H21" s="60">
        <f t="shared" ref="H21:I23" si="2">F21-D21</f>
        <v>10612482</v>
      </c>
      <c r="I21" s="38">
        <f t="shared" si="2"/>
        <v>23804878</v>
      </c>
    </row>
    <row r="22" spans="1:9" x14ac:dyDescent="0.25">
      <c r="A22" s="9">
        <v>9</v>
      </c>
      <c r="B22" s="7"/>
      <c r="C22" s="18" t="s">
        <v>29</v>
      </c>
      <c r="D22" s="65">
        <f>STG_VAR!D22+ONT_VAR!D22+'CE-VAR'!D22+'EAST-EGM-VAR'!D22+'BGC-EGM-VAR'!D22+'EAST-LRC-VAR'!D22+'TX-EGM-VAR'!D22+'TX-HPLR-VAR '!D22+'WE-VAR'!D22+BUG_VAR!D22+'TX-HPLC-VAR'!D22</f>
        <v>0</v>
      </c>
      <c r="E22" s="65">
        <f>STG_VAR!E22+ONT_VAR!E22+'CE-VAR'!E22+'EAST-EGM-VAR'!E22+'BGC-EGM-VAR'!E22+'EAST-LRC-VAR'!E22+'TX-EGM-VAR'!E22+'TX-HPLR-VAR '!E22+'WE-VAR'!E22+BUG_VAR!E22+'TX-HPLC-VAR'!E22</f>
        <v>0</v>
      </c>
      <c r="F22" s="65">
        <f>STG_VAR!F22+ONT_VAR!F22+'CE-VAR'!F22+'EAST-EGM-VAR'!F22+'BGC-EGM-VAR'!F22+'EAST-LRC-VAR'!F22+'TX-EGM-VAR'!F22+'TX-HPLR-VAR '!F22+'WE-VAR'!F22+BUG_VAR!F22+'TX-HPLC-VAR'!F22</f>
        <v>0</v>
      </c>
      <c r="G22" s="65">
        <f>STG_VAR!G22+ONT_VAR!G22+'CE-VAR'!G22+'EAST-EGM-VAR'!G22+'BGC-EGM-VAR'!G22+'EAST-LRC-VAR'!G22+'TX-EGM-VAR'!G22+'TX-HPLR-VAR '!G22+'WE-VAR'!G22+BUG_VAR!G22+'TX-HPLC-VAR'!G22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STG_VAR!D23+ONT_VAR!D23+'CE-VAR'!D23+'EAST-EGM-VAR'!D23+'BGC-EGM-VAR'!D23+'EAST-LRC-VAR'!D23+'TX-EGM-VAR'!D23+'TX-HPLR-VAR '!D23+'WE-VAR'!D23+BUG_VAR!D23+'TX-HPLC-VAR'!D23</f>
        <v>1142910</v>
      </c>
      <c r="E23" s="65">
        <f>STG_VAR!E23+ONT_VAR!E23+'CE-VAR'!E23+'EAST-EGM-VAR'!E23+'BGC-EGM-VAR'!E23+'EAST-LRC-VAR'!E23+'TX-EGM-VAR'!E23+'TX-HPLR-VAR '!E23+'WE-VAR'!E23+BUG_VAR!E23+'TX-HPLC-VAR'!E23</f>
        <v>2544860</v>
      </c>
      <c r="F23" s="65">
        <f>STG_VAR!F23+ONT_VAR!F23+'CE-VAR'!F23+'EAST-EGM-VAR'!F23+'BGC-EGM-VAR'!F23+'EAST-LRC-VAR'!F23+'TX-EGM-VAR'!F23+'TX-HPLR-VAR '!F23+'WE-VAR'!F23+BUG_VAR!F23+'TX-HPLC-VAR'!F23</f>
        <v>1323418</v>
      </c>
      <c r="G23" s="65">
        <f>STG_VAR!G23+ONT_VAR!G23+'CE-VAR'!G23+'EAST-EGM-VAR'!G23+'BGC-EGM-VAR'!G23+'EAST-LRC-VAR'!G23+'TX-EGM-VAR'!G23+'TX-HPLR-VAR '!G23+'WE-VAR'!G23+BUG_VAR!G23+'TX-HPLC-VAR'!G23</f>
        <v>2933187.7939999998</v>
      </c>
      <c r="H23" s="60">
        <f t="shared" si="2"/>
        <v>180508</v>
      </c>
      <c r="I23" s="38">
        <f t="shared" si="2"/>
        <v>388327.79399999976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-422215365</v>
      </c>
      <c r="E24" s="39">
        <f t="shared" si="3"/>
        <v>-957378230</v>
      </c>
      <c r="F24" s="61">
        <f t="shared" si="3"/>
        <v>-363766299</v>
      </c>
      <c r="G24" s="39">
        <f t="shared" si="3"/>
        <v>-821415842.68599999</v>
      </c>
      <c r="H24" s="61">
        <f t="shared" si="3"/>
        <v>58449066</v>
      </c>
      <c r="I24" s="39">
        <f t="shared" si="3"/>
        <v>135962387.31399992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STG_VAR!D27+ONT_VAR!D27+'CE-VAR'!D27+'EAST-EGM-VAR'!D27+'BGC-EGM-VAR'!D27+'EAST-LRC-VAR'!D27+'TX-EGM-VAR'!D27+'TX-HPLR-VAR '!D27+'WE-VAR'!D27+BUG_VAR!D27+'TX-HPLC-VAR'!D27</f>
        <v>13650623</v>
      </c>
      <c r="E27" s="65">
        <f>STG_VAR!E27+ONT_VAR!E27+'CE-VAR'!E27+'EAST-EGM-VAR'!E27+'BGC-EGM-VAR'!E27+'EAST-LRC-VAR'!E27+'TX-EGM-VAR'!E27+'TX-HPLR-VAR '!E27+'WE-VAR'!E27+BUG_VAR!E27+'TX-HPLC-VAR'!E27</f>
        <v>31298698</v>
      </c>
      <c r="F27" s="65">
        <f>STG_VAR!F27+ONT_VAR!F27+'CE-VAR'!F27+'EAST-EGM-VAR'!F27+'BGC-EGM-VAR'!F27+'EAST-LRC-VAR'!F27+'TX-EGM-VAR'!F27+'TX-HPLR-VAR '!F27+'WE-VAR'!F27+BUG_VAR!F27+'TX-HPLC-VAR'!F27</f>
        <v>23296276</v>
      </c>
      <c r="G27" s="65">
        <f>STG_VAR!G27+ONT_VAR!G27+'CE-VAR'!G27+'EAST-EGM-VAR'!G27+'BGC-EGM-VAR'!G27+'EAST-LRC-VAR'!G27+'TX-EGM-VAR'!G27+'TX-HPLR-VAR '!G27+'WE-VAR'!G27+BUG_VAR!G27+'TX-HPLC-VAR'!G27</f>
        <v>53428886.092500001</v>
      </c>
      <c r="H27" s="60">
        <f>F27-D27</f>
        <v>9645653</v>
      </c>
      <c r="I27" s="38">
        <f>G27-E27</f>
        <v>22130188.092500001</v>
      </c>
    </row>
    <row r="28" spans="1:9" x14ac:dyDescent="0.25">
      <c r="A28" s="9">
        <v>12</v>
      </c>
      <c r="B28" s="7"/>
      <c r="C28" s="18" t="s">
        <v>37</v>
      </c>
      <c r="D28" s="65">
        <f>STG_VAR!D28+ONT_VAR!D28+'CE-VAR'!D28+'EAST-EGM-VAR'!D28+'BGC-EGM-VAR'!D28+'EAST-LRC-VAR'!D28+'TX-EGM-VAR'!D28+'TX-HPLR-VAR '!D28+'WE-VAR'!D28+BUG_VAR!D28+'TX-HPLC-VAR'!D28</f>
        <v>-6147801</v>
      </c>
      <c r="E28" s="65">
        <f>STG_VAR!E28+ONT_VAR!E28+'CE-VAR'!E28+'EAST-EGM-VAR'!E28+'BGC-EGM-VAR'!E28+'EAST-LRC-VAR'!E28+'TX-EGM-VAR'!E28+'TX-HPLR-VAR '!E28+'WE-VAR'!E28+BUG_VAR!E28+'TX-HPLC-VAR'!E28</f>
        <v>-14024872</v>
      </c>
      <c r="F28" s="65">
        <f>STG_VAR!F28+ONT_VAR!F28+'CE-VAR'!F28+'EAST-EGM-VAR'!F28+'BGC-EGM-VAR'!F28+'EAST-LRC-VAR'!F28+'TX-EGM-VAR'!F28+'TX-HPLR-VAR '!F28+'WE-VAR'!F28+BUG_VAR!F28+'TX-HPLC-VAR'!F28</f>
        <v>-22951512</v>
      </c>
      <c r="G28" s="65">
        <f>STG_VAR!G28+ONT_VAR!G28+'CE-VAR'!G28+'EAST-EGM-VAR'!G28+'BGC-EGM-VAR'!G28+'EAST-LRC-VAR'!G28+'TX-EGM-VAR'!G28+'TX-HPLR-VAR '!G28+'WE-VAR'!G28+BUG_VAR!G28+'TX-HPLC-VAR'!G28</f>
        <v>-52573023.030000009</v>
      </c>
      <c r="H28" s="60">
        <f>F28-D28</f>
        <v>-16803711</v>
      </c>
      <c r="I28" s="38">
        <f>G28-E28</f>
        <v>-38548151.030000009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344764</v>
      </c>
      <c r="G29" s="70">
        <f t="shared" si="4"/>
        <v>855863.06249999255</v>
      </c>
      <c r="H29" s="69">
        <f t="shared" si="4"/>
        <v>-7158058</v>
      </c>
      <c r="I29" s="70">
        <f t="shared" si="4"/>
        <v>-16417962.937500007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STG_VAR!D32+ONT_VAR!D32+'CE-VAR'!D32+'EAST-EGM-VAR'!D32+'BGC-EGM-VAR'!D32+'EAST-LRC-VAR'!D32+'TX-EGM-VAR'!D32+'TX-HPLR-VAR '!D32+'WE-VAR'!D32+BUG_VAR!D32+'TX-HPLC-VAR'!D32</f>
        <v>-148668</v>
      </c>
      <c r="E32" s="65">
        <f>STG_VAR!E32+ONT_VAR!E32+'CE-VAR'!E32+'EAST-EGM-VAR'!E32+'BGC-EGM-VAR'!E32+'EAST-LRC-VAR'!E32+'TX-EGM-VAR'!E32+'TX-HPLR-VAR '!E32+'WE-VAR'!E32+BUG_VAR!E32+'TX-HPLC-VAR'!E32</f>
        <v>-163436</v>
      </c>
      <c r="F32" s="65">
        <f>STG_VAR!F32+ONT_VAR!F32+'CE-VAR'!F32+'EAST-EGM-VAR'!F32+'BGC-EGM-VAR'!F32+'EAST-LRC-VAR'!F32+'TX-EGM-VAR'!F32+'TX-HPLR-VAR '!F32+'WE-VAR'!F32+BUG_VAR!F32+'TX-HPLC-VAR'!F32</f>
        <v>818035</v>
      </c>
      <c r="G32" s="65">
        <f>STG_VAR!G32+ONT_VAR!G32+'CE-VAR'!G32+'EAST-EGM-VAR'!G32+'BGC-EGM-VAR'!G32+'EAST-LRC-VAR'!G32+'TX-EGM-VAR'!G32+'TX-HPLR-VAR '!G32+'WE-VAR'!G32+BUG_VAR!G32+'TX-HPLC-VAR'!G32</f>
        <v>1867797.4079999998</v>
      </c>
      <c r="H32" s="60">
        <f>F32-D32</f>
        <v>966703</v>
      </c>
      <c r="I32" s="38">
        <f>G32-E32</f>
        <v>2031233.4079999998</v>
      </c>
    </row>
    <row r="33" spans="1:9" x14ac:dyDescent="0.25">
      <c r="A33" s="9">
        <v>14</v>
      </c>
      <c r="B33" s="7"/>
      <c r="C33" s="18" t="s">
        <v>41</v>
      </c>
      <c r="D33" s="65">
        <f>STG_VAR!D33+ONT_VAR!D33+'CE-VAR'!D33+'EAST-EGM-VAR'!D33+'BGC-EGM-VAR'!D33+'EAST-LRC-VAR'!D33+'TX-EGM-VAR'!D33+'TX-HPLR-VAR '!D33+'WE-VAR'!D33+BUG_VAR!D33+'TX-HPLC-VAR'!D33</f>
        <v>364791</v>
      </c>
      <c r="E33" s="65">
        <f>STG_VAR!E33+ONT_VAR!E33+'CE-VAR'!E33+'EAST-EGM-VAR'!E33+'BGC-EGM-VAR'!E33+'EAST-LRC-VAR'!E33+'TX-EGM-VAR'!E33+'TX-HPLR-VAR '!E33+'WE-VAR'!E33+BUG_VAR!E33+'TX-HPLC-VAR'!E33</f>
        <v>795893</v>
      </c>
      <c r="F33" s="65">
        <f>STG_VAR!F33+ONT_VAR!F33+'CE-VAR'!F33+'EAST-EGM-VAR'!F33+'BGC-EGM-VAR'!F33+'EAST-LRC-VAR'!F33+'TX-EGM-VAR'!F33+'TX-HPLR-VAR '!F33+'WE-VAR'!F33+BUG_VAR!F33+'TX-HPLC-VAR'!F33</f>
        <v>-116788</v>
      </c>
      <c r="G33" s="65">
        <f>STG_VAR!G33+ONT_VAR!G33+'CE-VAR'!G33+'EAST-EGM-VAR'!G33+'BGC-EGM-VAR'!G33+'EAST-LRC-VAR'!G33+'TX-EGM-VAR'!G33+'TX-HPLR-VAR '!G33+'WE-VAR'!G33+BUG_VAR!G33+'TX-HPLC-VAR'!G33</f>
        <v>-306916.49999999994</v>
      </c>
      <c r="H33" s="60">
        <f t="shared" ref="H33:I35" si="5">F33-D33</f>
        <v>-481579</v>
      </c>
      <c r="I33" s="38">
        <f t="shared" si="5"/>
        <v>-1102809.5</v>
      </c>
    </row>
    <row r="34" spans="1:9" x14ac:dyDescent="0.25">
      <c r="A34" s="9">
        <v>15</v>
      </c>
      <c r="B34" s="7"/>
      <c r="C34" s="18" t="s">
        <v>42</v>
      </c>
      <c r="D34" s="65">
        <f>STG_VAR!D34+ONT_VAR!D34+'CE-VAR'!D34+'EAST-EGM-VAR'!D34+'BGC-EGM-VAR'!D34+'EAST-LRC-VAR'!D34+'TX-EGM-VAR'!D34+'TX-HPLR-VAR '!D34+'WE-VAR'!D34+BUG_VAR!D34+'TX-HPLC-VAR'!D34</f>
        <v>-553200</v>
      </c>
      <c r="E34" s="65">
        <f>STG_VAR!E34+ONT_VAR!E34+'CE-VAR'!E34+'EAST-EGM-VAR'!E34+'BGC-EGM-VAR'!E34+'EAST-LRC-VAR'!E34+'TX-EGM-VAR'!E34+'TX-HPLR-VAR '!E34+'WE-VAR'!E34+BUG_VAR!E34+'TX-HPLC-VAR'!E34</f>
        <v>-1236616</v>
      </c>
      <c r="F34" s="65">
        <f>STG_VAR!F34+ONT_VAR!F34+'CE-VAR'!F34+'EAST-EGM-VAR'!F34+'BGC-EGM-VAR'!F34+'EAST-LRC-VAR'!F34+'TX-EGM-VAR'!F34+'TX-HPLR-VAR '!F34+'WE-VAR'!F34+BUG_VAR!F34+'TX-HPLC-VAR'!F34</f>
        <v>36162</v>
      </c>
      <c r="G34" s="65">
        <f>STG_VAR!G34+ONT_VAR!G34+'CE-VAR'!G34+'EAST-EGM-VAR'!G34+'BGC-EGM-VAR'!G34+'EAST-LRC-VAR'!G34+'TX-EGM-VAR'!G34+'TX-HPLR-VAR '!G34+'WE-VAR'!G34+BUG_VAR!G34+'TX-HPLC-VAR'!G34</f>
        <v>60452.710000000588</v>
      </c>
      <c r="H34" s="60">
        <f t="shared" si="5"/>
        <v>589362</v>
      </c>
      <c r="I34" s="38">
        <f t="shared" si="5"/>
        <v>1297068.7100000007</v>
      </c>
    </row>
    <row r="35" spans="1:9" x14ac:dyDescent="0.25">
      <c r="A35" s="9">
        <v>16</v>
      </c>
      <c r="B35" s="7"/>
      <c r="C35" s="18" t="s">
        <v>43</v>
      </c>
      <c r="D35" s="65">
        <f>STG_VAR!D35+ONT_VAR!D35+'CE-VAR'!D35+'EAST-EGM-VAR'!D35+'BGC-EGM-VAR'!D35+'EAST-LRC-VAR'!D35+'TX-EGM-VAR'!D35+'TX-HPLR-VAR '!D35+'WE-VAR'!D35+BUG_VAR!D35+'TX-HPLC-VAR'!D35</f>
        <v>50505</v>
      </c>
      <c r="E35" s="65">
        <f>STG_VAR!E35+ONT_VAR!E35+'CE-VAR'!E35+'EAST-EGM-VAR'!E35+'BGC-EGM-VAR'!E35+'EAST-LRC-VAR'!E35+'TX-EGM-VAR'!E35+'TX-HPLR-VAR '!E35+'WE-VAR'!E35+BUG_VAR!E35+'TX-HPLC-VAR'!E35</f>
        <v>112364</v>
      </c>
      <c r="F35" s="65">
        <f>STG_VAR!F35+ONT_VAR!F35+'CE-VAR'!F35+'EAST-EGM-VAR'!F35+'BGC-EGM-VAR'!F35+'EAST-LRC-VAR'!F35+'TX-EGM-VAR'!F35+'TX-HPLR-VAR '!F35+'WE-VAR'!F35+BUG_VAR!F35+'TX-HPLC-VAR'!F35</f>
        <v>-772710</v>
      </c>
      <c r="G35" s="65">
        <f>STG_VAR!G35+ONT_VAR!G35+'CE-VAR'!G35+'EAST-EGM-VAR'!G35+'BGC-EGM-VAR'!G35+'EAST-LRC-VAR'!G35+'TX-EGM-VAR'!G35+'TX-HPLR-VAR '!G35+'WE-VAR'!G35+BUG_VAR!G35+'TX-HPLC-VAR'!G35</f>
        <v>-1490834</v>
      </c>
      <c r="H35" s="60">
        <f t="shared" si="5"/>
        <v>-823215</v>
      </c>
      <c r="I35" s="38">
        <f t="shared" si="5"/>
        <v>-1603198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-286572</v>
      </c>
      <c r="E36" s="39">
        <f t="shared" si="6"/>
        <v>-491795</v>
      </c>
      <c r="F36" s="61">
        <f t="shared" si="6"/>
        <v>-35301</v>
      </c>
      <c r="G36" s="39">
        <f t="shared" si="6"/>
        <v>130499.61800000048</v>
      </c>
      <c r="H36" s="61">
        <f t="shared" si="6"/>
        <v>251271</v>
      </c>
      <c r="I36" s="39">
        <f t="shared" si="6"/>
        <v>622294.61800000072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STG_VAR!D39+ONT_VAR!D39+'CE-VAR'!D39+'EAST-EGM-VAR'!D39+'BGC-EGM-VAR'!D39+'EAST-LRC-VAR'!D39+'TX-EGM-VAR'!D39+'TX-HPLR-VAR '!D39+'WE-VAR'!D39+BUG_VAR!D39+'TX-HPLC-VAR'!D39</f>
        <v>4075057</v>
      </c>
      <c r="E39" s="65">
        <f>STG_VAR!E39+ONT_VAR!E39+'CE-VAR'!E39+'EAST-EGM-VAR'!E39+'BGC-EGM-VAR'!E39+'EAST-LRC-VAR'!E39+'TX-EGM-VAR'!E39+'TX-HPLR-VAR '!E39+'WE-VAR'!E39+BUG_VAR!E39+'TX-HPLC-VAR'!E39</f>
        <v>10424629</v>
      </c>
      <c r="F39" s="65">
        <f>STG_VAR!F39+ONT_VAR!F39+'CE-VAR'!F39+'EAST-EGM-VAR'!F39+'BGC-EGM-VAR'!F39+'EAST-LRC-VAR'!F39+'TX-EGM-VAR'!F39+'TX-HPLR-VAR '!F39+'WE-VAR'!F39+BUG_VAR!F39+'TX-HPLC-VAR'!F39</f>
        <v>11513598</v>
      </c>
      <c r="G39" s="65">
        <f>STG_VAR!G39+ONT_VAR!G39+'CE-VAR'!G39+'EAST-EGM-VAR'!G39+'BGC-EGM-VAR'!G39+'EAST-LRC-VAR'!G39+'TX-EGM-VAR'!G39+'TX-HPLR-VAR '!G39+'WE-VAR'!G39+BUG_VAR!G39+'TX-HPLC-VAR'!G39</f>
        <v>29440098</v>
      </c>
      <c r="H39" s="60">
        <f t="shared" ref="H39:I41" si="7">F39-D39</f>
        <v>7438541</v>
      </c>
      <c r="I39" s="38">
        <f t="shared" si="7"/>
        <v>19015469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STG_VAR!D40+ONT_VAR!D40+'CE-VAR'!D40+'EAST-EGM-VAR'!D40+'BGC-EGM-VAR'!D40+'EAST-LRC-VAR'!D40+'TX-EGM-VAR'!D40+'TX-HPLR-VAR '!D40+'WE-VAR'!D40+BUG_VAR!D40+'TX-HPLC-VAR'!D40</f>
        <v>-2868888</v>
      </c>
      <c r="E40" s="65">
        <f>STG_VAR!E40+ONT_VAR!E40+'CE-VAR'!E40+'EAST-EGM-VAR'!E40+'BGC-EGM-VAR'!E40+'EAST-LRC-VAR'!E40+'TX-EGM-VAR'!E40+'TX-HPLR-VAR '!E40+'WE-VAR'!E40+BUG_VAR!E40+'TX-HPLC-VAR'!E40</f>
        <v>-7468100</v>
      </c>
      <c r="F40" s="65">
        <f>STG_VAR!F40+ONT_VAR!F40+'CE-VAR'!F40+'EAST-EGM-VAR'!F40+'BGC-EGM-VAR'!F40+'EAST-LRC-VAR'!F40+'TX-EGM-VAR'!F40+'TX-HPLR-VAR '!F40+'WE-VAR'!F40+BUG_VAR!F40+'TX-HPLC-VAR'!F40</f>
        <v>-11179628</v>
      </c>
      <c r="G40" s="65">
        <f>STG_VAR!G40+ONT_VAR!G40+'CE-VAR'!G40+'EAST-EGM-VAR'!G40+'BGC-EGM-VAR'!G40+'EAST-LRC-VAR'!G40+'TX-EGM-VAR'!G40+'TX-HPLR-VAR '!G40+'WE-VAR'!G40+BUG_VAR!G40+'TX-HPLC-VAR'!G40</f>
        <v>-28324755.91</v>
      </c>
      <c r="H40" s="60">
        <f t="shared" si="7"/>
        <v>-8310740</v>
      </c>
      <c r="I40" s="38">
        <f t="shared" si="7"/>
        <v>-20856655.91</v>
      </c>
    </row>
    <row r="41" spans="1:9" x14ac:dyDescent="0.25">
      <c r="A41" s="9">
        <v>19</v>
      </c>
      <c r="B41" s="7"/>
      <c r="C41" s="18" t="s">
        <v>48</v>
      </c>
      <c r="D41" s="65">
        <f>STG_VAR!D41+ONT_VAR!D41+'CE-VAR'!D41+'EAST-EGM-VAR'!D41+'BGC-EGM-VAR'!D41+'EAST-LRC-VAR'!D41+'TX-EGM-VAR'!D41+'TX-HPLR-VAR '!D41+'WE-VAR'!D41+BUG_VAR!D41+'TX-HPLC-VAR'!D41</f>
        <v>0</v>
      </c>
      <c r="E41" s="65">
        <f>STG_VAR!E41+ONT_VAR!E41+'CE-VAR'!E41+'EAST-EGM-VAR'!E41+'BGC-EGM-VAR'!E41+'EAST-LRC-VAR'!E41+'TX-EGM-VAR'!E41+'TX-HPLR-VAR '!E41+'WE-VAR'!E41+BUG_VAR!E41+'TX-HPLC-VAR'!E41</f>
        <v>0</v>
      </c>
      <c r="F41" s="65">
        <f>STG_VAR!F41+ONT_VAR!F41+'CE-VAR'!F41+'EAST-EGM-VAR'!F41+'BGC-EGM-VAR'!F41+'EAST-LRC-VAR'!F41+'TX-EGM-VAR'!F41+'TX-HPLR-VAR '!F41+'WE-VAR'!F41+BUG_VAR!F41+'TX-HPLC-VAR'!F41</f>
        <v>0</v>
      </c>
      <c r="G41" s="65">
        <f>STG_VAR!G41+ONT_VAR!G41+'CE-VAR'!G41+'EAST-EGM-VAR'!G41+'BGC-EGM-VAR'!G41+'EAST-LRC-VAR'!G41+'TX-EGM-VAR'!G41+'TX-HPLR-VAR '!G41+'WE-VAR'!G41+BUG_VAR!G41+'TX-HPLC-VAR'!G41</f>
        <v>24675</v>
      </c>
      <c r="H41" s="60">
        <f t="shared" si="7"/>
        <v>0</v>
      </c>
      <c r="I41" s="38">
        <f t="shared" si="7"/>
        <v>24675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-2868888</v>
      </c>
      <c r="E42" s="70">
        <f t="shared" si="8"/>
        <v>-7468100</v>
      </c>
      <c r="F42" s="69">
        <f t="shared" si="8"/>
        <v>-11179628</v>
      </c>
      <c r="G42" s="70">
        <f t="shared" si="8"/>
        <v>-28300080.91</v>
      </c>
      <c r="H42" s="69">
        <f t="shared" si="8"/>
        <v>-8310740</v>
      </c>
      <c r="I42" s="70">
        <f t="shared" si="8"/>
        <v>-20831980.91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1206169</v>
      </c>
      <c r="E43" s="39">
        <f t="shared" si="9"/>
        <v>2956529</v>
      </c>
      <c r="F43" s="61">
        <f t="shared" si="9"/>
        <v>333970</v>
      </c>
      <c r="G43" s="39">
        <f t="shared" si="9"/>
        <v>1140017.0899999999</v>
      </c>
      <c r="H43" s="61">
        <f t="shared" si="9"/>
        <v>-872199</v>
      </c>
      <c r="I43" s="39">
        <f t="shared" si="9"/>
        <v>-1816511.9100000001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STG_VAR!D45+ONT_VAR!D45+'CE-VAR'!D45+'EAST-EGM-VAR'!D45+'BGC-EGM-VAR'!D45+'EAST-LRC-VAR'!D45+'TX-EGM-VAR'!D45+'TX-HPLR-VAR '!D45+'WE-VAR'!D45+BUG_VAR!D45+'TX-HPLC-VAR'!D45</f>
        <v>0</v>
      </c>
      <c r="E45" s="65">
        <f>STG_VAR!E45+ONT_VAR!E45+'CE-VAR'!E45+'EAST-EGM-VAR'!E45+'BGC-EGM-VAR'!E45+'EAST-LRC-VAR'!E45+'TX-EGM-VAR'!E45+'TX-HPLR-VAR '!E45+'WE-VAR'!E45+BUG_VAR!E45+'TX-HPLC-VAR'!E45</f>
        <v>0</v>
      </c>
      <c r="F45" s="65">
        <f>STG_VAR!F45+ONT_VAR!F45+'CE-VAR'!F45+'EAST-EGM-VAR'!F45+'BGC-EGM-VAR'!F45+'EAST-LRC-VAR'!F45+'TX-EGM-VAR'!F45+'TX-HPLR-VAR '!F45+'WE-VAR'!F45+BUG_VAR!F45+'TX-HPLC-VAR'!F45</f>
        <v>-18058</v>
      </c>
      <c r="G45" s="65">
        <f>STG_VAR!G45+ONT_VAR!G45+'CE-VAR'!G45+'EAST-EGM-VAR'!G45+'BGC-EGM-VAR'!G45+'EAST-LRC-VAR'!G45+'TX-EGM-VAR'!G45+'TX-HPLR-VAR '!G45+'WE-VAR'!G45+BUG_VAR!G45+'TX-HPLC-VAR'!G45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STG_VAR!D47+ONT_VAR!D47+'CE-VAR'!D47+'EAST-EGM-VAR'!D47+'BGC-EGM-VAR'!D47+'EAST-LRC-VAR'!D47+'TX-EGM-VAR'!D47+'TX-HPLR-VAR '!D47+'WE-VAR'!D47+BUG_VAR!D47+'TX-HPLC-VAR'!D47</f>
        <v>0</v>
      </c>
      <c r="E47" s="65">
        <f>STG_VAR!E47+ONT_VAR!E47+'CE-VAR'!E47+'EAST-EGM-VAR'!E47+'BGC-EGM-VAR'!E47+'EAST-LRC-VAR'!E47+'TX-EGM-VAR'!E47+'TX-HPLR-VAR '!E47+'WE-VAR'!E47+BUG_VAR!E47+'TX-HPLC-VAR'!E47</f>
        <v>0</v>
      </c>
      <c r="F47" s="65">
        <f>STG_VAR!F47+ONT_VAR!F47+'CE-VAR'!F47+'EAST-EGM-VAR'!F47+'BGC-EGM-VAR'!F47+'EAST-LRC-VAR'!F47+'TX-EGM-VAR'!F47+'TX-HPLR-VAR '!F47+'WE-VAR'!F47+BUG_VAR!F47+'TX-HPLC-VAR'!F47</f>
        <v>0</v>
      </c>
      <c r="G47" s="65">
        <f>STG_VAR!G47+ONT_VAR!G47+'CE-VAR'!G47+'EAST-EGM-VAR'!G47+'BGC-EGM-VAR'!G47+'EAST-LRC-VAR'!G47+'TX-EGM-VAR'!G47+'TX-HPLR-VAR '!G47+'WE-VAR'!G47+BUG_VAR!G47+'TX-HPLC-VAR'!G47</f>
        <v>165834.62</v>
      </c>
      <c r="H47" s="60">
        <f>F47-D47</f>
        <v>0</v>
      </c>
      <c r="I47" s="38">
        <f>G47-E47</f>
        <v>165834.62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STG_VAR!D49+ONT_VAR!D49+'CE-VAR'!D49+'EAST-EGM-VAR'!D49+'BGC-EGM-VAR'!D49+'EAST-LRC-VAR'!D49+'TX-EGM-VAR'!D49+'TX-HPLR-VAR '!D49+'WE-VAR'!D49+BUG_VAR!D49+'TX-HPLC-VAR'!D49</f>
        <v>698516</v>
      </c>
      <c r="E49" s="65">
        <f>STG_VAR!E49+ONT_VAR!E49+'CE-VAR'!E49+'EAST-EGM-VAR'!E49+'BGC-EGM-VAR'!E49+'EAST-LRC-VAR'!E49+'TX-EGM-VAR'!E49+'TX-HPLR-VAR '!E49+'WE-VAR'!E49+BUG_VAR!E49+'TX-HPLC-VAR'!E49</f>
        <v>1533532.5458600745</v>
      </c>
      <c r="F49" s="65">
        <f>STG_VAR!F49+ONT_VAR!F49+'CE-VAR'!F49+'EAST-EGM-VAR'!F49+'BGC-EGM-VAR'!F49+'EAST-LRC-VAR'!F49+'TX-EGM-VAR'!F49+'TX-HPLR-VAR '!F49+'WE-VAR'!F49+BUG_VAR!F49+'TX-HPLC-VAR'!F49</f>
        <v>970014</v>
      </c>
      <c r="G49" s="65">
        <f>STG_VAR!G49+ONT_VAR!G49+'CE-VAR'!G49+'EAST-EGM-VAR'!G49+'BGC-EGM-VAR'!G49+'EAST-LRC-VAR'!G49+'TX-EGM-VAR'!G49+'TX-HPLR-VAR '!G49+'WE-VAR'!G49+BUG_VAR!G49+'TX-HPLC-VAR'!G49</f>
        <v>2293701.8750000014</v>
      </c>
      <c r="H49" s="60">
        <f>F49-D49</f>
        <v>271498</v>
      </c>
      <c r="I49" s="38">
        <f>G49-E49</f>
        <v>760169.32913992694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STG_VAR!D51+ONT_VAR!D51+'CE-VAR'!D51+'EAST-EGM-VAR'!D51+'BGC-EGM-VAR'!D51+'EAST-LRC-VAR'!D51+'TX-EGM-VAR'!D51+'TX-HPLR-VAR '!D51+'WE-VAR'!D51+BUG_VAR!D51+'TX-HPLC-VAR'!D51</f>
        <v>-1123969</v>
      </c>
      <c r="E51" s="65">
        <f>STG_VAR!E51+ONT_VAR!E51+'CE-VAR'!E51+'EAST-EGM-VAR'!E51+'BGC-EGM-VAR'!E51+'EAST-LRC-VAR'!E51+'TX-EGM-VAR'!E51+'TX-HPLR-VAR '!E51+'WE-VAR'!E51+BUG_VAR!E51+'TX-HPLC-VAR'!E51</f>
        <v>-2501929</v>
      </c>
      <c r="F51" s="65">
        <f>STG_VAR!F51+ONT_VAR!F51+'CE-VAR'!F51+'EAST-EGM-VAR'!F51+'BGC-EGM-VAR'!F51+'EAST-LRC-VAR'!F51+'TX-EGM-VAR'!F51+'TX-HPLR-VAR '!F51+'WE-VAR'!F51+BUG_VAR!F51+'TX-HPLC-VAR'!F51</f>
        <v>-1346058</v>
      </c>
      <c r="G51" s="65">
        <f>STG_VAR!G51+ONT_VAR!G51+'CE-VAR'!G51+'EAST-EGM-VAR'!G51+'BGC-EGM-VAR'!G51+'EAST-LRC-VAR'!G51+'TX-EGM-VAR'!G51+'TX-HPLR-VAR '!G51+'WE-VAR'!G51+BUG_VAR!G51+'TX-HPLC-VAR'!G51</f>
        <v>-3027503.5939999996</v>
      </c>
      <c r="H51" s="60">
        <f>F51-D51</f>
        <v>-222089</v>
      </c>
      <c r="I51" s="38">
        <f>G51-E51</f>
        <v>-525574.59399999958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STG_VAR!D54+ONT_VAR!D54+'CE-VAR'!D54+'EAST-EGM-VAR'!D54+'BGC-EGM-VAR'!D54+'EAST-LRC-VAR'!D54+'TX-EGM-VAR'!D54+'TX-HPLR-VAR '!D54+'WE-VAR'!D54+BUG_VAR!D54+'TX-HPLC-VAR'!D54</f>
        <v>0</v>
      </c>
      <c r="E54" s="65">
        <f>STG_VAR!E54+ONT_VAR!E54+'CE-VAR'!E54+'EAST-EGM-VAR'!E54+'BGC-EGM-VAR'!E54+'EAST-LRC-VAR'!E54+'TX-EGM-VAR'!E54+'TX-HPLR-VAR '!E54+'WE-VAR'!E54+BUG_VAR!E54+'TX-HPLC-VAR'!E54</f>
        <v>-3034621.18</v>
      </c>
      <c r="F54" s="65">
        <f>STG_VAR!F54+ONT_VAR!F54+'CE-VAR'!F54+'EAST-EGM-VAR'!F54+'BGC-EGM-VAR'!F54+'EAST-LRC-VAR'!F54+'TX-EGM-VAR'!F54+'TX-HPLR-VAR '!F54+'WE-VAR'!F54+BUG_VAR!F54+'TX-HPLC-VAR'!F54</f>
        <v>-130341963</v>
      </c>
      <c r="G54" s="65">
        <f>STG_VAR!G54+ONT_VAR!G54+'CE-VAR'!G54+'EAST-EGM-VAR'!G54+'BGC-EGM-VAR'!G54+'EAST-LRC-VAR'!G54+'TX-EGM-VAR'!G54+'TX-HPLR-VAR '!G54+'WE-VAR'!G54+BUG_VAR!G54+'TX-HPLC-VAR'!G54</f>
        <v>-4627405.4000000022</v>
      </c>
      <c r="H54" s="60">
        <f>F54-D54</f>
        <v>-130341963</v>
      </c>
      <c r="I54" s="38">
        <f>G54-E54</f>
        <v>-1592784.2200000021</v>
      </c>
    </row>
    <row r="55" spans="1:9" x14ac:dyDescent="0.25">
      <c r="A55" s="9">
        <v>25</v>
      </c>
      <c r="B55" s="7"/>
      <c r="C55" s="18" t="s">
        <v>57</v>
      </c>
      <c r="D55" s="65">
        <f>STG_VAR!D55+ONT_VAR!D55+'CE-VAR'!D55+'EAST-EGM-VAR'!D55+'BGC-EGM-VAR'!D55+'EAST-LRC-VAR'!D55+'TX-EGM-VAR'!D55+'TX-HPLR-VAR '!D55+'WE-VAR'!D55+BUG_VAR!D55+'TX-HPLC-VAR'!D55</f>
        <v>0</v>
      </c>
      <c r="E55" s="65">
        <f>STG_VAR!E55+ONT_VAR!E55+'CE-VAR'!E55+'EAST-EGM-VAR'!E55+'BGC-EGM-VAR'!E55+'EAST-LRC-VAR'!E55+'TX-EGM-VAR'!E55+'TX-HPLR-VAR '!E55+'WE-VAR'!E55+BUG_VAR!E55+'TX-HPLC-VAR'!E55</f>
        <v>-3762427.6439499999</v>
      </c>
      <c r="F55" s="65">
        <f>STG_VAR!F55+ONT_VAR!F55+'CE-VAR'!F55+'EAST-EGM-VAR'!F55+'BGC-EGM-VAR'!F55+'EAST-LRC-VAR'!F55+'TX-EGM-VAR'!F55+'TX-HPLR-VAR '!F55+'WE-VAR'!F55+BUG_VAR!F55+'TX-HPLC-VAR'!F55</f>
        <v>23032</v>
      </c>
      <c r="G55" s="65">
        <f>STG_VAR!G55+ONT_VAR!G55+'CE-VAR'!G55+'EAST-EGM-VAR'!G55+'BGC-EGM-VAR'!G55+'EAST-LRC-VAR'!G55+'TX-EGM-VAR'!G55+'TX-HPLR-VAR '!G55+'WE-VAR'!G55+BUG_VAR!G55+'TX-HPLC-VAR'!G55</f>
        <v>-12055784.66</v>
      </c>
      <c r="H55" s="60">
        <f>F55-D55</f>
        <v>23032</v>
      </c>
      <c r="I55" s="38">
        <f>G55-E55</f>
        <v>-8293357.0160499997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-6797048.8239500001</v>
      </c>
      <c r="F56" s="61">
        <f t="shared" si="10"/>
        <v>-130318931</v>
      </c>
      <c r="G56" s="39">
        <f t="shared" si="10"/>
        <v>-16683190.060000002</v>
      </c>
      <c r="H56" s="61">
        <f t="shared" si="10"/>
        <v>-130318931</v>
      </c>
      <c r="I56" s="39">
        <f t="shared" si="10"/>
        <v>-9886141.2360500023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STG_VAR!D59+ONT_VAR!D59+'CE-VAR'!D59+'EAST-EGM-VAR'!D59+'BGC-EGM-VAR'!D59+'EAST-LRC-VAR'!D59+'TX-EGM-VAR'!D59+'TX-HPLR-VAR '!D59+'WE-VAR'!D59+BUG_VAR!D59+'TX-HPLC-VAR'!D59</f>
        <v>0</v>
      </c>
      <c r="E59" s="65">
        <f>STG_VAR!E59+ONT_VAR!E59+'CE-VAR'!E59+'EAST-EGM-VAR'!E59+'BGC-EGM-VAR'!E59+'EAST-LRC-VAR'!E59+'TX-EGM-VAR'!E59+'TX-HPLR-VAR '!E59+'WE-VAR'!E59+BUG_VAR!E59+'TX-HPLC-VAR'!E59</f>
        <v>0</v>
      </c>
      <c r="F59" s="65">
        <f>STG_VAR!F59+ONT_VAR!F59+'CE-VAR'!F59+'EAST-EGM-VAR'!F59+'BGC-EGM-VAR'!F59+'EAST-LRC-VAR'!F59+'TX-EGM-VAR'!F59+'TX-HPLR-VAR '!F59+'WE-VAR'!F59+BUG_VAR!F59+'TX-HPLC-VAR'!F59</f>
        <v>2441557</v>
      </c>
      <c r="G59" s="65">
        <f>STG_VAR!G59+ONT_VAR!G59+'CE-VAR'!G59+'EAST-EGM-VAR'!G59+'BGC-EGM-VAR'!G59+'EAST-LRC-VAR'!G59+'TX-EGM-VAR'!G59+'TX-HPLR-VAR '!G59+'WE-VAR'!G59+BUG_VAR!G59+'TX-HPLC-VAR'!G59</f>
        <v>118623.84</v>
      </c>
      <c r="H59" s="60">
        <f>F59-D59</f>
        <v>2441557</v>
      </c>
      <c r="I59" s="38">
        <f>G59-E59</f>
        <v>118623.84</v>
      </c>
    </row>
    <row r="60" spans="1:9" x14ac:dyDescent="0.25">
      <c r="A60" s="9">
        <v>27</v>
      </c>
      <c r="B60" s="11"/>
      <c r="C60" s="18" t="s">
        <v>61</v>
      </c>
      <c r="D60" s="65">
        <f>STG_VAR!D60+ONT_VAR!D60+'CE-VAR'!D60+'EAST-EGM-VAR'!D60+'BGC-EGM-VAR'!D60+'EAST-LRC-VAR'!D60+'TX-EGM-VAR'!D60+'TX-HPLR-VAR '!D60+'WE-VAR'!D60+BUG_VAR!D60+'TX-HPLC-VAR'!D60</f>
        <v>0</v>
      </c>
      <c r="E60" s="65">
        <f>STG_VAR!E60+ONT_VAR!E60+'CE-VAR'!E60+'EAST-EGM-VAR'!E60+'BGC-EGM-VAR'!E60+'EAST-LRC-VAR'!E60+'TX-EGM-VAR'!E60+'TX-HPLR-VAR '!E60+'WE-VAR'!E60+BUG_VAR!E60+'TX-HPLC-VAR'!E60</f>
        <v>0</v>
      </c>
      <c r="F60" s="65">
        <f>STG_VAR!F60+ONT_VAR!F60+'CE-VAR'!F60+'EAST-EGM-VAR'!F60+'BGC-EGM-VAR'!F60+'EAST-LRC-VAR'!F60+'TX-EGM-VAR'!F60+'TX-HPLR-VAR '!F60+'WE-VAR'!F60+BUG_VAR!F60+'TX-HPLC-VAR'!F60</f>
        <v>0</v>
      </c>
      <c r="G60" s="65">
        <f>STG_VAR!G60+ONT_VAR!G60+'CE-VAR'!G60+'EAST-EGM-VAR'!G60+'BGC-EGM-VAR'!G60+'EAST-LRC-VAR'!G60+'TX-EGM-VAR'!G60+'TX-HPLR-VAR '!G60+'WE-VAR'!G60+BUG_VAR!G60+'TX-HPLC-VAR'!G60</f>
        <v>123298</v>
      </c>
      <c r="H60" s="60">
        <f>F60-D60</f>
        <v>0</v>
      </c>
      <c r="I60" s="38">
        <f>G60-E60</f>
        <v>123298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2441557</v>
      </c>
      <c r="G61" s="70">
        <f t="shared" si="11"/>
        <v>241921.84</v>
      </c>
      <c r="H61" s="69">
        <f t="shared" si="11"/>
        <v>2441557</v>
      </c>
      <c r="I61" s="70">
        <f t="shared" si="11"/>
        <v>241921.84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STG_VAR!D64+ONT_VAR!D64+'CE-VAR'!D64+'EAST-EGM-VAR'!D64+'BGC-EGM-VAR'!D64+'EAST-LRC-VAR'!D64+'TX-EGM-VAR'!D64+'TX-HPLR-VAR '!D64+'WE-VAR'!D64+BUG_VAR!D64+'TX-HPLC-VAR'!D64</f>
        <v>0</v>
      </c>
      <c r="E64" s="65">
        <f>STG_VAR!E64+ONT_VAR!E64+'CE-VAR'!E64+'EAST-EGM-VAR'!E64+'BGC-EGM-VAR'!E64+'EAST-LRC-VAR'!E64+'TX-EGM-VAR'!E64+'TX-HPLR-VAR '!E64+'WE-VAR'!E64+BUG_VAR!E64+'TX-HPLC-VAR'!E64</f>
        <v>48497</v>
      </c>
      <c r="F64" s="65">
        <f>STG_VAR!F64+ONT_VAR!F64+'CE-VAR'!F64+'EAST-EGM-VAR'!F64+'BGC-EGM-VAR'!F64+'EAST-LRC-VAR'!F64+'TX-EGM-VAR'!F64+'TX-HPLR-VAR '!F64+'WE-VAR'!F64+BUG_VAR!F64+'TX-HPLC-VAR'!F64</f>
        <v>-29156268</v>
      </c>
      <c r="G64" s="65">
        <f>STG_VAR!G64+ONT_VAR!G64+'CE-VAR'!G64+'EAST-EGM-VAR'!G64+'BGC-EGM-VAR'!G64+'EAST-LRC-VAR'!G64+'TX-EGM-VAR'!G64+'TX-HPLR-VAR '!G64+'WE-VAR'!G64+BUG_VAR!G64+'TX-HPLC-VAR'!G64</f>
        <v>-2565182.7900000005</v>
      </c>
      <c r="H64" s="60">
        <f>F64-D64</f>
        <v>-29156268</v>
      </c>
      <c r="I64" s="38">
        <f>G64-E64</f>
        <v>-2613679.7900000005</v>
      </c>
    </row>
    <row r="65" spans="1:9" x14ac:dyDescent="0.25">
      <c r="A65" s="9">
        <v>29</v>
      </c>
      <c r="B65" s="11"/>
      <c r="C65" s="18" t="s">
        <v>64</v>
      </c>
      <c r="D65" s="65">
        <f>STG_VAR!D65+ONT_VAR!D65+'CE-VAR'!D65+'EAST-EGM-VAR'!D65+'BGC-EGM-VAR'!D65+'EAST-LRC-VAR'!D65+'TX-EGM-VAR'!D65+'TX-HPLR-VAR '!D65+'WE-VAR'!D65+BUG_VAR!D65+'TX-HPLC-VAR'!D65</f>
        <v>0</v>
      </c>
      <c r="E65" s="65">
        <f>STG_VAR!E65+ONT_VAR!E65+'CE-VAR'!E65+'EAST-EGM-VAR'!E65+'BGC-EGM-VAR'!E65+'EAST-LRC-VAR'!E65+'TX-EGM-VAR'!E65+'TX-HPLR-VAR '!E65+'WE-VAR'!E65+BUG_VAR!E65+'TX-HPLC-VAR'!E65</f>
        <v>0</v>
      </c>
      <c r="F65" s="65">
        <f>STG_VAR!F65+ONT_VAR!F65+'CE-VAR'!F65+'EAST-EGM-VAR'!F65+'BGC-EGM-VAR'!F65+'EAST-LRC-VAR'!F65+'TX-EGM-VAR'!F65+'TX-HPLR-VAR '!F65+'WE-VAR'!F65+BUG_VAR!F65+'TX-HPLC-VAR'!F65</f>
        <v>17547004</v>
      </c>
      <c r="G65" s="65">
        <f>STG_VAR!G65+ONT_VAR!G65+'CE-VAR'!G65+'EAST-EGM-VAR'!G65+'BGC-EGM-VAR'!G65+'EAST-LRC-VAR'!G65+'TX-EGM-VAR'!G65+'TX-HPLR-VAR '!G65+'WE-VAR'!G65+BUG_VAR!G65+'TX-HPLC-VAR'!G65</f>
        <v>2168340.9700000002</v>
      </c>
      <c r="H65" s="60">
        <f>F65-D65</f>
        <v>17547004</v>
      </c>
      <c r="I65" s="38">
        <f>G65-E65</f>
        <v>2168340.9700000002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-11609264</v>
      </c>
      <c r="G66" s="39">
        <f t="shared" si="12"/>
        <v>-396841.8200000003</v>
      </c>
      <c r="H66" s="61">
        <f t="shared" si="12"/>
        <v>-11609264</v>
      </c>
      <c r="I66" s="39">
        <f t="shared" si="12"/>
        <v>-445338.8200000003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STG_VAR!D70+ONT_VAR!D70+'CE-VAR'!D70+'EAST-EGM-VAR'!D70+'BGC-EGM-VAR'!D70+'EAST-LRC-VAR'!D70+'TX-EGM-VAR'!D70+'TX-HPLR-VAR '!D70+'WE-VAR'!D70+BUG_VAR!D70+'TX-HPLC-VAR'!D70</f>
        <v>0</v>
      </c>
      <c r="E70" s="65">
        <f>STG_VAR!E70+ONT_VAR!E70+'CE-VAR'!E70+'EAST-EGM-VAR'!E70+'BGC-EGM-VAR'!E70+'EAST-LRC-VAR'!E70+'TX-EGM-VAR'!E70+'TX-HPLR-VAR '!E70+'WE-VAR'!E70+BUG_VAR!E70+'TX-HPLC-VAR'!E70</f>
        <v>22648219.241172958</v>
      </c>
      <c r="F70" s="65">
        <f>STG_VAR!F70+ONT_VAR!F70+'CE-VAR'!F70+'EAST-EGM-VAR'!F70+'BGC-EGM-VAR'!F70+'EAST-LRC-VAR'!F70+'TX-EGM-VAR'!F70+'TX-HPLR-VAR '!F70+'WE-VAR'!F70+BUG_VAR!F70+'TX-HPLC-VAR'!F70</f>
        <v>0</v>
      </c>
      <c r="G70" s="65">
        <f>STG_VAR!G70+ONT_VAR!G70+'CE-VAR'!G70+'EAST-EGM-VAR'!G70+'BGC-EGM-VAR'!G70+'EAST-LRC-VAR'!G70+'TX-EGM-VAR'!G70+'TX-HPLR-VAR '!G70+'WE-VAR'!G70+BUG_VAR!G70+'TX-HPLC-VAR'!G70</f>
        <v>20801858.59</v>
      </c>
      <c r="H70" s="60">
        <f>F70-D70</f>
        <v>0</v>
      </c>
      <c r="I70" s="38">
        <f>G70-E70</f>
        <v>-1846360.6511729583</v>
      </c>
    </row>
    <row r="71" spans="1:9" x14ac:dyDescent="0.25">
      <c r="A71" s="9">
        <v>31</v>
      </c>
      <c r="B71" s="3"/>
      <c r="C71" s="10" t="s">
        <v>69</v>
      </c>
      <c r="D71" s="65">
        <f>STG_VAR!D71+ONT_VAR!D71+'CE-VAR'!D71+'EAST-EGM-VAR'!D71+'BGC-EGM-VAR'!D71+'EAST-LRC-VAR'!D71+'TX-EGM-VAR'!D71+'TX-HPLR-VAR '!D71+'WE-VAR'!D71+BUG_VAR!D71+'TX-HPLC-VAR'!D71</f>
        <v>0</v>
      </c>
      <c r="E71" s="65">
        <f>STG_VAR!E71+ONT_VAR!E71+'CE-VAR'!E71+'EAST-EGM-VAR'!E71+'BGC-EGM-VAR'!E71+'EAST-LRC-VAR'!E71+'TX-EGM-VAR'!E71+'TX-HPLR-VAR '!E71+'WE-VAR'!E71+BUG_VAR!E71+'TX-HPLC-VAR'!E71</f>
        <v>-15299283</v>
      </c>
      <c r="F71" s="65">
        <f>STG_VAR!F71+ONT_VAR!F71+'CE-VAR'!F71+'EAST-EGM-VAR'!F71+'BGC-EGM-VAR'!F71+'EAST-LRC-VAR'!F71+'TX-EGM-VAR'!F71+'TX-HPLR-VAR '!F71+'WE-VAR'!F71+BUG_VAR!F71+'TX-HPLC-VAR'!F71</f>
        <v>0</v>
      </c>
      <c r="G71" s="65">
        <f>STG_VAR!G71+ONT_VAR!G71+'CE-VAR'!G71+'EAST-EGM-VAR'!G71+'BGC-EGM-VAR'!G71+'EAST-LRC-VAR'!G71+'TX-EGM-VAR'!G71+'TX-HPLR-VAR '!G71+'WE-VAR'!G71+BUG_VAR!G71+'TX-HPLC-VAR'!G71</f>
        <v>-15629578.689999999</v>
      </c>
      <c r="H71" s="60">
        <f>F71-D71</f>
        <v>0</v>
      </c>
      <c r="I71" s="38">
        <f>G71-E71</f>
        <v>-330295.68999999948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7348936.2411729582</v>
      </c>
      <c r="F72" s="69">
        <f t="shared" si="13"/>
        <v>0</v>
      </c>
      <c r="G72" s="70">
        <f t="shared" si="13"/>
        <v>5172279.9000000004</v>
      </c>
      <c r="H72" s="69">
        <f t="shared" si="13"/>
        <v>0</v>
      </c>
      <c r="I72" s="70">
        <f t="shared" si="13"/>
        <v>-2176656.3411729578</v>
      </c>
    </row>
    <row r="73" spans="1:9" x14ac:dyDescent="0.25">
      <c r="A73" s="9">
        <v>32</v>
      </c>
      <c r="B73" s="3"/>
      <c r="C73" s="10" t="s">
        <v>71</v>
      </c>
      <c r="D73" s="65">
        <f>STG_VAR!D73+ONT_VAR!D73+'CE-VAR'!D73+'EAST-EGM-VAR'!D73+'BGC-EGM-VAR'!D73+'EAST-LRC-VAR'!D73+'TX-EGM-VAR'!D73+'TX-HPLR-VAR '!D73+'WE-VAR'!D73+BUG_VAR!D73+'TX-HPLC-VAR'!D73</f>
        <v>0</v>
      </c>
      <c r="E73" s="65">
        <f>STG_VAR!E73+ONT_VAR!E73+'CE-VAR'!E73+'EAST-EGM-VAR'!E73+'BGC-EGM-VAR'!E73+'EAST-LRC-VAR'!E73+'TX-EGM-VAR'!E73+'TX-HPLR-VAR '!E73+'WE-VAR'!E73+BUG_VAR!E73+'TX-HPLC-VAR'!E73</f>
        <v>0</v>
      </c>
      <c r="F73" s="65">
        <f>STG_VAR!F73+ONT_VAR!F73+'CE-VAR'!F73+'EAST-EGM-VAR'!F73+'BGC-EGM-VAR'!F73+'EAST-LRC-VAR'!F73+'TX-EGM-VAR'!F73+'TX-HPLR-VAR '!F73+'WE-VAR'!F73+BUG_VAR!F73+'TX-HPLC-VAR'!F73</f>
        <v>0</v>
      </c>
      <c r="G73" s="65">
        <f>STG_VAR!G73+ONT_VAR!G73+'CE-VAR'!G73+'EAST-EGM-VAR'!G73+'BGC-EGM-VAR'!G73+'EAST-LRC-VAR'!G73+'TX-EGM-VAR'!G73+'TX-HPLR-VAR '!G73+'WE-VAR'!G73+BUG_VAR!G73+'TX-HPLC-VAR'!G73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STG_VAR!D74+ONT_VAR!D74+'CE-VAR'!D74+'EAST-EGM-VAR'!D74+'BGC-EGM-VAR'!D74+'EAST-LRC-VAR'!D74+'TX-EGM-VAR'!D74+'TX-HPLR-VAR '!D74+'WE-VAR'!D74+BUG_VAR!D74+'TX-HPLC-VAR'!D74</f>
        <v>0</v>
      </c>
      <c r="E74" s="65">
        <f>STG_VAR!E74+ONT_VAR!E74+'CE-VAR'!E74+'EAST-EGM-VAR'!E74+'BGC-EGM-VAR'!E74+'EAST-LRC-VAR'!E74+'TX-EGM-VAR'!E74+'TX-HPLR-VAR '!E74+'WE-VAR'!E74+BUG_VAR!E74+'TX-HPLC-VAR'!E74</f>
        <v>4860374.9400000004</v>
      </c>
      <c r="F74" s="65">
        <f>STG_VAR!F74+ONT_VAR!F74+'CE-VAR'!F74+'EAST-EGM-VAR'!F74+'BGC-EGM-VAR'!F74+'EAST-LRC-VAR'!F74+'TX-EGM-VAR'!F74+'TX-HPLR-VAR '!F74+'WE-VAR'!F74+BUG_VAR!F74+'TX-HPLC-VAR'!F74</f>
        <v>0</v>
      </c>
      <c r="G74" s="65">
        <f>STG_VAR!G74+ONT_VAR!G74+'CE-VAR'!G74+'EAST-EGM-VAR'!G74+'BGC-EGM-VAR'!G74+'EAST-LRC-VAR'!G74+'TX-EGM-VAR'!G74+'TX-HPLR-VAR '!G74+'WE-VAR'!G74+BUG_VAR!G74+'TX-HPLC-VAR'!G74</f>
        <v>1581239</v>
      </c>
      <c r="H74" s="60">
        <f t="shared" ref="H74:I79" si="14">F74-D74</f>
        <v>0</v>
      </c>
      <c r="I74" s="38">
        <f t="shared" si="14"/>
        <v>-3279135.9400000004</v>
      </c>
    </row>
    <row r="75" spans="1:9" x14ac:dyDescent="0.25">
      <c r="A75" s="9">
        <v>34</v>
      </c>
      <c r="B75" s="3"/>
      <c r="C75" s="10" t="s">
        <v>73</v>
      </c>
      <c r="D75" s="65">
        <f>STG_VAR!D75+ONT_VAR!D75+'CE-VAR'!D75+'EAST-EGM-VAR'!D75+'BGC-EGM-VAR'!D75+'EAST-LRC-VAR'!D75+'TX-EGM-VAR'!D75+'TX-HPLR-VAR '!D75+'WE-VAR'!D75+BUG_VAR!D75+'TX-HPLC-VAR'!D75</f>
        <v>0</v>
      </c>
      <c r="E75" s="65">
        <f>STG_VAR!E75+ONT_VAR!E75+'CE-VAR'!E75+'EAST-EGM-VAR'!E75+'BGC-EGM-VAR'!E75+'EAST-LRC-VAR'!E75+'TX-EGM-VAR'!E75+'TX-HPLR-VAR '!E75+'WE-VAR'!E75+BUG_VAR!E75+'TX-HPLC-VAR'!E75</f>
        <v>477902.5</v>
      </c>
      <c r="F75" s="65">
        <f>STG_VAR!F75+ONT_VAR!F75+'CE-VAR'!F75+'EAST-EGM-VAR'!F75+'BGC-EGM-VAR'!F75+'EAST-LRC-VAR'!F75+'TX-EGM-VAR'!F75+'TX-HPLR-VAR '!F75+'WE-VAR'!F75+BUG_VAR!F75+'TX-HPLC-VAR'!F75</f>
        <v>0</v>
      </c>
      <c r="G75" s="65">
        <f>STG_VAR!G75+ONT_VAR!G75+'CE-VAR'!G75+'EAST-EGM-VAR'!G75+'BGC-EGM-VAR'!G75+'EAST-LRC-VAR'!G75+'TX-EGM-VAR'!G75+'TX-HPLR-VAR '!G75+'WE-VAR'!G75+BUG_VAR!G75+'TX-HPLC-VAR'!G75</f>
        <v>478000</v>
      </c>
      <c r="H75" s="60">
        <f t="shared" si="14"/>
        <v>0</v>
      </c>
      <c r="I75" s="38">
        <f t="shared" si="14"/>
        <v>97.5</v>
      </c>
    </row>
    <row r="76" spans="1:9" x14ac:dyDescent="0.25">
      <c r="A76" s="9">
        <v>35</v>
      </c>
      <c r="B76" s="3"/>
      <c r="C76" s="10" t="s">
        <v>74</v>
      </c>
      <c r="D76" s="65">
        <f>STG_VAR!D76+ONT_VAR!D76+'CE-VAR'!D76+'EAST-EGM-VAR'!D76+'BGC-EGM-VAR'!D76+'EAST-LRC-VAR'!D76+'TX-EGM-VAR'!D76+'TX-HPLR-VAR '!D76+'WE-VAR'!D76+BUG_VAR!D76+'TX-HPLC-VAR'!D76</f>
        <v>0</v>
      </c>
      <c r="E76" s="65">
        <f>STG_VAR!E76+ONT_VAR!E76+'CE-VAR'!E76+'EAST-EGM-VAR'!E76+'BGC-EGM-VAR'!E76+'EAST-LRC-VAR'!E76+'TX-EGM-VAR'!E76+'TX-HPLR-VAR '!E76+'WE-VAR'!E76+BUG_VAR!E76+'TX-HPLC-VAR'!E76</f>
        <v>-92019</v>
      </c>
      <c r="F76" s="65">
        <f>STG_VAR!F76+ONT_VAR!F76+'CE-VAR'!F76+'EAST-EGM-VAR'!F76+'BGC-EGM-VAR'!F76+'EAST-LRC-VAR'!F76+'TX-EGM-VAR'!F76+'TX-HPLR-VAR '!F76+'WE-VAR'!F76+BUG_VAR!F76+'TX-HPLC-VAR'!F76</f>
        <v>0</v>
      </c>
      <c r="G76" s="65">
        <f>STG_VAR!G76+ONT_VAR!G76+'CE-VAR'!G76+'EAST-EGM-VAR'!G76+'BGC-EGM-VAR'!G76+'EAST-LRC-VAR'!G76+'TX-EGM-VAR'!G76+'TX-HPLR-VAR '!G76+'WE-VAR'!G76+BUG_VAR!G76+'TX-HPLC-VAR'!G76</f>
        <v>-63298.37</v>
      </c>
      <c r="H76" s="60">
        <f t="shared" si="14"/>
        <v>0</v>
      </c>
      <c r="I76" s="38">
        <f t="shared" si="14"/>
        <v>28720.629999999997</v>
      </c>
    </row>
    <row r="77" spans="1:9" x14ac:dyDescent="0.25">
      <c r="A77" s="9">
        <v>36</v>
      </c>
      <c r="B77" s="3"/>
      <c r="C77" s="10" t="s">
        <v>75</v>
      </c>
      <c r="D77" s="65">
        <f>STG_VAR!D77+ONT_VAR!D77+'CE-VAR'!D77+'EAST-EGM-VAR'!D77+'BGC-EGM-VAR'!D77+'EAST-LRC-VAR'!D77+'TX-EGM-VAR'!D77+'TX-HPLR-VAR '!D77+'WE-VAR'!D77+BUG_VAR!D77+'TX-HPLC-VAR'!D77</f>
        <v>0</v>
      </c>
      <c r="E77" s="65">
        <f>STG_VAR!E77+ONT_VAR!E77+'CE-VAR'!E77+'EAST-EGM-VAR'!E77+'BGC-EGM-VAR'!E77+'EAST-LRC-VAR'!E77+'TX-EGM-VAR'!E77+'TX-HPLR-VAR '!E77+'WE-VAR'!E77+BUG_VAR!E77+'TX-HPLC-VAR'!E77</f>
        <v>-1140109</v>
      </c>
      <c r="F77" s="65">
        <f>STG_VAR!F77+ONT_VAR!F77+'CE-VAR'!F77+'EAST-EGM-VAR'!F77+'BGC-EGM-VAR'!F77+'EAST-LRC-VAR'!F77+'TX-EGM-VAR'!F77+'TX-HPLR-VAR '!F77+'WE-VAR'!F77+BUG_VAR!F77+'TX-HPLC-VAR'!F77</f>
        <v>0</v>
      </c>
      <c r="G77" s="65">
        <f>STG_VAR!G77+ONT_VAR!G77+'CE-VAR'!G77+'EAST-EGM-VAR'!G77+'BGC-EGM-VAR'!G77+'EAST-LRC-VAR'!G77+'TX-EGM-VAR'!G77+'TX-HPLR-VAR '!G77+'WE-VAR'!G77+BUG_VAR!G77+'TX-HPLC-VAR'!G77</f>
        <v>-4310392</v>
      </c>
      <c r="H77" s="60">
        <f t="shared" si="14"/>
        <v>0</v>
      </c>
      <c r="I77" s="38">
        <f t="shared" si="14"/>
        <v>-3170283</v>
      </c>
    </row>
    <row r="78" spans="1:9" x14ac:dyDescent="0.25">
      <c r="A78" s="9">
        <v>37</v>
      </c>
      <c r="B78" s="3"/>
      <c r="C78" s="10" t="s">
        <v>76</v>
      </c>
      <c r="D78" s="65">
        <f>STG_VAR!D78+ONT_VAR!D78+'CE-VAR'!D78+'EAST-EGM-VAR'!D78+'BGC-EGM-VAR'!D78+'EAST-LRC-VAR'!D78+'TX-EGM-VAR'!D78+'TX-HPLR-VAR '!D78+'WE-VAR'!D78+BUG_VAR!D78+'TX-HPLC-VAR'!D78</f>
        <v>0</v>
      </c>
      <c r="E78" s="65">
        <f>STG_VAR!E78+ONT_VAR!E78+'CE-VAR'!E78+'EAST-EGM-VAR'!E78+'BGC-EGM-VAR'!E78+'EAST-LRC-VAR'!E78+'TX-EGM-VAR'!E78+'TX-HPLR-VAR '!E78+'WE-VAR'!E78+BUG_VAR!E78+'TX-HPLC-VAR'!E78</f>
        <v>24523.945</v>
      </c>
      <c r="F78" s="65">
        <f>STG_VAR!F78+ONT_VAR!F78+'CE-VAR'!F78+'EAST-EGM-VAR'!F78+'BGC-EGM-VAR'!F78+'EAST-LRC-VAR'!F78+'TX-EGM-VAR'!F78+'TX-HPLR-VAR '!F78+'WE-VAR'!F78+BUG_VAR!F78+'TX-HPLC-VAR'!F78</f>
        <v>0</v>
      </c>
      <c r="G78" s="65">
        <f>STG_VAR!G78+ONT_VAR!G78+'CE-VAR'!G78+'EAST-EGM-VAR'!G78+'BGC-EGM-VAR'!G78+'EAST-LRC-VAR'!G78+'TX-EGM-VAR'!G78+'TX-HPLR-VAR '!G78+'WE-VAR'!G78+BUG_VAR!G78+'TX-HPLC-VAR'!G78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77</v>
      </c>
      <c r="D79" s="65">
        <f>STG_VAR!D79+ONT_VAR!D79+'CE-VAR'!D79+'EAST-EGM-VAR'!D79+'BGC-EGM-VAR'!D79+'EAST-LRC-VAR'!D79+'TX-EGM-VAR'!D79+'TX-HPLR-VAR '!D79+'WE-VAR'!D79+BUG_VAR!D79+'TX-HPLC-VAR'!D79</f>
        <v>0</v>
      </c>
      <c r="E79" s="65">
        <f>STG_VAR!E79+ONT_VAR!E79+'CE-VAR'!E79+'EAST-EGM-VAR'!E79+'BGC-EGM-VAR'!E79+'EAST-LRC-VAR'!E79+'TX-EGM-VAR'!E79+'TX-HPLR-VAR '!E79+'WE-VAR'!E79+BUG_VAR!E79+'TX-HPLC-VAR'!E79</f>
        <v>1591548</v>
      </c>
      <c r="F79" s="65">
        <f>STG_VAR!F79+ONT_VAR!F79+'CE-VAR'!F79+'EAST-EGM-VAR'!F79+'BGC-EGM-VAR'!F79+'EAST-LRC-VAR'!F79+'TX-EGM-VAR'!F79+'TX-HPLR-VAR '!F79+'WE-VAR'!F79+BUG_VAR!F79+'TX-HPLC-VAR'!F79</f>
        <v>0</v>
      </c>
      <c r="G79" s="65">
        <f>STG_VAR!G79+ONT_VAR!G79+'CE-VAR'!G79+'EAST-EGM-VAR'!G79+'BGC-EGM-VAR'!G79+'EAST-LRC-VAR'!G79+'TX-EGM-VAR'!G79+'TX-HPLR-VAR '!G79+'WE-VAR'!G79+BUG_VAR!G79+'TX-HPLC-VAR'!G79</f>
        <v>0</v>
      </c>
      <c r="H79" s="60">
        <f t="shared" si="14"/>
        <v>0</v>
      </c>
      <c r="I79" s="38">
        <f t="shared" si="14"/>
        <v>-1591548</v>
      </c>
    </row>
    <row r="80" spans="1:9" x14ac:dyDescent="0.25">
      <c r="A80" s="9">
        <v>39</v>
      </c>
      <c r="B80" s="3"/>
      <c r="C80" s="10" t="s">
        <v>78</v>
      </c>
      <c r="D80" s="65">
        <f>STG_VAR!D80+ONT_VAR!D80+'CE-VAR'!D80+'EAST-EGM-VAR'!D80+'BGC-EGM-VAR'!D80+'EAST-LRC-VAR'!D80+'TX-EGM-VAR'!D80+'TX-HPLR-VAR '!D80+'WE-VAR'!D80+BUG_VAR!D80+'TX-HPLC-VAR'!D80</f>
        <v>0</v>
      </c>
      <c r="E80" s="65">
        <f>STG_VAR!E80+ONT_VAR!E80+'CE-VAR'!E80+'EAST-EGM-VAR'!E80+'BGC-EGM-VAR'!E80+'EAST-LRC-VAR'!E80+'TX-EGM-VAR'!E80+'TX-HPLR-VAR '!E80+'WE-VAR'!E80+BUG_VAR!E80+'TX-HPLC-VAR'!E80</f>
        <v>0</v>
      </c>
      <c r="F80" s="65">
        <f>STG_VAR!F80+ONT_VAR!F80+'CE-VAR'!F80+'EAST-EGM-VAR'!F80+'BGC-EGM-VAR'!F80+'EAST-LRC-VAR'!F80+'TX-EGM-VAR'!F80+'TX-HPLR-VAR '!F80+'WE-VAR'!F80+BUG_VAR!F80+'TX-HPLC-VAR'!F80</f>
        <v>0</v>
      </c>
      <c r="G80" s="65">
        <f>STG_VAR!G80+ONT_VAR!G80+'CE-VAR'!G80+'EAST-EGM-VAR'!G80+'BGC-EGM-VAR'!G80+'EAST-LRC-VAR'!G80+'TX-EGM-VAR'!G80+'TX-HPLR-VAR '!G80+'WE-VAR'!G80+BUG_VAR!G80+'TX-HPLC-VAR'!G80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79</v>
      </c>
      <c r="D81" s="65">
        <f>STG_VAR!D81+ONT_VAR!D81+'CE-VAR'!D81+'EAST-EGM-VAR'!D81+'BGC-EGM-VAR'!D81+'EAST-LRC-VAR'!D81+'TX-EGM-VAR'!D81+'TX-HPLR-VAR '!D81+'WE-VAR'!D81+BUG_VAR!D81+'TX-HPLC-VAR'!D81</f>
        <v>0</v>
      </c>
      <c r="E81" s="65">
        <f>STG_VAR!E81+ONT_VAR!E81+'CE-VAR'!E81+'EAST-EGM-VAR'!E81+'BGC-EGM-VAR'!E81+'EAST-LRC-VAR'!E81+'TX-EGM-VAR'!E81+'TX-HPLR-VAR '!E81+'WE-VAR'!E81+BUG_VAR!E81+'TX-HPLC-VAR'!E81</f>
        <v>-7166091</v>
      </c>
      <c r="F81" s="65">
        <f>STG_VAR!F81+ONT_VAR!F81+'CE-VAR'!F81+'EAST-EGM-VAR'!F81+'BGC-EGM-VAR'!F81+'EAST-LRC-VAR'!F81+'TX-EGM-VAR'!F81+'TX-HPLR-VAR '!F81+'WE-VAR'!F81+BUG_VAR!F81+'TX-HPLC-VAR'!F81</f>
        <v>0</v>
      </c>
      <c r="G81" s="65">
        <f>STG_VAR!G81+ONT_VAR!G81+'CE-VAR'!G81+'EAST-EGM-VAR'!G81+'BGC-EGM-VAR'!G81+'EAST-LRC-VAR'!G81+'TX-EGM-VAR'!G81+'TX-HPLR-VAR '!G81+'WE-VAR'!G81+BUG_VAR!G81+'TX-HPLC-VAR'!G81</f>
        <v>1835666.29</v>
      </c>
      <c r="H81" s="60">
        <f>F81-D81</f>
        <v>0</v>
      </c>
      <c r="I81" s="38">
        <f>G81-E81</f>
        <v>9001757.2899999991</v>
      </c>
    </row>
    <row r="82" spans="1:9" s="49" customFormat="1" ht="20.25" customHeight="1" thickBot="1" x14ac:dyDescent="0.3">
      <c r="A82" s="89"/>
      <c r="B82" s="90"/>
      <c r="C82" s="91" t="s">
        <v>80</v>
      </c>
      <c r="D82" s="92">
        <f>D16+D24+D29+D36+D43+D45+D47+D49</f>
        <v>0</v>
      </c>
      <c r="E82" s="93">
        <f>SUM(E72:E81)+E16+E24+E29+E36+E43+E45+E47+E49+E51+E56+E61+E66</f>
        <v>6628578.3480830938</v>
      </c>
      <c r="F82" s="92">
        <f>F16+F24+F29+F36+F43+F45+F47+F49</f>
        <v>0</v>
      </c>
      <c r="G82" s="93">
        <f>SUM(G72:G81)+G16+G24+G29+G36+G43+G45+G47+G49+G51+G56+G61+G66</f>
        <v>8752392.9355001077</v>
      </c>
      <c r="H82" s="92">
        <f>H16+H24+H29+H36+H43+H45+H47+H49</f>
        <v>0</v>
      </c>
      <c r="I82" s="93">
        <f>SUM(I72:I81)+I16+I24+I29+I36+I43+I45+I47+I49+I51+I56+I61+I66</f>
        <v>2123814.5874168351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170</v>
      </c>
      <c r="B85" s="3"/>
      <c r="F85" s="31"/>
      <c r="G85" s="31"/>
      <c r="H85" s="31"/>
      <c r="I85" s="31"/>
    </row>
    <row r="86" spans="1:9" x14ac:dyDescent="0.25">
      <c r="A86" s="173"/>
      <c r="B86" s="3"/>
      <c r="C86" s="10" t="s">
        <v>173</v>
      </c>
      <c r="D86" s="174">
        <f>STG_VAR!D86+ONT_VAR!D86+'CE-VAR'!D86+'EAST-EGM-VAR'!D86+'BGC-EGM-VAR'!D86+'EAST-LRC-VAR'!D86+'TX-EGM-VAR'!D86+'TX-HPLR-VAR '!D86+'WE-VAR'!D86+BUG_VAR!D86</f>
        <v>0</v>
      </c>
      <c r="E86" s="174">
        <f>STG_VAR!E86+ONT_VAR!E86+'CE-VAR'!E86+'EAST-EGM-VAR'!E86+'BGC-EGM-VAR'!E86+'EAST-LRC-VAR'!E86+'TX-EGM-VAR'!E86+'TX-HPLR-VAR '!E86+'WE-VAR'!E86+BUG_VAR!E86</f>
        <v>-597016</v>
      </c>
      <c r="F86" s="174">
        <f>STG_VAR!F86+ONT_VAR!F86+'CE-VAR'!F86+'EAST-EGM-VAR'!F86+'BGC-EGM-VAR'!F86+'EAST-LRC-VAR'!F86+'TX-EGM-VAR'!F86+'TX-HPLR-VAR '!F86+'WE-VAR'!F86+BUG_VAR!F86</f>
        <v>0</v>
      </c>
      <c r="G86" s="174">
        <f>STG_VAR!G86+ONT_VAR!G86+'CE-VAR'!G86+'EAST-EGM-VAR'!G86+'BGC-EGM-VAR'!G86+'EAST-LRC-VAR'!G86+'TX-EGM-VAR'!G86+'TX-HPLR-VAR '!G86+'WE-VAR'!G86+BUG_VAR!G86</f>
        <v>252214</v>
      </c>
      <c r="H86" s="174">
        <f t="shared" ref="H86:I88" si="15">F86-D86</f>
        <v>0</v>
      </c>
      <c r="I86" s="174">
        <f t="shared" si="15"/>
        <v>849230</v>
      </c>
    </row>
    <row r="87" spans="1:9" x14ac:dyDescent="0.25">
      <c r="A87" s="173"/>
      <c r="B87" s="3"/>
      <c r="C87" s="10" t="s">
        <v>72</v>
      </c>
      <c r="D87" s="175">
        <f>STG_VAR!D87+ONT_VAR!D87+'CE-VAR'!D87+'EAST-EGM-VAR'!D87+'BGC-EGM-VAR'!D87+'EAST-LRC-VAR'!D87+'TX-EGM-VAR'!D87+'TX-HPLR-VAR '!D87+'WE-VAR'!D87+BUG_VAR!D87</f>
        <v>0</v>
      </c>
      <c r="E87" s="175">
        <f>STG_VAR!E87+ONT_VAR!E87+'CE-VAR'!E87+'EAST-EGM-VAR'!E87+'BGC-EGM-VAR'!E87+'EAST-LRC-VAR'!E87+'TX-EGM-VAR'!E87+'TX-HPLR-VAR '!E87+'WE-VAR'!E87+BUG_VAR!E87</f>
        <v>0</v>
      </c>
      <c r="F87" s="175">
        <f>STG_VAR!F87+ONT_VAR!F87+'CE-VAR'!F87+'EAST-EGM-VAR'!F87+'BGC-EGM-VAR'!F87+'EAST-LRC-VAR'!F87+'TX-EGM-VAR'!F87+'TX-HPLR-VAR '!F87+'WE-VAR'!F87+BUG_VAR!F87</f>
        <v>0</v>
      </c>
      <c r="G87" s="175">
        <f>STG_VAR!G87+ONT_VAR!G87+'CE-VAR'!G87+'EAST-EGM-VAR'!G87+'BGC-EGM-VAR'!G87+'EAST-LRC-VAR'!G87+'TX-EGM-VAR'!G87+'TX-HPLR-VAR '!G87+'WE-VAR'!G87+BUG_VAR!G87</f>
        <v>0</v>
      </c>
      <c r="H87" s="175">
        <f t="shared" si="15"/>
        <v>0</v>
      </c>
      <c r="I87" s="175">
        <f t="shared" si="15"/>
        <v>0</v>
      </c>
    </row>
    <row r="88" spans="1:9" x14ac:dyDescent="0.25">
      <c r="A88" s="173"/>
      <c r="B88" s="3"/>
      <c r="C88" s="10" t="s">
        <v>73</v>
      </c>
      <c r="D88" s="176">
        <f>STG_VAR!D88+ONT_VAR!D88+'CE-VAR'!D88+'EAST-EGM-VAR'!D88+'BGC-EGM-VAR'!D88+'EAST-LRC-VAR'!D88+'TX-EGM-VAR'!D88+'TX-HPLR-VAR '!D88+'WE-VAR'!D88+BUG_VAR!D88</f>
        <v>0</v>
      </c>
      <c r="E88" s="176">
        <f>STG_VAR!E88+ONT_VAR!E88+'CE-VAR'!E88+'EAST-EGM-VAR'!E88+'BGC-EGM-VAR'!E88+'EAST-LRC-VAR'!E88+'TX-EGM-VAR'!E88+'TX-HPLR-VAR '!E88+'WE-VAR'!E88+BUG_VAR!E88</f>
        <v>0</v>
      </c>
      <c r="F88" s="176">
        <f>STG_VAR!F88+ONT_VAR!F88+'CE-VAR'!F88+'EAST-EGM-VAR'!F88+'BGC-EGM-VAR'!F88+'EAST-LRC-VAR'!F88+'TX-EGM-VAR'!F88+'TX-HPLR-VAR '!F88+'WE-VAR'!F88+BUG_VAR!F88</f>
        <v>0</v>
      </c>
      <c r="G88" s="176">
        <f>STG_VAR!G88+ONT_VAR!G88+'CE-VAR'!G88+'EAST-EGM-VAR'!G88+'BGC-EGM-VAR'!G88+'EAST-LRC-VAR'!G88+'TX-EGM-VAR'!G88+'TX-HPLR-VAR '!G88+'WE-VAR'!G88+BUG_VAR!G88</f>
        <v>-703008.76</v>
      </c>
      <c r="H88" s="176">
        <f t="shared" si="15"/>
        <v>0</v>
      </c>
      <c r="I88" s="176">
        <f t="shared" si="15"/>
        <v>-703008.76</v>
      </c>
    </row>
    <row r="89" spans="1:9" s="145" customFormat="1" x14ac:dyDescent="0.25">
      <c r="A89" s="187"/>
      <c r="B89" s="188"/>
      <c r="C89" s="186" t="s">
        <v>176</v>
      </c>
      <c r="D89" s="189">
        <f t="shared" ref="D89:I89" si="16">SUM(D86:D88)</f>
        <v>0</v>
      </c>
      <c r="E89" s="189">
        <f t="shared" si="16"/>
        <v>-597016</v>
      </c>
      <c r="F89" s="189">
        <f t="shared" si="16"/>
        <v>0</v>
      </c>
      <c r="G89" s="189">
        <f t="shared" si="16"/>
        <v>-450794.76</v>
      </c>
      <c r="H89" s="189">
        <f t="shared" si="16"/>
        <v>0</v>
      </c>
      <c r="I89" s="189">
        <f t="shared" si="16"/>
        <v>146221.24</v>
      </c>
    </row>
    <row r="90" spans="1:9" s="145" customFormat="1" x14ac:dyDescent="0.25">
      <c r="A90" s="191"/>
      <c r="B90" s="188"/>
      <c r="D90" s="192"/>
      <c r="E90" s="192"/>
      <c r="F90" s="192"/>
      <c r="G90" s="192"/>
      <c r="H90" s="192"/>
      <c r="I90" s="192"/>
    </row>
    <row r="91" spans="1:9" s="145" customFormat="1" x14ac:dyDescent="0.25">
      <c r="A91" s="187"/>
      <c r="B91" s="188"/>
      <c r="C91" s="186" t="s">
        <v>179</v>
      </c>
      <c r="D91" s="189">
        <f t="shared" ref="D91:I91" si="17">+D82+D89</f>
        <v>0</v>
      </c>
      <c r="E91" s="189">
        <f t="shared" si="17"/>
        <v>6031562.3480830938</v>
      </c>
      <c r="F91" s="189">
        <f t="shared" si="17"/>
        <v>0</v>
      </c>
      <c r="G91" s="189">
        <f t="shared" si="17"/>
        <v>8301598.1755001079</v>
      </c>
      <c r="H91" s="189">
        <f t="shared" si="17"/>
        <v>0</v>
      </c>
      <c r="I91" s="189">
        <f t="shared" si="17"/>
        <v>2270035.8274168354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S10" activePane="bottomRight" state="frozen"/>
      <selection activeCell="T652" sqref="T652"/>
      <selection pane="topRight" activeCell="T652" sqref="T652"/>
      <selection pane="bottomLeft" activeCell="T652" sqref="T652"/>
      <selection pane="bottomRight" activeCell="V30" sqref="V3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5" customWidth="1"/>
    <col min="12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49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-77918</v>
      </c>
      <c r="F12" s="60">
        <f>'TIE-OUT'!V12+RECLASS!V12</f>
        <v>0</v>
      </c>
      <c r="G12" s="38">
        <f>'TIE-OUT'!W12+RECLASS!W12</f>
        <v>-77918</v>
      </c>
      <c r="H12" s="60"/>
      <c r="I12" s="38"/>
      <c r="J12" s="60"/>
      <c r="K12" s="149"/>
      <c r="L12" s="60"/>
      <c r="M12" s="38"/>
      <c r="N12" s="60"/>
      <c r="O12" s="38">
        <v>0</v>
      </c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5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1396062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49"/>
      <c r="L13" s="60"/>
      <c r="M13" s="38"/>
      <c r="N13" s="60"/>
      <c r="O13" s="38">
        <v>1428267</v>
      </c>
      <c r="P13" s="60"/>
      <c r="Q13" s="38"/>
      <c r="R13" s="60"/>
      <c r="S13" s="38"/>
      <c r="T13" s="60"/>
      <c r="U13" s="38">
        <v>-14792</v>
      </c>
      <c r="V13" s="60"/>
      <c r="W13" s="38"/>
      <c r="X13" s="60"/>
      <c r="Y13" s="38">
        <v>-17413</v>
      </c>
      <c r="Z13" s="60"/>
      <c r="AA13" s="38"/>
      <c r="AB13" s="60"/>
      <c r="AC13" s="38"/>
      <c r="AD13" s="60"/>
      <c r="AE13" s="38"/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5">
      <c r="A16" s="9"/>
      <c r="B16" s="7" t="s">
        <v>31</v>
      </c>
      <c r="C16" s="6"/>
      <c r="D16" s="61">
        <f>SUM(D11:D15)</f>
        <v>0</v>
      </c>
      <c r="E16" s="39">
        <f>SUM(E11:E15)</f>
        <v>1318144</v>
      </c>
      <c r="F16" s="61">
        <f t="shared" ref="F16:AD16" si="1">SUM(F11:F15)</f>
        <v>0</v>
      </c>
      <c r="G16" s="39">
        <f t="shared" si="1"/>
        <v>-77918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0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1428267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A16" si="2">SUM(U11:U15)</f>
        <v>-14792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-17413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49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49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5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49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33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5">
      <c r="A24" s="9"/>
      <c r="B24" s="7" t="s">
        <v>34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50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ref="U24:AA24" si="5"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5">
      <c r="A29" s="9"/>
      <c r="B29" s="7" t="s">
        <v>38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ref="U29:AA29" si="7"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49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9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5">
      <c r="A36" s="9"/>
      <c r="B36" s="7" t="s">
        <v>44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50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ref="U36:AA36" si="10">SUM(U32:U35)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564737</v>
      </c>
      <c r="F41" s="81">
        <f>'TIE-OUT'!V41+RECLASS!V41</f>
        <v>0</v>
      </c>
      <c r="G41" s="82">
        <f>'TIE-OUT'!W41+RECLASS!W41</f>
        <v>564737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5">
      <c r="A42" s="9"/>
      <c r="B42" s="7"/>
      <c r="C42" s="53" t="s">
        <v>49</v>
      </c>
      <c r="D42" s="61">
        <f>SUM(D40:D41)</f>
        <v>0</v>
      </c>
      <c r="E42" s="39">
        <f>SUM(E40:E41)</f>
        <v>564737</v>
      </c>
      <c r="F42" s="61">
        <f t="shared" ref="F42:AD42" si="12">SUM(F40:F41)</f>
        <v>0</v>
      </c>
      <c r="G42" s="39">
        <f t="shared" si="12"/>
        <v>564737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ref="U42:AA42" si="13">SUM(U40:U41)</f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5">
      <c r="A43" s="9"/>
      <c r="B43" s="7" t="s">
        <v>50</v>
      </c>
      <c r="C43" s="6"/>
      <c r="D43" s="61">
        <f>D42+D39</f>
        <v>0</v>
      </c>
      <c r="E43" s="39">
        <f>E42+E39</f>
        <v>564737</v>
      </c>
      <c r="F43" s="61">
        <f t="shared" ref="F43:AD43" si="14">F42+F39</f>
        <v>0</v>
      </c>
      <c r="G43" s="39">
        <f t="shared" si="14"/>
        <v>564737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ref="U43:AA43" si="15">U42+U39</f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49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-43915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9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-43915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49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5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ref="U56:AA56" si="17"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123262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9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123262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123262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ref="U61:AA61" si="19"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ref="U66:AA66" si="21">SUM(U64:U65)</f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4111298</v>
      </c>
      <c r="F70" s="64">
        <f>'TIE-OUT'!V70+RECLASS!V70</f>
        <v>0</v>
      </c>
      <c r="G70" s="68">
        <f>'TIE-OUT'!W70+RECLASS!W70</f>
        <v>5957659</v>
      </c>
      <c r="H70" s="60"/>
      <c r="I70" s="38">
        <v>0</v>
      </c>
      <c r="J70" s="60"/>
      <c r="K70" s="149">
        <v>0</v>
      </c>
      <c r="L70" s="60"/>
      <c r="M70" s="38"/>
      <c r="N70" s="60"/>
      <c r="O70" s="38">
        <f>-418094-1428267</f>
        <v>-1846361</v>
      </c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4111298</v>
      </c>
      <c r="F72" s="61">
        <f t="shared" ref="F72:AD72" si="22">SUM(F70:F71)</f>
        <v>0</v>
      </c>
      <c r="G72" s="39">
        <f t="shared" si="22"/>
        <v>5957659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-1846361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ref="U72:AA72" si="23"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-1710933.76</v>
      </c>
      <c r="F74" s="60">
        <f>'TIE-OUT'!V74+RECLASS!V74</f>
        <v>0</v>
      </c>
      <c r="G74" s="60">
        <f>'TIE-OUT'!W74+RECLASS!W74</f>
        <v>-1247812</v>
      </c>
      <c r="H74" s="60"/>
      <c r="I74" s="38"/>
      <c r="J74" s="60"/>
      <c r="K74" s="162">
        <v>-213900</v>
      </c>
      <c r="L74" s="60"/>
      <c r="M74" s="38">
        <f>-93000-16908</f>
        <v>-109908</v>
      </c>
      <c r="N74" s="60"/>
      <c r="O74" s="38">
        <v>-156221.76000000001</v>
      </c>
      <c r="P74" s="60"/>
      <c r="Q74" s="38">
        <v>16908</v>
      </c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9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-376583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9"/>
      <c r="L77" s="60"/>
      <c r="M77" s="38"/>
      <c r="N77" s="60"/>
      <c r="O77" s="38"/>
      <c r="P77" s="60"/>
      <c r="Q77" s="38">
        <v>-376583</v>
      </c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-107654</v>
      </c>
      <c r="F81" s="60">
        <f>'TIE-OUT'!V81+RECLASS!V81</f>
        <v>0</v>
      </c>
      <c r="G81" s="60">
        <f>'TIE-OUT'!W81+RECLASS!W81</f>
        <v>0</v>
      </c>
      <c r="H81" s="60"/>
      <c r="I81" s="162">
        <v>-225</v>
      </c>
      <c r="J81" s="60"/>
      <c r="K81" s="162">
        <v>0</v>
      </c>
      <c r="L81" s="60"/>
      <c r="M81" s="38"/>
      <c r="N81" s="60"/>
      <c r="O81" s="38"/>
      <c r="P81" s="60"/>
      <c r="Q81" s="38">
        <f>-89995-17434</f>
        <v>-107429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3878355.24</v>
      </c>
      <c r="F82" s="92">
        <f>F16+F24+F29+F36+F43+F45+F47+F49</f>
        <v>0</v>
      </c>
      <c r="G82" s="93">
        <f>SUM(G72:G81)+G16+G24+G29+G36+G43+G45+G47+G49+G51+G56+G61+G66</f>
        <v>5196666</v>
      </c>
      <c r="H82" s="92">
        <f>H16+H24+H29+H36+H43+H45+H47+H49</f>
        <v>0</v>
      </c>
      <c r="I82" s="166">
        <f>SUM(I72:I81)+I16+I24+I29+I36+I43+I45+I47+I49+I51+I56+I61+I66</f>
        <v>-225</v>
      </c>
      <c r="J82" s="92">
        <f>J16+J24+J29+J36+J43+J45+J47+J49</f>
        <v>0</v>
      </c>
      <c r="K82" s="166">
        <f>SUM(K72:K81)+K16+K24+K29+K36+K43+K45+K47+K49+K51+K56+K61+K66</f>
        <v>-90638</v>
      </c>
      <c r="L82" s="92">
        <f>L16+L24+L29+L36+L43+L45+L47+L49</f>
        <v>0</v>
      </c>
      <c r="M82" s="93">
        <f>SUM(M72:M81)+M16+M24+M29+M36+M43+M45+M47+M49+M51+M56+M61+M66</f>
        <v>-109908</v>
      </c>
      <c r="N82" s="92">
        <f>N16+N24+N29+N36+N43+N45+N47+N49</f>
        <v>0</v>
      </c>
      <c r="O82" s="93">
        <f>SUM(O72:O81)+O16+O24+O29+O36+O43+O45+O47+O49+O51+O56+O61+O66</f>
        <v>-574315.76</v>
      </c>
      <c r="P82" s="92">
        <f>P16+P24+P29+P36+P43+P45+P47+P49</f>
        <v>0</v>
      </c>
      <c r="Q82" s="93">
        <f>SUM(Q72:Q81)+Q16+Q24+Q29+Q36+Q43+Q45+Q47+Q49+Q51+Q56+Q61+Q66</f>
        <v>-511019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-14792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-17413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  <c r="E84" s="31">
        <f>+E72+E12-G12</f>
        <v>4111298</v>
      </c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47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N10" activePane="bottomRight" state="frozen"/>
      <selection activeCell="T652" sqref="T652"/>
      <selection pane="topRight" activeCell="T652" sqref="T652"/>
      <selection pane="bottomLeft" activeCell="T652" sqref="T652"/>
      <selection pane="bottomRight" activeCell="T652" sqref="T65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5" customWidth="1"/>
    <col min="12" max="27" width="15.44140625" customWidth="1"/>
    <col min="28" max="31" width="15.44140625" hidden="1" customWidth="1"/>
  </cols>
  <sheetData>
    <row r="1" spans="1:31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5" t="s">
        <v>166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166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6"/>
      <c r="L8" s="26" t="s">
        <v>197</v>
      </c>
      <c r="M8" s="27"/>
      <c r="N8" s="26" t="s">
        <v>198</v>
      </c>
      <c r="O8" s="27"/>
      <c r="P8" s="26" t="s">
        <v>199</v>
      </c>
      <c r="Q8" s="27"/>
      <c r="R8" s="26" t="s">
        <v>200</v>
      </c>
      <c r="S8" s="27"/>
      <c r="T8" s="26" t="s">
        <v>201</v>
      </c>
      <c r="U8" s="27"/>
      <c r="V8" s="26" t="s">
        <v>202</v>
      </c>
      <c r="W8" s="27"/>
      <c r="X8" s="26" t="s">
        <v>203</v>
      </c>
      <c r="Y8" s="27"/>
      <c r="Z8" s="26" t="s">
        <v>204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7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</row>
    <row r="10" spans="1:31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26</v>
      </c>
      <c r="D11" s="60">
        <f>SUM(F11,H11,J11,L11,N11,P11,R11,T11,V11,X11,Z11,AB11,AD11)</f>
        <v>12144231</v>
      </c>
      <c r="E11" s="38">
        <f>SUM(G11,I11,K11,M11,O11,Q11,S11,U11,W11,Y11,AA11,AC11,AE11)</f>
        <v>27553781</v>
      </c>
      <c r="F11" s="60">
        <f>'TIE-OUT'!X11+RECLASS!X11</f>
        <v>0</v>
      </c>
      <c r="G11" s="38">
        <f>'TIE-OUT'!Y11+RECLASS!Y11</f>
        <v>0</v>
      </c>
      <c r="H11" s="60">
        <f>42240+245303+12286349</f>
        <v>12573892</v>
      </c>
      <c r="I11" s="38">
        <f>100099+569725+26881819</f>
        <v>27551643</v>
      </c>
      <c r="J11" s="60">
        <v>-30253</v>
      </c>
      <c r="K11" s="149">
        <v>-3054</v>
      </c>
      <c r="L11" s="60">
        <v>-399408</v>
      </c>
      <c r="M11" s="38">
        <v>5192</v>
      </c>
      <c r="N11" s="60"/>
      <c r="O11" s="38"/>
      <c r="P11" s="60"/>
      <c r="Q11" s="38"/>
      <c r="R11" s="60">
        <v>0</v>
      </c>
      <c r="S11" s="38">
        <v>0</v>
      </c>
      <c r="T11" s="129">
        <f>+Actuals!Q284</f>
        <v>0</v>
      </c>
      <c r="U11" s="130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27</v>
      </c>
      <c r="D12" s="60">
        <f t="shared" ref="D12:E15" si="0">SUM(F12,H12,J12,L12,N12,P12,R12,T12,V12,X12,Z12,AB12,AD12)</f>
        <v>0</v>
      </c>
      <c r="E12" s="38">
        <f t="shared" si="0"/>
        <v>-82803.83</v>
      </c>
      <c r="F12" s="60">
        <f>'TIE-OUT'!X12+RECLASS!X12</f>
        <v>0</v>
      </c>
      <c r="G12" s="38">
        <f>'TIE-OUT'!Y12+RECLASS!Y12</f>
        <v>-82803.83</v>
      </c>
      <c r="H12" s="60"/>
      <c r="I12" s="38"/>
      <c r="J12" s="60"/>
      <c r="K12" s="162"/>
      <c r="L12" s="60"/>
      <c r="M12" s="38"/>
      <c r="N12" s="60"/>
      <c r="O12" s="38"/>
      <c r="P12" s="60"/>
      <c r="Q12" s="38"/>
      <c r="R12" s="60"/>
      <c r="S12" s="38"/>
      <c r="T12" s="129">
        <f>+Actuals!Q285</f>
        <v>0</v>
      </c>
      <c r="U12" s="130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/>
      <c r="AC12" s="38"/>
      <c r="AD12" s="60"/>
      <c r="AE12" s="38"/>
    </row>
    <row r="13" spans="1:31" x14ac:dyDescent="0.25">
      <c r="A13" s="9">
        <v>3</v>
      </c>
      <c r="B13" s="7"/>
      <c r="C13" s="18" t="s">
        <v>28</v>
      </c>
      <c r="D13" s="60">
        <f t="shared" si="0"/>
        <v>3846962</v>
      </c>
      <c r="E13" s="38">
        <f t="shared" si="0"/>
        <v>8853966</v>
      </c>
      <c r="F13" s="60">
        <f>'TIE-OUT'!X13+RECLASS!X13</f>
        <v>0</v>
      </c>
      <c r="G13" s="38">
        <f>'TIE-OUT'!Y13+RECLASS!Y13</f>
        <v>0</v>
      </c>
      <c r="H13" s="60">
        <v>3846962</v>
      </c>
      <c r="I13" s="38">
        <v>8853966</v>
      </c>
      <c r="J13" s="60">
        <v>-2751261</v>
      </c>
      <c r="K13" s="149">
        <v>-6319175</v>
      </c>
      <c r="L13" s="60"/>
      <c r="M13" s="38"/>
      <c r="N13" s="60">
        <v>785663</v>
      </c>
      <c r="O13" s="38">
        <v>1812633</v>
      </c>
      <c r="P13" s="60">
        <v>1057025</v>
      </c>
      <c r="Q13" s="38">
        <v>2431534</v>
      </c>
      <c r="R13" s="60">
        <v>908573</v>
      </c>
      <c r="S13" s="38">
        <v>2075008</v>
      </c>
      <c r="T13" s="129">
        <f>+Actuals!Q286</f>
        <v>-908573</v>
      </c>
      <c r="U13" s="130">
        <f>+Actuals!R286</f>
        <v>-2075008</v>
      </c>
      <c r="V13" s="60">
        <f>+Actuals!S286</f>
        <v>0</v>
      </c>
      <c r="W13" s="38">
        <f>+Actuals!T286</f>
        <v>0</v>
      </c>
      <c r="X13" s="60">
        <f>+Actuals!U286</f>
        <v>908573</v>
      </c>
      <c r="Y13" s="38">
        <f>+Actuals!V286</f>
        <v>2075008</v>
      </c>
      <c r="Z13" s="60">
        <f>+Actuals!W286</f>
        <v>0</v>
      </c>
      <c r="AA13" s="38">
        <f>+Actuals!X286</f>
        <v>0</v>
      </c>
      <c r="AB13" s="60"/>
      <c r="AC13" s="38"/>
      <c r="AD13" s="60"/>
      <c r="AE13" s="38"/>
    </row>
    <row r="14" spans="1:31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129">
        <f>+Actuals!Q287</f>
        <v>0</v>
      </c>
      <c r="U14" s="130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129">
        <f>+Actuals!Q288</f>
        <v>0</v>
      </c>
      <c r="U15" s="130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/>
      <c r="AC15" s="38"/>
      <c r="AD15" s="60"/>
      <c r="AE15" s="38"/>
    </row>
    <row r="16" spans="1:31" x14ac:dyDescent="0.25">
      <c r="A16" s="9"/>
      <c r="B16" s="7" t="s">
        <v>31</v>
      </c>
      <c r="C16" s="6"/>
      <c r="D16" s="61">
        <f>SUM(D11:D15)</f>
        <v>15991193</v>
      </c>
      <c r="E16" s="39">
        <f>SUM(E11:E15)</f>
        <v>36324943.170000002</v>
      </c>
      <c r="F16" s="61">
        <f t="shared" ref="F16:AD16" si="1">SUM(F11:F15)</f>
        <v>0</v>
      </c>
      <c r="G16" s="39">
        <f t="shared" si="1"/>
        <v>-82803.83</v>
      </c>
      <c r="H16" s="61">
        <f t="shared" si="1"/>
        <v>16420854</v>
      </c>
      <c r="I16" s="39">
        <f t="shared" si="1"/>
        <v>36405609</v>
      </c>
      <c r="J16" s="61">
        <f t="shared" si="1"/>
        <v>-2781514</v>
      </c>
      <c r="K16" s="150">
        <f t="shared" si="1"/>
        <v>-6322229</v>
      </c>
      <c r="L16" s="61">
        <f t="shared" si="1"/>
        <v>-399408</v>
      </c>
      <c r="M16" s="39">
        <f t="shared" si="1"/>
        <v>5192</v>
      </c>
      <c r="N16" s="61">
        <f t="shared" si="1"/>
        <v>785663</v>
      </c>
      <c r="O16" s="39">
        <f t="shared" si="1"/>
        <v>1812633</v>
      </c>
      <c r="P16" s="61">
        <f t="shared" si="1"/>
        <v>1057025</v>
      </c>
      <c r="Q16" s="39">
        <f t="shared" si="1"/>
        <v>2431534</v>
      </c>
      <c r="R16" s="61">
        <f t="shared" si="1"/>
        <v>908573</v>
      </c>
      <c r="S16" s="39">
        <f t="shared" si="1"/>
        <v>2075008</v>
      </c>
      <c r="T16" s="61">
        <f t="shared" si="1"/>
        <v>-908573</v>
      </c>
      <c r="U16" s="39">
        <f t="shared" si="1"/>
        <v>-2075008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908573</v>
      </c>
      <c r="Y16" s="39">
        <f t="shared" si="2"/>
        <v>2075008</v>
      </c>
      <c r="Z16" s="61">
        <f t="shared" si="2"/>
        <v>0</v>
      </c>
      <c r="AA16" s="39">
        <f t="shared" si="2"/>
        <v>0</v>
      </c>
      <c r="AB16" s="61">
        <f t="shared" si="1"/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26</v>
      </c>
      <c r="D19" s="60">
        <f t="shared" ref="D19:E23" si="3">SUM(F19,H19,J19,L19,N19,P19,R19,T19,V19,X19,Z19,AB19,AD19)</f>
        <v>-15858602</v>
      </c>
      <c r="E19" s="38">
        <f t="shared" si="3"/>
        <v>-35366285.780000001</v>
      </c>
      <c r="F19" s="64">
        <f>'TIE-OUT'!X19+RECLASS!X19</f>
        <v>0</v>
      </c>
      <c r="G19" s="68">
        <f>'TIE-OUT'!Y19+RECLASS!Y19</f>
        <v>0</v>
      </c>
      <c r="H19" s="60">
        <v>-15312983</v>
      </c>
      <c r="I19" s="38">
        <v>-35399006</v>
      </c>
      <c r="J19" s="60">
        <v>41911</v>
      </c>
      <c r="K19" s="149">
        <v>-114796</v>
      </c>
      <c r="L19" s="60"/>
      <c r="M19" s="38">
        <v>145500</v>
      </c>
      <c r="N19" s="60">
        <v>-587530</v>
      </c>
      <c r="O19" s="38">
        <v>-9277</v>
      </c>
      <c r="P19" s="60"/>
      <c r="Q19" s="38"/>
      <c r="R19" s="60"/>
      <c r="S19" s="38"/>
      <c r="T19" s="129">
        <f>+Actuals!Q289</f>
        <v>0</v>
      </c>
      <c r="U19" s="130">
        <f>+Actuals!R289</f>
        <v>0</v>
      </c>
      <c r="V19" s="60">
        <f>+Actuals!S289</f>
        <v>0</v>
      </c>
      <c r="W19" s="38">
        <f>+Actuals!T289</f>
        <v>0</v>
      </c>
      <c r="X19" s="60">
        <f>+Actuals!U289</f>
        <v>0</v>
      </c>
      <c r="Y19" s="38">
        <f>+Actuals!V289</f>
        <v>0</v>
      </c>
      <c r="Z19" s="60">
        <f>+Actuals!W289</f>
        <v>0</v>
      </c>
      <c r="AA19" s="38">
        <f>+Actuals!X289</f>
        <v>11293.22</v>
      </c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27</v>
      </c>
      <c r="D20" s="60">
        <f t="shared" si="3"/>
        <v>0</v>
      </c>
      <c r="E20" s="38">
        <f t="shared" si="3"/>
        <v>100849.46</v>
      </c>
      <c r="F20" s="60">
        <f>'TIE-OUT'!X20+RECLASS!X20</f>
        <v>0</v>
      </c>
      <c r="G20" s="38">
        <f>'TIE-OUT'!Y20+RECLASS!Y20</f>
        <v>100849.46</v>
      </c>
      <c r="H20" s="60"/>
      <c r="I20" s="38"/>
      <c r="J20" s="60"/>
      <c r="K20" s="162"/>
      <c r="L20" s="60"/>
      <c r="M20" s="38"/>
      <c r="N20" s="60"/>
      <c r="O20" s="38"/>
      <c r="P20" s="60"/>
      <c r="Q20" s="38"/>
      <c r="R20" s="60"/>
      <c r="S20" s="38"/>
      <c r="T20" s="129">
        <f>+Actuals!Q290</f>
        <v>0</v>
      </c>
      <c r="U20" s="130">
        <f>+Actuals!R290</f>
        <v>0</v>
      </c>
      <c r="V20" s="60">
        <f>+Actuals!S290</f>
        <v>0</v>
      </c>
      <c r="W20" s="38">
        <f>+Actuals!T290</f>
        <v>0</v>
      </c>
      <c r="X20" s="60">
        <f>+Actuals!U290</f>
        <v>0</v>
      </c>
      <c r="Y20" s="38">
        <f>+Actuals!V290</f>
        <v>0</v>
      </c>
      <c r="Z20" s="60">
        <f>+Actuals!W290</f>
        <v>0</v>
      </c>
      <c r="AA20" s="38">
        <f>+Actuals!X290</f>
        <v>0</v>
      </c>
      <c r="AB20" s="60"/>
      <c r="AC20" s="38"/>
      <c r="AD20" s="60"/>
      <c r="AE20" s="38"/>
    </row>
    <row r="21" spans="1:31" x14ac:dyDescent="0.25">
      <c r="A21" s="9">
        <v>8</v>
      </c>
      <c r="B21" s="7"/>
      <c r="C21" s="18" t="s">
        <v>28</v>
      </c>
      <c r="D21" s="60">
        <f t="shared" si="3"/>
        <v>0</v>
      </c>
      <c r="E21" s="38">
        <f t="shared" si="3"/>
        <v>0</v>
      </c>
      <c r="F21" s="60">
        <f>'TIE-OUT'!X21+RECLASS!X21</f>
        <v>0</v>
      </c>
      <c r="G21" s="38">
        <f>'TIE-OUT'!Y21+RECLASS!Y21</f>
        <v>0</v>
      </c>
      <c r="H21" s="60">
        <v>0</v>
      </c>
      <c r="I21" s="38">
        <v>0</v>
      </c>
      <c r="J21" s="60"/>
      <c r="K21" s="149"/>
      <c r="L21" s="60"/>
      <c r="M21" s="38"/>
      <c r="N21" s="60">
        <v>-785663</v>
      </c>
      <c r="O21" s="38">
        <v>-1812633</v>
      </c>
      <c r="P21" s="60">
        <v>-1057025</v>
      </c>
      <c r="Q21" s="38">
        <v>-2431534</v>
      </c>
      <c r="R21" s="60">
        <v>1842688</v>
      </c>
      <c r="S21" s="38">
        <v>4244167</v>
      </c>
      <c r="T21" s="129">
        <f>+Actuals!Q291</f>
        <v>-1842688</v>
      </c>
      <c r="U21" s="130">
        <f>+Actuals!R291</f>
        <v>-4244167</v>
      </c>
      <c r="V21" s="60">
        <f>+Actuals!S291</f>
        <v>0</v>
      </c>
      <c r="W21" s="38">
        <f>+Actuals!T291</f>
        <v>0</v>
      </c>
      <c r="X21" s="60">
        <f>+Actuals!U291</f>
        <v>1842688</v>
      </c>
      <c r="Y21" s="38">
        <f>+Actuals!V291</f>
        <v>4244167</v>
      </c>
      <c r="Z21" s="60">
        <f>+Actuals!W291</f>
        <v>0</v>
      </c>
      <c r="AA21" s="38">
        <f>+Actuals!X291</f>
        <v>0</v>
      </c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29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129">
        <f>+Actuals!Q292</f>
        <v>0</v>
      </c>
      <c r="U22" s="130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33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129">
        <f>+Actuals!Q293</f>
        <v>0</v>
      </c>
      <c r="U23" s="130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/>
      <c r="AC23" s="38"/>
      <c r="AD23" s="60"/>
      <c r="AE23" s="38"/>
    </row>
    <row r="24" spans="1:31" x14ac:dyDescent="0.25">
      <c r="A24" s="9"/>
      <c r="B24" s="7" t="s">
        <v>34</v>
      </c>
      <c r="C24" s="6"/>
      <c r="D24" s="61">
        <f>SUM(D19:D23)</f>
        <v>-15858602</v>
      </c>
      <c r="E24" s="39">
        <f>SUM(E19:E23)</f>
        <v>-35265436.32</v>
      </c>
      <c r="F24" s="61">
        <f t="shared" ref="F24:AD24" si="4">SUM(F19:F23)</f>
        <v>0</v>
      </c>
      <c r="G24" s="39">
        <f t="shared" si="4"/>
        <v>100849.46</v>
      </c>
      <c r="H24" s="61">
        <f t="shared" si="4"/>
        <v>-15312983</v>
      </c>
      <c r="I24" s="39">
        <f t="shared" si="4"/>
        <v>-35399006</v>
      </c>
      <c r="J24" s="61">
        <f t="shared" si="4"/>
        <v>41911</v>
      </c>
      <c r="K24" s="150">
        <f t="shared" si="4"/>
        <v>-114796</v>
      </c>
      <c r="L24" s="61">
        <f t="shared" si="4"/>
        <v>0</v>
      </c>
      <c r="M24" s="39">
        <f t="shared" si="4"/>
        <v>145500</v>
      </c>
      <c r="N24" s="61">
        <f t="shared" si="4"/>
        <v>-1373193</v>
      </c>
      <c r="O24" s="39">
        <f t="shared" si="4"/>
        <v>-1821910</v>
      </c>
      <c r="P24" s="61">
        <f t="shared" si="4"/>
        <v>-1057025</v>
      </c>
      <c r="Q24" s="39">
        <f t="shared" si="4"/>
        <v>-2431534</v>
      </c>
      <c r="R24" s="61">
        <f t="shared" si="4"/>
        <v>1842688</v>
      </c>
      <c r="S24" s="39">
        <f t="shared" si="4"/>
        <v>4244167</v>
      </c>
      <c r="T24" s="61">
        <f t="shared" si="4"/>
        <v>-1842688</v>
      </c>
      <c r="U24" s="39">
        <f t="shared" si="4"/>
        <v>-4244167</v>
      </c>
      <c r="V24" s="61">
        <f t="shared" ref="V24:AA24" si="5">SUM(V19:V23)</f>
        <v>0</v>
      </c>
      <c r="W24" s="39">
        <f t="shared" si="5"/>
        <v>0</v>
      </c>
      <c r="X24" s="61">
        <f t="shared" si="5"/>
        <v>1842688</v>
      </c>
      <c r="Y24" s="39">
        <f t="shared" si="5"/>
        <v>4244167</v>
      </c>
      <c r="Z24" s="61">
        <f t="shared" si="5"/>
        <v>0</v>
      </c>
      <c r="AA24" s="39">
        <f t="shared" si="5"/>
        <v>11293.22</v>
      </c>
      <c r="AB24" s="61">
        <f t="shared" si="4"/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36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'TIE-OUT'!X27+RECLASS!X27</f>
        <v>0</v>
      </c>
      <c r="G27" s="68">
        <f>'TIE-OUT'!Y27+RECLASS!Y27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129">
        <f>+Actuals!Q294</f>
        <v>0</v>
      </c>
      <c r="U27" s="130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37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'TIE-OUT'!X28+RECLASS!X28</f>
        <v>0</v>
      </c>
      <c r="G28" s="82">
        <f>'TIE-OUT'!Y28+RECLASS!Y28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129">
        <f>+Actuals!Q295</f>
        <v>0</v>
      </c>
      <c r="U28" s="130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/>
      <c r="AC28" s="38"/>
      <c r="AD28" s="60"/>
      <c r="AE28" s="38"/>
    </row>
    <row r="29" spans="1:31" x14ac:dyDescent="0.25">
      <c r="A29" s="9"/>
      <c r="B29" s="7" t="s">
        <v>38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 t="shared" si="6"/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40</v>
      </c>
      <c r="D32" s="60">
        <f t="shared" ref="D32:E35" si="8">SUM(F32,H32,J32,L32,N32,P32,R32,T32,V32,X32,Z32,AB32,AD32)</f>
        <v>-473130</v>
      </c>
      <c r="E32" s="38">
        <f t="shared" si="8"/>
        <v>0</v>
      </c>
      <c r="F32" s="64">
        <f>'TIE-OUT'!X32+RECLASS!X32</f>
        <v>0</v>
      </c>
      <c r="G32" s="68">
        <f>'TIE-OUT'!Y32+RECLASS!Y32</f>
        <v>0</v>
      </c>
      <c r="H32" s="60">
        <v>-1107871</v>
      </c>
      <c r="I32" s="38">
        <v>-2891543</v>
      </c>
      <c r="J32" s="60">
        <v>1107871</v>
      </c>
      <c r="K32" s="149">
        <v>2891543</v>
      </c>
      <c r="L32" s="60">
        <v>0</v>
      </c>
      <c r="M32" s="38">
        <v>-933471</v>
      </c>
      <c r="N32" s="60">
        <v>-473130</v>
      </c>
      <c r="O32" s="38">
        <v>933471</v>
      </c>
      <c r="P32" s="60"/>
      <c r="Q32" s="38"/>
      <c r="R32" s="60"/>
      <c r="S32" s="38"/>
      <c r="T32" s="129">
        <f>+Actuals!Q296</f>
        <v>0</v>
      </c>
      <c r="U32" s="130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0</v>
      </c>
      <c r="AA32" s="38">
        <f>+Actuals!X296</f>
        <v>0</v>
      </c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41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129">
        <f>+Actuals!Q297</f>
        <v>0</v>
      </c>
      <c r="U33" s="130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42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129">
        <f>+Actuals!Q298</f>
        <v>0</v>
      </c>
      <c r="U34" s="130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43</v>
      </c>
      <c r="D35" s="60">
        <f t="shared" si="8"/>
        <v>0</v>
      </c>
      <c r="E35" s="38">
        <f t="shared" si="8"/>
        <v>-933471</v>
      </c>
      <c r="F35" s="81">
        <f>'TIE-OUT'!X35+RECLASS!X35</f>
        <v>0</v>
      </c>
      <c r="G35" s="82">
        <f>'TIE-OUT'!Y35+RECLASS!Y35</f>
        <v>0</v>
      </c>
      <c r="H35" s="60"/>
      <c r="I35" s="38"/>
      <c r="J35" s="60"/>
      <c r="K35" s="149"/>
      <c r="L35" s="60"/>
      <c r="M35" s="38"/>
      <c r="N35" s="60"/>
      <c r="O35" s="38">
        <v>-933471</v>
      </c>
      <c r="P35" s="60"/>
      <c r="Q35" s="38"/>
      <c r="R35" s="60"/>
      <c r="S35" s="38"/>
      <c r="T35" s="129">
        <f>+Actuals!Q299</f>
        <v>0</v>
      </c>
      <c r="U35" s="130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/>
      <c r="AC35" s="38"/>
      <c r="AD35" s="60"/>
      <c r="AE35" s="38"/>
    </row>
    <row r="36" spans="1:31" x14ac:dyDescent="0.25">
      <c r="A36" s="9"/>
      <c r="B36" s="7" t="s">
        <v>44</v>
      </c>
      <c r="C36" s="6"/>
      <c r="D36" s="61">
        <f>SUM(D32:D35)</f>
        <v>-473130</v>
      </c>
      <c r="E36" s="39">
        <f>SUM(E32:E35)</f>
        <v>-933471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-1107871</v>
      </c>
      <c r="I36" s="39">
        <f t="shared" si="9"/>
        <v>-2891543</v>
      </c>
      <c r="J36" s="61">
        <f t="shared" si="9"/>
        <v>1107871</v>
      </c>
      <c r="K36" s="150">
        <f t="shared" si="9"/>
        <v>2891543</v>
      </c>
      <c r="L36" s="61">
        <f t="shared" si="9"/>
        <v>0</v>
      </c>
      <c r="M36" s="39">
        <f t="shared" si="9"/>
        <v>-933471</v>
      </c>
      <c r="N36" s="61">
        <f t="shared" si="9"/>
        <v>-473130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ref="V36:AA36" si="10">SUM(V32:V35)</f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9"/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46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'TIE-OUT'!X39+RECLASS!X39</f>
        <v>0</v>
      </c>
      <c r="G39" s="68">
        <f>'TIE-OUT'!Y39+RECLASS!Y39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129">
        <f>+Actuals!Q300</f>
        <v>0</v>
      </c>
      <c r="U39" s="130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47</v>
      </c>
      <c r="D40" s="60">
        <f t="shared" si="11"/>
        <v>0</v>
      </c>
      <c r="E40" s="38">
        <f t="shared" si="11"/>
        <v>0</v>
      </c>
      <c r="F40" s="60">
        <f>'TIE-OUT'!X40+RECLASS!X40</f>
        <v>0</v>
      </c>
      <c r="G40" s="38">
        <f>'TIE-OUT'!Y40+RECLASS!Y40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129">
        <f>+Actuals!Q301</f>
        <v>0</v>
      </c>
      <c r="U40" s="130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48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129">
        <f>+Actuals!Q302</f>
        <v>0</v>
      </c>
      <c r="U41" s="130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/>
      <c r="AC41" s="38"/>
      <c r="AD41" s="60"/>
      <c r="AE41" s="38"/>
    </row>
    <row r="42" spans="1:31" x14ac:dyDescent="0.25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ref="V42:AA42" si="13">SUM(V40:V41)</f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2"/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5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ref="V43:AA43" si="15">V42+V39</f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4"/>
        <v>0</v>
      </c>
      <c r="AC43" s="39">
        <f>AC42+AC39</f>
        <v>0</v>
      </c>
      <c r="AD43" s="61">
        <f t="shared" si="14"/>
        <v>0</v>
      </c>
      <c r="AE43" s="39">
        <f>AE42+AE39</f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51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'TIE-OUT'!X45+RECLASS!X45</f>
        <v>0</v>
      </c>
      <c r="G45" s="68">
        <f>'TIE-OUT'!Y45+RECLASS!Y45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129">
        <f>+Actuals!Q303</f>
        <v>0</v>
      </c>
      <c r="U45" s="130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52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'TIE-OUT'!X47+RECLASS!X47</f>
        <v>0</v>
      </c>
      <c r="G47" s="38">
        <f>'TIE-OUT'!Y47+RECLASS!Y47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129">
        <f>+Actuals!Q304</f>
        <v>0</v>
      </c>
      <c r="U47" s="130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53</v>
      </c>
      <c r="C49" s="6"/>
      <c r="D49" s="60">
        <f>SUM(F49,H49,J49,L49,N49,P49,R49,T49,V49,X49,Z49,AB49,AD49)</f>
        <v>340539</v>
      </c>
      <c r="E49" s="38">
        <f>SUM(G49,I49,K49,M49,O49,Q49,S49,U49,W49,Y49,AA49,AC49,AE49)</f>
        <v>888808</v>
      </c>
      <c r="F49" s="60">
        <f>'TIE-OUT'!X49+RECLASS!X49</f>
        <v>0</v>
      </c>
      <c r="G49" s="38">
        <f>'TIE-OUT'!Y49+RECLASS!Y49</f>
        <v>0</v>
      </c>
      <c r="H49" s="60"/>
      <c r="I49" s="38">
        <v>0</v>
      </c>
      <c r="J49" s="60">
        <v>1631732</v>
      </c>
      <c r="K49" s="149">
        <v>4258821</v>
      </c>
      <c r="L49" s="60">
        <v>399408</v>
      </c>
      <c r="M49" s="38">
        <v>1042455</v>
      </c>
      <c r="N49" s="60">
        <v>1060660</v>
      </c>
      <c r="O49" s="38">
        <v>2768323</v>
      </c>
      <c r="P49" s="60">
        <v>0</v>
      </c>
      <c r="Q49" s="38">
        <v>0</v>
      </c>
      <c r="R49" s="60">
        <v>-2751261</v>
      </c>
      <c r="S49" s="38">
        <v>-7180791</v>
      </c>
      <c r="T49" s="129">
        <f>+Actuals!Q305</f>
        <v>2751261</v>
      </c>
      <c r="U49" s="130">
        <f>+Actuals!R305</f>
        <v>7180791.21</v>
      </c>
      <c r="V49" s="60">
        <f>+Actuals!S305</f>
        <v>0</v>
      </c>
      <c r="W49" s="38">
        <f>+Actuals!T305</f>
        <v>0</v>
      </c>
      <c r="X49" s="60">
        <f>+Actuals!U305</f>
        <v>-2751261</v>
      </c>
      <c r="Y49" s="38">
        <f>+Actuals!V305</f>
        <v>-7180791.21</v>
      </c>
      <c r="Z49" s="60">
        <f>+Actuals!W305</f>
        <v>0</v>
      </c>
      <c r="AA49" s="38">
        <f>+Actuals!X305</f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54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'TIE-OUT'!X51+RECLASS!X51</f>
        <v>0</v>
      </c>
      <c r="G51" s="38">
        <f>'TIE-OUT'!Y51+RECLASS!Y51</f>
        <v>0</v>
      </c>
      <c r="H51" s="60"/>
      <c r="I51" s="38"/>
      <c r="J51" s="60">
        <v>0</v>
      </c>
      <c r="K51" s="149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129">
        <f>+Actuals!Q306</f>
        <v>0</v>
      </c>
      <c r="U51" s="130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56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'TIE-OUT'!X54+RECLASS!X54</f>
        <v>0</v>
      </c>
      <c r="G54" s="68">
        <f>'TIE-OUT'!Y54+RECLASS!Y54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/>
      <c r="R54" s="60"/>
      <c r="S54" s="38"/>
      <c r="T54" s="129">
        <f>+Actuals!Q307</f>
        <v>0</v>
      </c>
      <c r="U54" s="130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57</v>
      </c>
      <c r="D55" s="60">
        <f>SUM(F55,H55,J55,L55,N55,P55,R55,T55,V55,X55,Z55,AB55,AD55)</f>
        <v>0</v>
      </c>
      <c r="E55" s="38">
        <f>SUM(G55,I55,K55,M55,O55,Q55,S55,U55,W55,Y55,AA55,AC55,AE55)</f>
        <v>-26233</v>
      </c>
      <c r="F55" s="81">
        <f>'TIE-OUT'!X55+RECLASS!X55</f>
        <v>0</v>
      </c>
      <c r="G55" s="82">
        <f>'TIE-OUT'!Y55+RECLASS!Y55</f>
        <v>-26233</v>
      </c>
      <c r="H55" s="60"/>
      <c r="I55" s="38">
        <v>0</v>
      </c>
      <c r="J55" s="60"/>
      <c r="K55" s="149"/>
      <c r="L55" s="60"/>
      <c r="M55" s="38"/>
      <c r="N55" s="60"/>
      <c r="O55" s="38"/>
      <c r="P55" s="60"/>
      <c r="Q55" s="38"/>
      <c r="R55" s="60"/>
      <c r="S55" s="38"/>
      <c r="T55" s="129">
        <f>+Actuals!Q308</f>
        <v>0</v>
      </c>
      <c r="U55" s="130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/>
      <c r="AC55" s="38"/>
      <c r="AD55" s="60"/>
      <c r="AE55" s="38"/>
    </row>
    <row r="56" spans="1:31" x14ac:dyDescent="0.25">
      <c r="A56" s="9"/>
      <c r="B56" s="7" t="s">
        <v>58</v>
      </c>
      <c r="C56" s="6"/>
      <c r="D56" s="61">
        <f>SUM(D54:D55)</f>
        <v>0</v>
      </c>
      <c r="E56" s="39">
        <f>SUM(E54:E55)</f>
        <v>-26233</v>
      </c>
      <c r="F56" s="61">
        <f t="shared" ref="F56:AD56" si="16">SUM(F54:F55)</f>
        <v>0</v>
      </c>
      <c r="G56" s="39">
        <f t="shared" si="16"/>
        <v>-26233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 t="shared" si="16"/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60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'TIE-OUT'!X59+RECLASS!X59</f>
        <v>0</v>
      </c>
      <c r="G59" s="68">
        <f>'TIE-OUT'!Y59+RECLASS!Y59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129">
        <f>+Actuals!Q309</f>
        <v>0</v>
      </c>
      <c r="U59" s="130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/>
      <c r="AC59" s="38"/>
      <c r="AD59" s="60"/>
      <c r="AE59" s="38"/>
    </row>
    <row r="60" spans="1:31" x14ac:dyDescent="0.25">
      <c r="A60" s="9">
        <v>27</v>
      </c>
      <c r="B60" s="11"/>
      <c r="C60" s="18" t="s">
        <v>61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'TIE-OUT'!X60+RECLASS!X60</f>
        <v>0</v>
      </c>
      <c r="G60" s="82">
        <f>'TIE-OUT'!Y60+RECLASS!Y60</f>
        <v>0</v>
      </c>
      <c r="H60" s="60"/>
      <c r="I60" s="38"/>
      <c r="J60" s="60"/>
      <c r="K60" s="149"/>
      <c r="L60" s="60"/>
      <c r="M60" s="38"/>
      <c r="N60" s="60"/>
      <c r="O60" s="38"/>
      <c r="P60" s="60"/>
      <c r="Q60" s="38"/>
      <c r="R60" s="60"/>
      <c r="S60" s="38"/>
      <c r="T60" s="129">
        <f>+Actuals!Q310</f>
        <v>0</v>
      </c>
      <c r="U60" s="130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/>
      <c r="AC60" s="38"/>
      <c r="AD60" s="60"/>
      <c r="AE60" s="38"/>
    </row>
    <row r="61" spans="1:31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 t="shared" si="18"/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63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'TIE-OUT'!X64+RECLASS!X64</f>
        <v>0</v>
      </c>
      <c r="G64" s="68">
        <f>'TIE-OUT'!Y64+RECLASS!Y64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129">
        <f>+Actuals!Q311</f>
        <v>0</v>
      </c>
      <c r="U64" s="130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64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'TIE-OUT'!X65+RECLASS!X65</f>
        <v>0</v>
      </c>
      <c r="G65" s="82">
        <f>'TIE-OUT'!Y65+RECLASS!Y65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129">
        <f>+Actuals!Q312</f>
        <v>0</v>
      </c>
      <c r="U65" s="130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/>
      <c r="AC65" s="38"/>
      <c r="AD65" s="60"/>
      <c r="AE65" s="38"/>
    </row>
    <row r="66" spans="1:31" x14ac:dyDescent="0.25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 t="shared" si="20"/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68</v>
      </c>
      <c r="D70" s="60">
        <f>SUM(F70,H70,J70,L70,N70,P70,R70,T70,V70,X70,Z70,AB70,AD70)</f>
        <v>0</v>
      </c>
      <c r="E70" s="38">
        <f>SUM(G70,I70,K70,M70,O70,Q70,S70,U70,W70,Y70,AA70,AC70,AE70)</f>
        <v>-1156439.71</v>
      </c>
      <c r="F70" s="64">
        <f>'TIE-OUT'!X70+RECLASS!X70</f>
        <v>0</v>
      </c>
      <c r="G70" s="68">
        <f>'TIE-OUT'!Y70+RECLASS!Y70</f>
        <v>-1156439.71</v>
      </c>
      <c r="H70" s="60"/>
      <c r="I70" s="38"/>
      <c r="J70" s="60"/>
      <c r="K70" s="149"/>
      <c r="L70" s="60"/>
      <c r="M70" s="38"/>
      <c r="N70" s="60"/>
      <c r="O70" s="38"/>
      <c r="P70" s="60"/>
      <c r="Q70" s="38"/>
      <c r="R70" s="60"/>
      <c r="S70" s="38"/>
      <c r="T70" s="129">
        <f>+Actuals!Q313</f>
        <v>0</v>
      </c>
      <c r="U70" s="130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/>
      <c r="AC70" s="38"/>
      <c r="AD70" s="60"/>
      <c r="AE70" s="38"/>
    </row>
    <row r="71" spans="1:31" x14ac:dyDescent="0.25">
      <c r="A71" s="9">
        <v>31</v>
      </c>
      <c r="B71" s="3"/>
      <c r="C71" s="10" t="s">
        <v>69</v>
      </c>
      <c r="D71" s="60">
        <f>SUM(F71,H71,J71,L71,N71,P71,R71,T71,V71,X71,Z71,AB71,AD71)</f>
        <v>0</v>
      </c>
      <c r="E71" s="38">
        <f>SUM(G71,I71,K71,M71,O71,Q71,S71,U71,W71,Y71,AA71,AC71,AE71)</f>
        <v>832910</v>
      </c>
      <c r="F71" s="81">
        <f>'TIE-OUT'!X71+RECLASS!X71</f>
        <v>0</v>
      </c>
      <c r="G71" s="82">
        <f>'TIE-OUT'!Y71+RECLASS!Y71</f>
        <v>832910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129">
        <f>+Actuals!Q314</f>
        <v>0</v>
      </c>
      <c r="U71" s="130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/>
      <c r="AC71" s="38"/>
      <c r="AD71" s="60"/>
      <c r="AE71" s="38"/>
    </row>
    <row r="72" spans="1:31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-323529.70999999996</v>
      </c>
      <c r="F72" s="61">
        <f t="shared" ref="F72:AD72" si="22">SUM(F70:F71)</f>
        <v>0</v>
      </c>
      <c r="G72" s="39">
        <f t="shared" si="22"/>
        <v>-323529.70999999996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ref="V72:AA72" si="23">SUM(V70:V71)</f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2"/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</row>
    <row r="73" spans="1:31" x14ac:dyDescent="0.25">
      <c r="A73" s="9">
        <v>32</v>
      </c>
      <c r="B73" s="3"/>
      <c r="C73" s="10" t="s">
        <v>71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'TIE-OUT'!X73+RECLASS!X73</f>
        <v>0</v>
      </c>
      <c r="G73" s="60">
        <f>'TIE-OUT'!Y73+RECLASS!Y73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129">
        <f>+Actuals!Q315</f>
        <v>0</v>
      </c>
      <c r="U73" s="130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72</v>
      </c>
      <c r="D74" s="60">
        <f t="shared" si="24"/>
        <v>0</v>
      </c>
      <c r="E74" s="38">
        <f t="shared" si="24"/>
        <v>299425</v>
      </c>
      <c r="F74" s="60">
        <f>'TIE-OUT'!X74+RECLASS!X74</f>
        <v>0</v>
      </c>
      <c r="G74" s="60">
        <f>'TIE-OUT'!Y74+RECLASS!Y74</f>
        <v>299425</v>
      </c>
      <c r="H74" s="60"/>
      <c r="I74" s="38">
        <v>0</v>
      </c>
      <c r="J74" s="60"/>
      <c r="K74" s="149">
        <v>0</v>
      </c>
      <c r="L74" s="60"/>
      <c r="M74" s="38"/>
      <c r="N74" s="60"/>
      <c r="O74" s="38"/>
      <c r="P74" s="60"/>
      <c r="Q74" s="38"/>
      <c r="R74" s="60"/>
      <c r="S74" s="38"/>
      <c r="T74" s="129">
        <f>+Actuals!Q316</f>
        <v>0</v>
      </c>
      <c r="U74" s="130">
        <f>+Actuals!R316</f>
        <v>0</v>
      </c>
      <c r="V74" s="60">
        <f>+Actuals!S316</f>
        <v>0</v>
      </c>
      <c r="W74" s="38">
        <f>+Actuals!T316</f>
        <v>0</v>
      </c>
      <c r="X74" s="60">
        <f>+Actuals!U316</f>
        <v>0</v>
      </c>
      <c r="Y74" s="38">
        <f>+Actuals!V316</f>
        <v>0</v>
      </c>
      <c r="Z74" s="60">
        <f>+Actuals!W316</f>
        <v>0</v>
      </c>
      <c r="AA74" s="38">
        <f>+Actuals!X316</f>
        <v>0</v>
      </c>
      <c r="AB74" s="60"/>
      <c r="AC74" s="38"/>
      <c r="AD74" s="60"/>
      <c r="AE74" s="38"/>
    </row>
    <row r="75" spans="1:31" x14ac:dyDescent="0.25">
      <c r="A75" s="9">
        <v>34</v>
      </c>
      <c r="B75" s="3"/>
      <c r="C75" s="10" t="s">
        <v>73</v>
      </c>
      <c r="D75" s="60">
        <f t="shared" si="24"/>
        <v>0</v>
      </c>
      <c r="E75" s="38">
        <f t="shared" si="24"/>
        <v>0</v>
      </c>
      <c r="F75" s="60">
        <f>'TIE-OUT'!X75+RECLASS!X75</f>
        <v>0</v>
      </c>
      <c r="G75" s="60">
        <f>'TIE-OUT'!Y75+RECLASS!Y75</f>
        <v>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129">
        <f>+Actuals!Q317</f>
        <v>0</v>
      </c>
      <c r="U75" s="130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/>
      <c r="AC75" s="38"/>
      <c r="AD75" s="60"/>
      <c r="AE75" s="38"/>
    </row>
    <row r="76" spans="1:31" x14ac:dyDescent="0.25">
      <c r="A76" s="9">
        <v>35</v>
      </c>
      <c r="B76" s="3"/>
      <c r="C76" s="10" t="s">
        <v>74</v>
      </c>
      <c r="D76" s="60">
        <f t="shared" si="24"/>
        <v>0</v>
      </c>
      <c r="E76" s="38">
        <f t="shared" si="24"/>
        <v>-440</v>
      </c>
      <c r="F76" s="60">
        <f>'TIE-OUT'!X76+RECLASS!X76</f>
        <v>0</v>
      </c>
      <c r="G76" s="60">
        <f>'TIE-OUT'!Y76+RECLASS!Y76</f>
        <v>0</v>
      </c>
      <c r="H76" s="60"/>
      <c r="I76" s="38"/>
      <c r="J76" s="60"/>
      <c r="K76" s="149"/>
      <c r="L76" s="60"/>
      <c r="M76" s="38">
        <v>-440</v>
      </c>
      <c r="N76" s="60"/>
      <c r="O76" s="38"/>
      <c r="P76" s="60"/>
      <c r="Q76" s="38"/>
      <c r="R76" s="60"/>
      <c r="S76" s="38"/>
      <c r="T76" s="129">
        <f>+Actuals!Q318</f>
        <v>0</v>
      </c>
      <c r="U76" s="130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75</v>
      </c>
      <c r="D77" s="60">
        <f t="shared" si="24"/>
        <v>0</v>
      </c>
      <c r="E77" s="38">
        <f t="shared" si="24"/>
        <v>0</v>
      </c>
      <c r="F77" s="60">
        <f>'TIE-OUT'!X77+RECLASS!X77</f>
        <v>0</v>
      </c>
      <c r="G77" s="60">
        <f>'TIE-OUT'!Y77+RECLASS!Y77</f>
        <v>0</v>
      </c>
      <c r="H77" s="60"/>
      <c r="I77" s="38"/>
      <c r="J77" s="60"/>
      <c r="K77" s="149"/>
      <c r="L77" s="60"/>
      <c r="M77" s="38"/>
      <c r="N77" s="60"/>
      <c r="O77" s="38"/>
      <c r="P77" s="60"/>
      <c r="Q77" s="38"/>
      <c r="R77" s="60"/>
      <c r="S77" s="38"/>
      <c r="T77" s="129">
        <f>+Actuals!Q319</f>
        <v>0</v>
      </c>
      <c r="U77" s="130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/>
      <c r="AC77" s="38"/>
      <c r="AD77" s="60"/>
      <c r="AE77" s="38"/>
    </row>
    <row r="78" spans="1:31" x14ac:dyDescent="0.25">
      <c r="A78" s="9">
        <v>37</v>
      </c>
      <c r="B78" s="3"/>
      <c r="C78" s="10" t="s">
        <v>76</v>
      </c>
      <c r="D78" s="60">
        <f t="shared" si="24"/>
        <v>0</v>
      </c>
      <c r="E78" s="38">
        <f t="shared" si="24"/>
        <v>0</v>
      </c>
      <c r="F78" s="60">
        <f>'TIE-OUT'!X78+RECLASS!X78</f>
        <v>0</v>
      </c>
      <c r="G78" s="60">
        <f>'TIE-OUT'!Y78+RECLASS!Y78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129">
        <f>+Actuals!Q320</f>
        <v>0</v>
      </c>
      <c r="U78" s="130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77</v>
      </c>
      <c r="D79" s="60">
        <f t="shared" si="24"/>
        <v>0</v>
      </c>
      <c r="E79" s="38">
        <f t="shared" si="24"/>
        <v>0</v>
      </c>
      <c r="F79" s="60">
        <f>'TIE-OUT'!X79+RECLASS!X79</f>
        <v>0</v>
      </c>
      <c r="G79" s="60">
        <f>'TIE-OUT'!Y79+RECLASS!Y79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129">
        <f>+Actuals!Q321</f>
        <v>0</v>
      </c>
      <c r="U79" s="130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78</v>
      </c>
      <c r="D80" s="60">
        <f t="shared" si="24"/>
        <v>0</v>
      </c>
      <c r="E80" s="38">
        <f t="shared" si="24"/>
        <v>0</v>
      </c>
      <c r="F80" s="60">
        <f>'TIE-OUT'!X80+RECLASS!X80</f>
        <v>0</v>
      </c>
      <c r="G80" s="60">
        <f>'TIE-OUT'!Y80+RECLASS!Y80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129">
        <f>+Actuals!Q322</f>
        <v>0</v>
      </c>
      <c r="U80" s="130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/>
      <c r="AC80" s="38"/>
      <c r="AD80" s="60"/>
      <c r="AE80" s="38"/>
    </row>
    <row r="81" spans="1:67" x14ac:dyDescent="0.25">
      <c r="A81" s="9">
        <v>40</v>
      </c>
      <c r="B81" s="3"/>
      <c r="C81" s="10" t="s">
        <v>79</v>
      </c>
      <c r="D81" s="60">
        <f t="shared" si="24"/>
        <v>0</v>
      </c>
      <c r="E81" s="38">
        <f t="shared" si="24"/>
        <v>0</v>
      </c>
      <c r="F81" s="60">
        <f>'TIE-OUT'!X81+RECLASS!X81</f>
        <v>0</v>
      </c>
      <c r="G81" s="60">
        <f>'TIE-OUT'!Y81+RECLASS!Y81</f>
        <v>0</v>
      </c>
      <c r="H81" s="60"/>
      <c r="I81" s="38">
        <v>0</v>
      </c>
      <c r="J81" s="60"/>
      <c r="K81" s="149">
        <v>0</v>
      </c>
      <c r="L81" s="60"/>
      <c r="M81" s="38"/>
      <c r="N81" s="60"/>
      <c r="O81" s="38"/>
      <c r="P81" s="60"/>
      <c r="Q81" s="38"/>
      <c r="R81" s="60"/>
      <c r="S81" s="38"/>
      <c r="T81" s="129">
        <f>+Actuals!Q323</f>
        <v>0</v>
      </c>
      <c r="U81" s="130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/>
      <c r="AC81" s="38"/>
      <c r="AD81" s="60"/>
      <c r="AE81" s="38"/>
    </row>
    <row r="82" spans="1:6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964066.1400000006</v>
      </c>
      <c r="F82" s="92">
        <f>F16+F24+F29+F36+F43+F45+F47+F49</f>
        <v>0</v>
      </c>
      <c r="G82" s="93">
        <f>SUM(G72:G81)+G16+G24+G29+G36+G43+G45+G47+G49+G51+G56+G61+G66</f>
        <v>-32292.079999999958</v>
      </c>
      <c r="H82" s="92">
        <f>H16+H24+H29+H36+H43+H45+H47+H49</f>
        <v>0</v>
      </c>
      <c r="I82" s="93">
        <f>SUM(I72:I81)+I16+I24+I29+I36+I43+I45+I47+I49+I51+I56+I61+I66</f>
        <v>-1884940</v>
      </c>
      <c r="J82" s="92">
        <f>J16+J24+J29+J36+J43+J45+J47+J49</f>
        <v>0</v>
      </c>
      <c r="K82" s="166">
        <f>SUM(K72:K81)+K16+K24+K29+K36+K43+K45+K47+K49+K51+K56+K61+K66</f>
        <v>713339</v>
      </c>
      <c r="L82" s="92">
        <f>L16+L24+L29+L36+L43+L45+L47+L49</f>
        <v>0</v>
      </c>
      <c r="M82" s="93">
        <f>SUM(M72:M81)+M16+M24+M29+M36+M43+M45+M47+M49+M51+M56+M61+M66</f>
        <v>259236</v>
      </c>
      <c r="N82" s="92">
        <f>N16+N24+N29+N36+N43+N45+N47+N49</f>
        <v>0</v>
      </c>
      <c r="O82" s="93">
        <f>SUM(O72:O81)+O16+O24+O29+O36+O43+O45+O47+O49+O51+O56+O61+O66</f>
        <v>2759046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-861616</v>
      </c>
      <c r="T82" s="92">
        <f>T16+T24+T29+T36+T43+T45+T47+T49</f>
        <v>0</v>
      </c>
      <c r="U82" s="93">
        <f>SUM(U72:U81)+U16+U24+U29+U36+U43+U45+U47+U49+U51+U56+U61+U66</f>
        <v>861616.21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-861616.21</v>
      </c>
      <c r="Z82" s="92">
        <f>Z16+Z24+Z29+Z36+Z43+Z45+Z47+Z49</f>
        <v>0</v>
      </c>
      <c r="AA82" s="93">
        <f>SUM(AA72:AA81)+AA16+AA24+AA29+AA36+AA43+AA45+AA47+AA49+AA51+AA56+AA61+AA66</f>
        <v>11293.22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170</v>
      </c>
      <c r="B85" s="3"/>
      <c r="F85" s="31"/>
      <c r="G85" s="31"/>
      <c r="H85" s="31"/>
      <c r="I85" s="31"/>
      <c r="K85"/>
      <c r="L85" s="45"/>
    </row>
    <row r="86" spans="1:67" s="3" customFormat="1" x14ac:dyDescent="0.25">
      <c r="A86" s="173"/>
      <c r="C86" s="10" t="s">
        <v>173</v>
      </c>
      <c r="D86" s="174">
        <f t="shared" ref="D86:E88" si="25">SUM(F86,H86,J86,L86,N86,P86,R86,T86,V86,X86,Z86,AB86,AD86)</f>
        <v>0</v>
      </c>
      <c r="E86" s="174">
        <f t="shared" si="25"/>
        <v>119317</v>
      </c>
      <c r="F86" s="174">
        <f>'TIE-OUT'!X86+RECLASS!X86</f>
        <v>0</v>
      </c>
      <c r="G86" s="174">
        <f>'TIE-OUT'!Y86+RECLASS!Y86</f>
        <v>263482</v>
      </c>
      <c r="H86" s="174">
        <v>0</v>
      </c>
      <c r="I86" s="174">
        <v>0</v>
      </c>
      <c r="J86" s="174">
        <v>0</v>
      </c>
      <c r="K86" s="174">
        <v>0</v>
      </c>
      <c r="L86" s="174">
        <v>0</v>
      </c>
      <c r="M86" s="174">
        <v>-144165</v>
      </c>
      <c r="N86" s="174">
        <v>0</v>
      </c>
      <c r="O86" s="174">
        <v>0</v>
      </c>
      <c r="P86" s="174">
        <v>0</v>
      </c>
      <c r="Q86" s="174">
        <v>0</v>
      </c>
      <c r="R86" s="174">
        <v>0</v>
      </c>
      <c r="S86" s="174">
        <v>0</v>
      </c>
      <c r="T86" s="174">
        <v>0</v>
      </c>
      <c r="U86" s="174">
        <v>0</v>
      </c>
      <c r="V86" s="174">
        <v>0</v>
      </c>
      <c r="W86" s="174">
        <v>0</v>
      </c>
      <c r="X86" s="174">
        <v>0</v>
      </c>
      <c r="Y86" s="174">
        <v>0</v>
      </c>
      <c r="Z86" s="174">
        <v>0</v>
      </c>
      <c r="AA86" s="174">
        <v>0</v>
      </c>
      <c r="AB86" s="174">
        <v>0</v>
      </c>
      <c r="AC86" s="174">
        <v>0</v>
      </c>
      <c r="AD86" s="174">
        <v>0</v>
      </c>
      <c r="AE86" s="174">
        <v>0</v>
      </c>
    </row>
    <row r="87" spans="1:67" s="3" customFormat="1" x14ac:dyDescent="0.25">
      <c r="A87" s="173"/>
      <c r="C87" s="10" t="s">
        <v>72</v>
      </c>
      <c r="D87" s="175">
        <f t="shared" si="25"/>
        <v>0</v>
      </c>
      <c r="E87" s="175">
        <f t="shared" si="25"/>
        <v>0</v>
      </c>
      <c r="F87" s="175">
        <f>'TIE-OUT'!X87+RECLASS!X87</f>
        <v>0</v>
      </c>
      <c r="G87" s="175">
        <f>'TIE-OUT'!Y87+RECLASS!Y87</f>
        <v>0</v>
      </c>
      <c r="H87" s="175">
        <v>0</v>
      </c>
      <c r="I87" s="175">
        <v>0</v>
      </c>
      <c r="J87" s="175">
        <v>0</v>
      </c>
      <c r="K87" s="175">
        <v>0</v>
      </c>
      <c r="L87" s="175">
        <v>0</v>
      </c>
      <c r="M87" s="175">
        <v>0</v>
      </c>
      <c r="N87" s="175">
        <v>0</v>
      </c>
      <c r="O87" s="175">
        <v>0</v>
      </c>
      <c r="P87" s="175">
        <v>0</v>
      </c>
      <c r="Q87" s="175">
        <v>0</v>
      </c>
      <c r="R87" s="175">
        <v>0</v>
      </c>
      <c r="S87" s="175">
        <v>0</v>
      </c>
      <c r="T87" s="175">
        <v>0</v>
      </c>
      <c r="U87" s="175">
        <v>0</v>
      </c>
      <c r="V87" s="175">
        <v>0</v>
      </c>
      <c r="W87" s="175">
        <v>0</v>
      </c>
      <c r="X87" s="175">
        <v>0</v>
      </c>
      <c r="Y87" s="175">
        <v>0</v>
      </c>
      <c r="Z87" s="175">
        <v>0</v>
      </c>
      <c r="AA87" s="175">
        <v>0</v>
      </c>
      <c r="AB87" s="175">
        <v>0</v>
      </c>
      <c r="AC87" s="175">
        <v>0</v>
      </c>
      <c r="AD87" s="175">
        <v>0</v>
      </c>
      <c r="AE87" s="175">
        <v>0</v>
      </c>
    </row>
    <row r="88" spans="1:67" s="3" customFormat="1" x14ac:dyDescent="0.25">
      <c r="A88" s="173"/>
      <c r="C88" s="10" t="s">
        <v>73</v>
      </c>
      <c r="D88" s="176">
        <f t="shared" si="25"/>
        <v>0</v>
      </c>
      <c r="E88" s="176">
        <f t="shared" si="25"/>
        <v>-10208.76</v>
      </c>
      <c r="F88" s="176">
        <f>'TIE-OUT'!X88+RECLASS!X88</f>
        <v>0</v>
      </c>
      <c r="G88" s="176">
        <f>'TIE-OUT'!Y88+RECLASS!Y88</f>
        <v>0</v>
      </c>
      <c r="H88" s="176">
        <v>0</v>
      </c>
      <c r="I88" s="176">
        <v>0</v>
      </c>
      <c r="J88" s="176">
        <v>0</v>
      </c>
      <c r="K88" s="176">
        <v>0</v>
      </c>
      <c r="L88" s="176">
        <v>0</v>
      </c>
      <c r="M88" s="176">
        <v>-10208.76</v>
      </c>
      <c r="N88" s="176">
        <v>0</v>
      </c>
      <c r="O88" s="176">
        <v>0</v>
      </c>
      <c r="P88" s="176">
        <v>0</v>
      </c>
      <c r="Q88" s="176">
        <v>0</v>
      </c>
      <c r="R88" s="176">
        <v>0</v>
      </c>
      <c r="S88" s="176">
        <v>0</v>
      </c>
      <c r="T88" s="176">
        <v>0</v>
      </c>
      <c r="U88" s="176">
        <v>0</v>
      </c>
      <c r="V88" s="176">
        <v>0</v>
      </c>
      <c r="W88" s="176">
        <v>0</v>
      </c>
      <c r="X88" s="176">
        <v>0</v>
      </c>
      <c r="Y88" s="176">
        <v>0</v>
      </c>
      <c r="Z88" s="176">
        <v>0</v>
      </c>
      <c r="AA88" s="176">
        <v>0</v>
      </c>
      <c r="AB88" s="176">
        <v>0</v>
      </c>
      <c r="AC88" s="176">
        <v>0</v>
      </c>
      <c r="AD88" s="176">
        <v>0</v>
      </c>
      <c r="AE88" s="176">
        <v>0</v>
      </c>
    </row>
    <row r="89" spans="1:67" s="44" customFormat="1" ht="20.25" customHeight="1" x14ac:dyDescent="0.25">
      <c r="A89" s="180"/>
      <c r="B89" s="181"/>
      <c r="C89" s="186" t="s">
        <v>176</v>
      </c>
      <c r="D89" s="184">
        <f>SUM(D86:D88)</f>
        <v>0</v>
      </c>
      <c r="E89" s="184">
        <f t="shared" ref="E89:M89" si="26">SUM(E86:E88)</f>
        <v>109108.24</v>
      </c>
      <c r="F89" s="184">
        <f t="shared" si="26"/>
        <v>0</v>
      </c>
      <c r="G89" s="184">
        <f t="shared" si="26"/>
        <v>263482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-154373.76000000001</v>
      </c>
      <c r="N89" s="184">
        <f t="shared" ref="N89:AE89" si="27">SUM(N86:N88)</f>
        <v>0</v>
      </c>
      <c r="O89" s="184">
        <f t="shared" si="27"/>
        <v>0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5">
      <c r="A91" s="180"/>
      <c r="B91" s="181"/>
      <c r="C91" s="186" t="s">
        <v>179</v>
      </c>
      <c r="D91" s="184">
        <f>+D82+D89</f>
        <v>0</v>
      </c>
      <c r="E91" s="184">
        <f t="shared" ref="E91:M91" si="28">+E82+E89</f>
        <v>1073174.3800000006</v>
      </c>
      <c r="F91" s="184">
        <f t="shared" si="28"/>
        <v>0</v>
      </c>
      <c r="G91" s="184">
        <f t="shared" si="28"/>
        <v>231189.92000000004</v>
      </c>
      <c r="H91" s="184">
        <f t="shared" si="28"/>
        <v>0</v>
      </c>
      <c r="I91" s="184">
        <f t="shared" si="28"/>
        <v>-1884940</v>
      </c>
      <c r="J91" s="184">
        <f t="shared" si="28"/>
        <v>0</v>
      </c>
      <c r="K91" s="184">
        <f t="shared" si="28"/>
        <v>713339</v>
      </c>
      <c r="L91" s="184">
        <f t="shared" si="28"/>
        <v>0</v>
      </c>
      <c r="M91" s="184">
        <f t="shared" si="28"/>
        <v>104862.23999999999</v>
      </c>
      <c r="N91" s="184">
        <f t="shared" ref="N91:AE91" si="29">+N82+N89</f>
        <v>0</v>
      </c>
      <c r="O91" s="184">
        <f t="shared" si="29"/>
        <v>2759046</v>
      </c>
      <c r="P91" s="184">
        <f t="shared" si="29"/>
        <v>0</v>
      </c>
      <c r="Q91" s="184">
        <f t="shared" si="29"/>
        <v>0</v>
      </c>
      <c r="R91" s="184">
        <f t="shared" si="29"/>
        <v>0</v>
      </c>
      <c r="S91" s="184">
        <f t="shared" si="29"/>
        <v>-861616</v>
      </c>
      <c r="T91" s="184">
        <f t="shared" si="29"/>
        <v>0</v>
      </c>
      <c r="U91" s="184">
        <f t="shared" si="29"/>
        <v>861616.21</v>
      </c>
      <c r="V91" s="184">
        <f t="shared" si="29"/>
        <v>0</v>
      </c>
      <c r="W91" s="184">
        <f t="shared" si="29"/>
        <v>0</v>
      </c>
      <c r="X91" s="184">
        <f t="shared" si="29"/>
        <v>0</v>
      </c>
      <c r="Y91" s="184">
        <f t="shared" si="29"/>
        <v>-861616.21</v>
      </c>
      <c r="Z91" s="184">
        <f t="shared" si="29"/>
        <v>0</v>
      </c>
      <c r="AA91" s="184">
        <f t="shared" si="29"/>
        <v>11293.22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U16" sqref="U16"/>
      <selection pane="topRight" activeCell="U16" sqref="U16"/>
      <selection pane="bottomLeft" activeCell="U16" sqref="U16"/>
      <selection pane="bottomRight" activeCell="U16" sqref="U1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'CE-FLSH'!L11</f>
        <v>58782868</v>
      </c>
      <c r="E11" s="66">
        <f>'CE-FLSH'!M11</f>
        <v>133608143</v>
      </c>
      <c r="F11" s="60">
        <f>CE_GL!D11</f>
        <v>59104441</v>
      </c>
      <c r="G11" s="38">
        <f>CE_GL!E11</f>
        <v>139070188.18999997</v>
      </c>
      <c r="H11" s="60">
        <f>F11-D11</f>
        <v>321573</v>
      </c>
      <c r="I11" s="38">
        <f>G11-E11</f>
        <v>5462045.1899999678</v>
      </c>
    </row>
    <row r="12" spans="1:22" x14ac:dyDescent="0.25">
      <c r="A12" s="9">
        <v>2</v>
      </c>
      <c r="B12" s="7"/>
      <c r="C12" s="18" t="s">
        <v>27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-4266223.46</v>
      </c>
      <c r="H12" s="60">
        <f>F12-D12</f>
        <v>0</v>
      </c>
      <c r="I12" s="38">
        <f>G12-E12</f>
        <v>-4266223.46</v>
      </c>
    </row>
    <row r="13" spans="1:22" x14ac:dyDescent="0.25">
      <c r="A13" s="9">
        <v>3</v>
      </c>
      <c r="B13" s="7"/>
      <c r="C13" s="18" t="s">
        <v>28</v>
      </c>
      <c r="D13" s="65">
        <f>'CE-FLSH'!L13</f>
        <v>17889674</v>
      </c>
      <c r="E13" s="66">
        <f>'CE-FLSH'!M13</f>
        <v>40884725</v>
      </c>
      <c r="F13" s="60">
        <f>CE_GL!D13</f>
        <v>17180581</v>
      </c>
      <c r="G13" s="38">
        <f>CE_GL!E13</f>
        <v>39293378</v>
      </c>
      <c r="H13" s="60">
        <f t="shared" ref="H13:I15" si="0">F13-D13</f>
        <v>-709093</v>
      </c>
      <c r="I13" s="38">
        <f t="shared" si="0"/>
        <v>-1591347</v>
      </c>
    </row>
    <row r="14" spans="1:22" x14ac:dyDescent="0.25">
      <c r="A14" s="9">
        <v>4</v>
      </c>
      <c r="B14" s="7"/>
      <c r="C14" s="18" t="s">
        <v>29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76672542</v>
      </c>
      <c r="E16" s="39">
        <f t="shared" si="1"/>
        <v>174492868</v>
      </c>
      <c r="F16" s="61">
        <f t="shared" si="1"/>
        <v>76285022</v>
      </c>
      <c r="G16" s="39">
        <f t="shared" si="1"/>
        <v>174097342.72999996</v>
      </c>
      <c r="H16" s="61">
        <f t="shared" si="1"/>
        <v>-387520</v>
      </c>
      <c r="I16" s="39">
        <f t="shared" si="1"/>
        <v>-395525.27000003215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'CE-FLSH'!L19</f>
        <v>-50102777</v>
      </c>
      <c r="E19" s="66">
        <f>'CE-FLSH'!M19</f>
        <v>-113086264</v>
      </c>
      <c r="F19" s="60">
        <f>CE_GL!D19</f>
        <v>-55785617</v>
      </c>
      <c r="G19" s="38">
        <f>CE_GL!E19</f>
        <v>-124662191.61</v>
      </c>
      <c r="H19" s="60">
        <f>F19-D19</f>
        <v>-5682840</v>
      </c>
      <c r="I19" s="38">
        <f>G19-E19</f>
        <v>-11575927.609999999</v>
      </c>
    </row>
    <row r="20" spans="1:9" x14ac:dyDescent="0.25">
      <c r="A20" s="9">
        <v>7</v>
      </c>
      <c r="B20" s="7"/>
      <c r="C20" s="18" t="s">
        <v>27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-982601.25</v>
      </c>
      <c r="H20" s="60">
        <f>F20-D20</f>
        <v>0</v>
      </c>
      <c r="I20" s="38">
        <f>G20-E20</f>
        <v>-982601.25</v>
      </c>
    </row>
    <row r="21" spans="1:9" x14ac:dyDescent="0.25">
      <c r="A21" s="9">
        <v>8</v>
      </c>
      <c r="B21" s="7"/>
      <c r="C21" s="18" t="s">
        <v>28</v>
      </c>
      <c r="D21" s="65">
        <f>'CE-FLSH'!L21</f>
        <v>-26260330</v>
      </c>
      <c r="E21" s="66">
        <f>'CE-FLSH'!M21</f>
        <v>-59849071</v>
      </c>
      <c r="F21" s="60">
        <f>CE_GL!D21</f>
        <v>-20775482</v>
      </c>
      <c r="G21" s="38">
        <f>CE_GL!E21</f>
        <v>-47417327</v>
      </c>
      <c r="H21" s="60">
        <f t="shared" ref="H21:I23" si="2">F21-D21</f>
        <v>5484848</v>
      </c>
      <c r="I21" s="38">
        <f t="shared" si="2"/>
        <v>12431744</v>
      </c>
    </row>
    <row r="22" spans="1:9" x14ac:dyDescent="0.25">
      <c r="A22" s="9">
        <v>9</v>
      </c>
      <c r="B22" s="7"/>
      <c r="C22" s="18" t="s">
        <v>29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'CE-FLSH'!L23</f>
        <v>234103</v>
      </c>
      <c r="E23" s="66">
        <f>'CE-FLSH'!M23</f>
        <v>520339</v>
      </c>
      <c r="F23" s="60">
        <f>CE_GL!D23</f>
        <v>427794</v>
      </c>
      <c r="G23" s="38">
        <f>CE_GL!E23</f>
        <v>952269.44799999997</v>
      </c>
      <c r="H23" s="60">
        <f t="shared" si="2"/>
        <v>193691</v>
      </c>
      <c r="I23" s="38">
        <f t="shared" si="2"/>
        <v>431930.44799999997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-76129004</v>
      </c>
      <c r="E24" s="39">
        <f t="shared" si="3"/>
        <v>-172414996</v>
      </c>
      <c r="F24" s="61">
        <f t="shared" si="3"/>
        <v>-76133305</v>
      </c>
      <c r="G24" s="39">
        <f t="shared" si="3"/>
        <v>-172109850.412</v>
      </c>
      <c r="H24" s="61">
        <f t="shared" si="3"/>
        <v>-4301</v>
      </c>
      <c r="I24" s="39">
        <f t="shared" si="3"/>
        <v>305145.58800000057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'CE-FLSH'!L27</f>
        <v>0</v>
      </c>
      <c r="E27" s="66">
        <f>'CE-FLSH'!M27</f>
        <v>0</v>
      </c>
      <c r="F27" s="60">
        <f>CE_GL!D27</f>
        <v>382550</v>
      </c>
      <c r="G27" s="38">
        <f>CE_GL!E27</f>
        <v>853500</v>
      </c>
      <c r="H27" s="60">
        <f>F27-D27</f>
        <v>382550</v>
      </c>
      <c r="I27" s="38">
        <f>G27-E27</f>
        <v>853500</v>
      </c>
    </row>
    <row r="28" spans="1:9" x14ac:dyDescent="0.25">
      <c r="A28" s="9">
        <v>12</v>
      </c>
      <c r="B28" s="7"/>
      <c r="C28" s="18" t="s">
        <v>37</v>
      </c>
      <c r="D28" s="65">
        <f>'CE-FLSH'!L28</f>
        <v>0</v>
      </c>
      <c r="E28" s="66">
        <f>'CE-FLSH'!M28</f>
        <v>0</v>
      </c>
      <c r="F28" s="60">
        <f>CE_GL!D28</f>
        <v>0</v>
      </c>
      <c r="G28" s="38">
        <f>CE_GL!E28</f>
        <v>-0.48999999999999488</v>
      </c>
      <c r="H28" s="60">
        <f>F28-D28</f>
        <v>0</v>
      </c>
      <c r="I28" s="38">
        <f>G28-E28</f>
        <v>-0.48999999999999488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382550</v>
      </c>
      <c r="G29" s="70">
        <f t="shared" si="4"/>
        <v>853499.51</v>
      </c>
      <c r="H29" s="69">
        <f t="shared" si="4"/>
        <v>382550</v>
      </c>
      <c r="I29" s="70">
        <f t="shared" si="4"/>
        <v>853499.51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'CE-FLSH'!L32</f>
        <v>-123472</v>
      </c>
      <c r="E32" s="66">
        <f>'CE-FLSH'!M32</f>
        <v>-24072</v>
      </c>
      <c r="F32" s="60">
        <f>CE_GL!D32</f>
        <v>124161</v>
      </c>
      <c r="G32" s="38">
        <f>CE_GL!E32</f>
        <v>-776804.7359999998</v>
      </c>
      <c r="H32" s="60">
        <f>F32-D32</f>
        <v>247633</v>
      </c>
      <c r="I32" s="38">
        <f>G32-E32</f>
        <v>-752732.7359999998</v>
      </c>
    </row>
    <row r="33" spans="1:9" x14ac:dyDescent="0.25">
      <c r="A33" s="9">
        <v>14</v>
      </c>
      <c r="B33" s="7"/>
      <c r="C33" s="18" t="s">
        <v>41</v>
      </c>
      <c r="D33" s="65">
        <f>'CE-FLSH'!L33</f>
        <v>0</v>
      </c>
      <c r="E33" s="66">
        <f>'CE-FLSH'!M33</f>
        <v>0</v>
      </c>
      <c r="F33" s="60">
        <f>CE_GL!D33</f>
        <v>-14292</v>
      </c>
      <c r="G33" s="38">
        <f>CE_GL!E33</f>
        <v>-30394.36</v>
      </c>
      <c r="H33" s="60">
        <f t="shared" ref="H33:I35" si="5">F33-D33</f>
        <v>-14292</v>
      </c>
      <c r="I33" s="38">
        <f t="shared" si="5"/>
        <v>-30394.36</v>
      </c>
    </row>
    <row r="34" spans="1:9" x14ac:dyDescent="0.25">
      <c r="A34" s="9">
        <v>15</v>
      </c>
      <c r="B34" s="7"/>
      <c r="C34" s="18" t="s">
        <v>42</v>
      </c>
      <c r="D34" s="65">
        <f>'CE-FLSH'!L34</f>
        <v>0</v>
      </c>
      <c r="E34" s="66">
        <f>'CE-FLSH'!M34</f>
        <v>0</v>
      </c>
      <c r="F34" s="60">
        <f>CE_GL!D34</f>
        <v>9165</v>
      </c>
      <c r="G34" s="38">
        <f>CE_GL!E34</f>
        <v>18044.259999999998</v>
      </c>
      <c r="H34" s="60">
        <f t="shared" si="5"/>
        <v>9165</v>
      </c>
      <c r="I34" s="38">
        <f t="shared" si="5"/>
        <v>18044.259999999998</v>
      </c>
    </row>
    <row r="35" spans="1:9" x14ac:dyDescent="0.25">
      <c r="A35" s="9">
        <v>16</v>
      </c>
      <c r="B35" s="7"/>
      <c r="C35" s="18" t="s">
        <v>43</v>
      </c>
      <c r="D35" s="65">
        <f>'CE-FLSH'!L35</f>
        <v>-197338</v>
      </c>
      <c r="E35" s="66">
        <f>'CE-FLSH'!M35</f>
        <v>-429285</v>
      </c>
      <c r="F35" s="60">
        <f>CE_GL!D35</f>
        <v>-473130</v>
      </c>
      <c r="G35" s="38">
        <f>CE_GL!E35</f>
        <v>-0.01</v>
      </c>
      <c r="H35" s="60">
        <f t="shared" si="5"/>
        <v>-275792</v>
      </c>
      <c r="I35" s="38">
        <f t="shared" si="5"/>
        <v>429284.99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-320810</v>
      </c>
      <c r="E36" s="39">
        <f t="shared" si="6"/>
        <v>-453357</v>
      </c>
      <c r="F36" s="61">
        <f t="shared" si="6"/>
        <v>-354096</v>
      </c>
      <c r="G36" s="39">
        <f t="shared" si="6"/>
        <v>-789154.84599999979</v>
      </c>
      <c r="H36" s="61">
        <f t="shared" si="6"/>
        <v>-33286</v>
      </c>
      <c r="I36" s="39">
        <f t="shared" si="6"/>
        <v>-335797.84599999979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'CE-FLSH'!L39</f>
        <v>81230</v>
      </c>
      <c r="E39" s="66">
        <f>'CE-FLSH'!M39</f>
        <v>177233</v>
      </c>
      <c r="F39" s="60">
        <f>CE_GL!D39</f>
        <v>189</v>
      </c>
      <c r="G39" s="38">
        <f>CE_GL!E39</f>
        <v>420.72</v>
      </c>
      <c r="H39" s="60">
        <f t="shared" ref="H39:I41" si="7">F39-D39</f>
        <v>-81041</v>
      </c>
      <c r="I39" s="38">
        <f t="shared" si="7"/>
        <v>-176812.28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'CE-FLSH'!L40</f>
        <v>-147172</v>
      </c>
      <c r="E40" s="66">
        <f>'CE-FLSH'!M40</f>
        <v>-324515</v>
      </c>
      <c r="F40" s="60">
        <f>CE_GL!D40</f>
        <v>-278443</v>
      </c>
      <c r="G40" s="38">
        <f>CE_GL!E40</f>
        <v>-618375.85</v>
      </c>
      <c r="H40" s="60">
        <f t="shared" si="7"/>
        <v>-131271</v>
      </c>
      <c r="I40" s="38">
        <f t="shared" si="7"/>
        <v>-293860.84999999998</v>
      </c>
    </row>
    <row r="41" spans="1:9" x14ac:dyDescent="0.25">
      <c r="A41" s="9">
        <v>19</v>
      </c>
      <c r="B41" s="7"/>
      <c r="C41" s="18" t="s">
        <v>48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-147172</v>
      </c>
      <c r="E42" s="70">
        <f t="shared" si="8"/>
        <v>-324515</v>
      </c>
      <c r="F42" s="69">
        <f t="shared" si="8"/>
        <v>-278443</v>
      </c>
      <c r="G42" s="70">
        <f t="shared" si="8"/>
        <v>-618375.85</v>
      </c>
      <c r="H42" s="69">
        <f t="shared" si="8"/>
        <v>-131271</v>
      </c>
      <c r="I42" s="70">
        <f t="shared" si="8"/>
        <v>-293860.84999999998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-65942</v>
      </c>
      <c r="E43" s="39">
        <f t="shared" si="9"/>
        <v>-147282</v>
      </c>
      <c r="F43" s="61">
        <f t="shared" si="9"/>
        <v>-278254</v>
      </c>
      <c r="G43" s="39">
        <f t="shared" si="9"/>
        <v>-617955.13</v>
      </c>
      <c r="H43" s="61">
        <f t="shared" si="9"/>
        <v>-212312</v>
      </c>
      <c r="I43" s="39">
        <f t="shared" si="9"/>
        <v>-470673.13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'CE-FLSH'!L49</f>
        <v>-156786</v>
      </c>
      <c r="E49" s="66">
        <f>'CE-FLSH'!M49</f>
        <v>-348957.81627000001</v>
      </c>
      <c r="F49" s="60">
        <f>CE_GL!D49</f>
        <v>98083</v>
      </c>
      <c r="G49" s="38">
        <f>CE_GL!E49</f>
        <v>218332.75800000131</v>
      </c>
      <c r="H49" s="60">
        <f>F49-D49</f>
        <v>254869</v>
      </c>
      <c r="I49" s="38">
        <f>G49-E49</f>
        <v>567290.57427000138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'CE-FLSH'!L51</f>
        <v>-234103</v>
      </c>
      <c r="E51" s="66">
        <f>'CE-FLSH'!M51</f>
        <v>-520339</v>
      </c>
      <c r="F51" s="60">
        <f>CE_GL!D51</f>
        <v>-427794</v>
      </c>
      <c r="G51" s="38">
        <f>CE_GL!E51</f>
        <v>-952269.44799999997</v>
      </c>
      <c r="H51" s="60">
        <f>F51-D51</f>
        <v>-193691</v>
      </c>
      <c r="I51" s="38">
        <f>G51-E51</f>
        <v>-431930.44799999997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'CE-FLSH'!L54</f>
        <v>0</v>
      </c>
      <c r="E54" s="66">
        <f>'CE-FLSH'!M54</f>
        <v>-81224</v>
      </c>
      <c r="F54" s="60">
        <f>CE_GL!D54</f>
        <v>-30543525</v>
      </c>
      <c r="G54" s="38">
        <f>CE_GL!E54</f>
        <v>-2347604.2400000007</v>
      </c>
      <c r="H54" s="60">
        <f>F54-D54</f>
        <v>-30543525</v>
      </c>
      <c r="I54" s="38">
        <f>G54-E54</f>
        <v>-2266380.2400000007</v>
      </c>
    </row>
    <row r="55" spans="1:9" x14ac:dyDescent="0.25">
      <c r="A55" s="9">
        <v>25</v>
      </c>
      <c r="B55" s="7"/>
      <c r="C55" s="18" t="s">
        <v>57</v>
      </c>
      <c r="D55" s="65">
        <f>'CE-FLSH'!L55</f>
        <v>0</v>
      </c>
      <c r="E55" s="66">
        <f>'CE-FLSH'!M55</f>
        <v>-2198122</v>
      </c>
      <c r="F55" s="60">
        <f>CE_GL!D55</f>
        <v>0</v>
      </c>
      <c r="G55" s="38">
        <f>CE_GL!E55</f>
        <v>1281418.1999999997</v>
      </c>
      <c r="H55" s="60">
        <f>F55-D55</f>
        <v>0</v>
      </c>
      <c r="I55" s="38">
        <f>G55-E55</f>
        <v>3479540.1999999997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-2279346</v>
      </c>
      <c r="F56" s="61">
        <f t="shared" si="10"/>
        <v>-30543525</v>
      </c>
      <c r="G56" s="39">
        <f t="shared" si="10"/>
        <v>-1066186.040000001</v>
      </c>
      <c r="H56" s="61">
        <f t="shared" si="10"/>
        <v>-30543525</v>
      </c>
      <c r="I56" s="39">
        <f t="shared" si="10"/>
        <v>1213159.959999999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'CE-FLSH'!L70</f>
        <v>0</v>
      </c>
      <c r="E70" s="66">
        <f>'CE-FLSH'!M70</f>
        <v>3090114.6058823531</v>
      </c>
      <c r="F70" s="60">
        <f>CE_GL!D70</f>
        <v>0</v>
      </c>
      <c r="G70" s="38">
        <f>CE_GL!E70</f>
        <v>3090114.61</v>
      </c>
      <c r="H70" s="60">
        <f>F70-D70</f>
        <v>0</v>
      </c>
      <c r="I70" s="38">
        <f>G70-E70</f>
        <v>4.1176467202603817E-3</v>
      </c>
    </row>
    <row r="71" spans="1:9" x14ac:dyDescent="0.25">
      <c r="A71" s="9">
        <v>31</v>
      </c>
      <c r="B71" s="3"/>
      <c r="C71" s="10" t="s">
        <v>69</v>
      </c>
      <c r="D71" s="65">
        <f>'CE-FLSH'!L71</f>
        <v>0</v>
      </c>
      <c r="E71" s="66">
        <f>'CE-FLSH'!M71</f>
        <v>-1996369</v>
      </c>
      <c r="F71" s="60">
        <f>CE_GL!D71</f>
        <v>0</v>
      </c>
      <c r="G71" s="38">
        <f>CE_GL!E71</f>
        <v>-1955927</v>
      </c>
      <c r="H71" s="60">
        <f>F71-D71</f>
        <v>0</v>
      </c>
      <c r="I71" s="38">
        <f>G71-E71</f>
        <v>40442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1093745.6058823531</v>
      </c>
      <c r="F72" s="69">
        <f t="shared" si="13"/>
        <v>0</v>
      </c>
      <c r="G72" s="70">
        <f t="shared" si="13"/>
        <v>1134187.6099999999</v>
      </c>
      <c r="H72" s="69">
        <f t="shared" si="13"/>
        <v>0</v>
      </c>
      <c r="I72" s="70">
        <f t="shared" si="13"/>
        <v>40442.00411764672</v>
      </c>
    </row>
    <row r="73" spans="1:9" x14ac:dyDescent="0.25">
      <c r="A73" s="9">
        <v>32</v>
      </c>
      <c r="B73" s="3"/>
      <c r="C73" s="10" t="s">
        <v>71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'CE-FLSH'!L74</f>
        <v>0</v>
      </c>
      <c r="E74" s="66">
        <f>'CE-FLSH'!M74</f>
        <v>1208348</v>
      </c>
      <c r="F74" s="60">
        <f>CE_GL!D74</f>
        <v>0</v>
      </c>
      <c r="G74" s="38">
        <f>CE_GL!E74</f>
        <v>-651462.24</v>
      </c>
      <c r="H74" s="60">
        <f t="shared" ref="H74:I79" si="14">F74-D74</f>
        <v>0</v>
      </c>
      <c r="I74" s="38">
        <f t="shared" si="14"/>
        <v>-1859810.24</v>
      </c>
    </row>
    <row r="75" spans="1:9" x14ac:dyDescent="0.25">
      <c r="A75" s="9">
        <v>34</v>
      </c>
      <c r="B75" s="3"/>
      <c r="C75" s="10" t="s">
        <v>73</v>
      </c>
      <c r="D75" s="65">
        <f>'CE-FLSH'!L75</f>
        <v>0</v>
      </c>
      <c r="E75" s="66">
        <f>'CE-FLSH'!M75</f>
        <v>16174.5</v>
      </c>
      <c r="F75" s="60">
        <f>CE_GL!D75</f>
        <v>0</v>
      </c>
      <c r="G75" s="38">
        <f>CE_GL!E75</f>
        <v>16200</v>
      </c>
      <c r="H75" s="60">
        <f t="shared" si="14"/>
        <v>0</v>
      </c>
      <c r="I75" s="38">
        <f t="shared" si="14"/>
        <v>25.5</v>
      </c>
    </row>
    <row r="76" spans="1:9" x14ac:dyDescent="0.25">
      <c r="A76" s="9">
        <v>35</v>
      </c>
      <c r="B76" s="3"/>
      <c r="C76" s="10" t="s">
        <v>74</v>
      </c>
      <c r="D76" s="65">
        <f>'CE-FLSH'!L76</f>
        <v>0</v>
      </c>
      <c r="E76" s="66">
        <f>'CE-FLSH'!M76</f>
        <v>-29510</v>
      </c>
      <c r="F76" s="60">
        <f>CE_GL!D76</f>
        <v>0</v>
      </c>
      <c r="G76" s="38">
        <f>CE_GL!E76</f>
        <v>-29819.48</v>
      </c>
      <c r="H76" s="60">
        <f t="shared" si="14"/>
        <v>0</v>
      </c>
      <c r="I76" s="38">
        <f t="shared" si="14"/>
        <v>-309.47999999999956</v>
      </c>
    </row>
    <row r="77" spans="1:9" x14ac:dyDescent="0.25">
      <c r="A77" s="9">
        <v>36</v>
      </c>
      <c r="B77" s="3"/>
      <c r="C77" s="10" t="s">
        <v>75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'CE-FLSH'!L79</f>
        <v>0</v>
      </c>
      <c r="E79" s="66">
        <f>'CE-FLSH'!M79</f>
        <v>1591548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-1591548</v>
      </c>
    </row>
    <row r="80" spans="1:9" x14ac:dyDescent="0.25">
      <c r="A80" s="9">
        <v>39</v>
      </c>
      <c r="B80" s="3"/>
      <c r="C80" s="10" t="s">
        <v>78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'CE-FLSH'!L81</f>
        <v>0</v>
      </c>
      <c r="E81" s="66">
        <f>'CE-FLSH'!M81</f>
        <v>457370</v>
      </c>
      <c r="F81" s="60">
        <f>CE_GL!D81</f>
        <v>0</v>
      </c>
      <c r="G81" s="38">
        <f>CE_GL!E81</f>
        <v>1279374</v>
      </c>
      <c r="H81" s="60">
        <f>F81-D81</f>
        <v>0</v>
      </c>
      <c r="I81" s="38">
        <f>G81-E81</f>
        <v>822004</v>
      </c>
    </row>
    <row r="82" spans="1:63" s="44" customFormat="1" ht="20.25" customHeight="1" thickBot="1" x14ac:dyDescent="0.35">
      <c r="A82" s="40"/>
      <c r="B82" s="41"/>
      <c r="C82" s="42" t="s">
        <v>80</v>
      </c>
      <c r="D82" s="71">
        <f>D16+D24+D29+D36+D43+D45+D47+D49</f>
        <v>0</v>
      </c>
      <c r="E82" s="72">
        <f>SUM(E72:E81)+E16+E24+E29+E36+E43+E45+E47+E49+E51+E56+E61+E66</f>
        <v>2666266.2896123463</v>
      </c>
      <c r="F82" s="71">
        <f>F16+F24+F29+F36+F43+F45+F47+F49</f>
        <v>0</v>
      </c>
      <c r="G82" s="72">
        <f>SUM(G72:G81)+G16+G24+G29+G36+G43+G45+G47+G49+G51+G56+G61+G66</f>
        <v>1382239.0119999452</v>
      </c>
      <c r="H82" s="71">
        <f>H16+H24+H29+H36+H43+H45+H47+H49</f>
        <v>0</v>
      </c>
      <c r="I82" s="72">
        <f>SUM(I72:I81)+I16+I24+I29+I36+I43+I45+I47+I49+I51+I56+I61+I66</f>
        <v>-1284027.2776123844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86" sqref="H86"/>
      <selection pane="topRight" activeCell="H86" sqref="H86"/>
      <selection pane="bottomLeft" activeCell="H86" sqref="H86"/>
      <selection pane="bottomRight" activeCell="B56" sqref="B5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'EAST-EGM-FLSH'!L11</f>
        <v>95017908</v>
      </c>
      <c r="E11" s="66">
        <f>'EAST-EGM-FLSH'!M11</f>
        <v>219210344.60659999</v>
      </c>
      <c r="F11" s="60">
        <f>'EAST-EGM-GL'!D11</f>
        <v>86007417</v>
      </c>
      <c r="G11" s="38">
        <f>'EAST-EGM-GL'!E11</f>
        <v>195557628.21999997</v>
      </c>
      <c r="H11" s="60">
        <f>F11-D11</f>
        <v>-9010491</v>
      </c>
      <c r="I11" s="38">
        <f>G11-E11</f>
        <v>-23652716.386600018</v>
      </c>
    </row>
    <row r="12" spans="1:22" x14ac:dyDescent="0.25">
      <c r="A12" s="9">
        <v>2</v>
      </c>
      <c r="B12" s="7"/>
      <c r="C12" s="18" t="s">
        <v>27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2294439.27</v>
      </c>
      <c r="H12" s="60">
        <f>F12-D12</f>
        <v>0</v>
      </c>
      <c r="I12" s="38">
        <f>G12-E12</f>
        <v>2294439.27</v>
      </c>
    </row>
    <row r="13" spans="1:22" x14ac:dyDescent="0.25">
      <c r="A13" s="9">
        <v>3</v>
      </c>
      <c r="B13" s="7"/>
      <c r="C13" s="18" t="s">
        <v>28</v>
      </c>
      <c r="D13" s="65">
        <f>'EAST-EGM-FLSH'!L13</f>
        <v>42278465</v>
      </c>
      <c r="E13" s="66">
        <f>'EAST-EGM-FLSH'!M13</f>
        <v>98353631</v>
      </c>
      <c r="F13" s="60">
        <f>'EAST-EGM-GL'!D13</f>
        <v>41862372</v>
      </c>
      <c r="G13" s="38">
        <f>'EAST-EGM-GL'!E13</f>
        <v>97424953</v>
      </c>
      <c r="H13" s="60">
        <f t="shared" ref="H13:I15" si="0">F13-D13</f>
        <v>-416093</v>
      </c>
      <c r="I13" s="38">
        <f t="shared" si="0"/>
        <v>-928678</v>
      </c>
    </row>
    <row r="14" spans="1:22" x14ac:dyDescent="0.25">
      <c r="A14" s="9">
        <v>4</v>
      </c>
      <c r="B14" s="7"/>
      <c r="C14" s="18" t="s">
        <v>29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765306.58</v>
      </c>
      <c r="H15" s="60">
        <f t="shared" si="0"/>
        <v>0</v>
      </c>
      <c r="I15" s="38">
        <f t="shared" si="0"/>
        <v>765306.58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137296373</v>
      </c>
      <c r="E16" s="39">
        <f t="shared" si="1"/>
        <v>317563975.60659999</v>
      </c>
      <c r="F16" s="61">
        <f t="shared" si="1"/>
        <v>127869789</v>
      </c>
      <c r="G16" s="39">
        <f t="shared" si="1"/>
        <v>296042327.06999999</v>
      </c>
      <c r="H16" s="61">
        <f t="shared" si="1"/>
        <v>-9426584</v>
      </c>
      <c r="I16" s="39">
        <f t="shared" si="1"/>
        <v>-21521648.53660002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'EAST-EGM-FLSH'!L19</f>
        <v>-99661365</v>
      </c>
      <c r="E19" s="66">
        <f>'EAST-EGM-FLSH'!M19</f>
        <v>-227709439</v>
      </c>
      <c r="F19" s="60">
        <f>'EAST-EGM-GL'!D19</f>
        <v>-97326451</v>
      </c>
      <c r="G19" s="38">
        <f>'EAST-EGM-GL'!E19</f>
        <v>-220921363.13000003</v>
      </c>
      <c r="H19" s="60">
        <f>F19-D19</f>
        <v>2334914</v>
      </c>
      <c r="I19" s="38">
        <f>G19-E19</f>
        <v>6788075.869999975</v>
      </c>
    </row>
    <row r="20" spans="1:9" x14ac:dyDescent="0.25">
      <c r="A20" s="9">
        <v>7</v>
      </c>
      <c r="B20" s="7"/>
      <c r="C20" s="18" t="s">
        <v>27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-374522.49</v>
      </c>
      <c r="H20" s="60">
        <f>F20-D20</f>
        <v>0</v>
      </c>
      <c r="I20" s="38">
        <f>G20-E20</f>
        <v>-374522.49</v>
      </c>
    </row>
    <row r="21" spans="1:9" x14ac:dyDescent="0.25">
      <c r="A21" s="9">
        <v>8</v>
      </c>
      <c r="B21" s="7"/>
      <c r="C21" s="18" t="s">
        <v>28</v>
      </c>
      <c r="D21" s="65">
        <f>'EAST-EGM-FLSH'!L21</f>
        <v>-37849843</v>
      </c>
      <c r="E21" s="66">
        <f>'EAST-EGM-FLSH'!M21</f>
        <v>-88446112</v>
      </c>
      <c r="F21" s="60">
        <f>'EAST-EGM-GL'!D21</f>
        <v>-37849780</v>
      </c>
      <c r="G21" s="38">
        <f>'EAST-EGM-GL'!E21</f>
        <v>-88445966</v>
      </c>
      <c r="H21" s="60">
        <f t="shared" ref="H21:I23" si="2">F21-D21</f>
        <v>63</v>
      </c>
      <c r="I21" s="38">
        <f t="shared" si="2"/>
        <v>146</v>
      </c>
    </row>
    <row r="22" spans="1:9" x14ac:dyDescent="0.25">
      <c r="A22" s="9">
        <v>9</v>
      </c>
      <c r="B22" s="7"/>
      <c r="C22" s="18" t="s">
        <v>29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'EAST-EGM-FLSH'!L23</f>
        <v>178425</v>
      </c>
      <c r="E23" s="66">
        <f>'EAST-EGM-FLSH'!M23</f>
        <v>405315</v>
      </c>
      <c r="F23" s="60">
        <f>'EAST-EGM-GL'!D23</f>
        <v>181704</v>
      </c>
      <c r="G23" s="38">
        <f>'EAST-EGM-GL'!E23</f>
        <v>1392798.33</v>
      </c>
      <c r="H23" s="60">
        <f t="shared" si="2"/>
        <v>3279</v>
      </c>
      <c r="I23" s="38">
        <f t="shared" si="2"/>
        <v>987483.33000000007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-137332783</v>
      </c>
      <c r="E24" s="39">
        <f t="shared" si="3"/>
        <v>-315750236</v>
      </c>
      <c r="F24" s="61">
        <f t="shared" si="3"/>
        <v>-134994527</v>
      </c>
      <c r="G24" s="39">
        <f t="shared" si="3"/>
        <v>-308349053.29000002</v>
      </c>
      <c r="H24" s="61">
        <f t="shared" si="3"/>
        <v>2338256</v>
      </c>
      <c r="I24" s="39">
        <f t="shared" si="3"/>
        <v>7401182.7099999748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'EAST-EGM-FLSH'!L27</f>
        <v>0</v>
      </c>
      <c r="E27" s="66">
        <f>'EAST-EGM-FLSH'!M27</f>
        <v>0</v>
      </c>
      <c r="F27" s="60">
        <f>'EAST-EGM-GL'!D27</f>
        <v>8846070</v>
      </c>
      <c r="G27" s="38">
        <f>'EAST-EGM-GL'!E27</f>
        <v>20168968.940000001</v>
      </c>
      <c r="H27" s="60">
        <f>F27-D27</f>
        <v>8846070</v>
      </c>
      <c r="I27" s="38">
        <f>G27-E27</f>
        <v>20168968.940000001</v>
      </c>
    </row>
    <row r="28" spans="1:9" x14ac:dyDescent="0.25">
      <c r="A28" s="9">
        <v>12</v>
      </c>
      <c r="B28" s="7"/>
      <c r="C28" s="18" t="s">
        <v>37</v>
      </c>
      <c r="D28" s="65">
        <f>'EAST-EGM-FLSH'!L28</f>
        <v>0</v>
      </c>
      <c r="E28" s="66">
        <f>'EAST-EGM-FLSH'!M28</f>
        <v>0</v>
      </c>
      <c r="F28" s="60">
        <f>'EAST-EGM-GL'!D28</f>
        <v>-2053438</v>
      </c>
      <c r="G28" s="38">
        <f>'EAST-EGM-GL'!E28</f>
        <v>-4717078.1400000006</v>
      </c>
      <c r="H28" s="60">
        <f>F28-D28</f>
        <v>-2053438</v>
      </c>
      <c r="I28" s="38">
        <f>G28-E28</f>
        <v>-4717078.1400000006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6792632</v>
      </c>
      <c r="G29" s="70">
        <f t="shared" si="4"/>
        <v>15451890.800000001</v>
      </c>
      <c r="H29" s="69">
        <f t="shared" si="4"/>
        <v>6792632</v>
      </c>
      <c r="I29" s="70">
        <f t="shared" si="4"/>
        <v>15451890.800000001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'EAST-EGM-FLSH'!L32</f>
        <v>-1564</v>
      </c>
      <c r="E32" s="66">
        <f>'EAST-EGM-FLSH'!M32</f>
        <v>-64203</v>
      </c>
      <c r="F32" s="60">
        <f>'EAST-EGM-GL'!D32</f>
        <v>1384059</v>
      </c>
      <c r="G32" s="38">
        <f>'EAST-EGM-GL'!E32</f>
        <v>3134893.3339999998</v>
      </c>
      <c r="H32" s="60">
        <f>F32-D32</f>
        <v>1385623</v>
      </c>
      <c r="I32" s="38">
        <f>G32-E32</f>
        <v>3199096.3339999998</v>
      </c>
    </row>
    <row r="33" spans="1:9" x14ac:dyDescent="0.25">
      <c r="A33" s="9">
        <v>14</v>
      </c>
      <c r="B33" s="7"/>
      <c r="C33" s="18" t="s">
        <v>41</v>
      </c>
      <c r="D33" s="65">
        <f>'EAST-EGM-FLSH'!L33</f>
        <v>364791</v>
      </c>
      <c r="E33" s="66">
        <f>'EAST-EGM-FLSH'!M33</f>
        <v>795893</v>
      </c>
      <c r="F33" s="60">
        <f>'EAST-EGM-GL'!D33</f>
        <v>-101172</v>
      </c>
      <c r="G33" s="38">
        <f>'EAST-EGM-GL'!E33</f>
        <v>-273788.09999999998</v>
      </c>
      <c r="H33" s="60">
        <f t="shared" ref="H33:I35" si="5">F33-D33</f>
        <v>-465963</v>
      </c>
      <c r="I33" s="38">
        <f t="shared" si="5"/>
        <v>-1069681.1000000001</v>
      </c>
    </row>
    <row r="34" spans="1:9" x14ac:dyDescent="0.25">
      <c r="A34" s="9">
        <v>15</v>
      </c>
      <c r="B34" s="7"/>
      <c r="C34" s="18" t="s">
        <v>42</v>
      </c>
      <c r="D34" s="65">
        <f>'EAST-EGM-FLSH'!L34</f>
        <v>-519300</v>
      </c>
      <c r="E34" s="66">
        <f>'EAST-EGM-FLSH'!M34</f>
        <v>-1138326</v>
      </c>
      <c r="F34" s="60">
        <f>'EAST-EGM-GL'!D34</f>
        <v>26982</v>
      </c>
      <c r="G34" s="38">
        <f>'EAST-EGM-GL'!E34</f>
        <v>42378.900000000591</v>
      </c>
      <c r="H34" s="60">
        <f t="shared" si="5"/>
        <v>546282</v>
      </c>
      <c r="I34" s="38">
        <f t="shared" si="5"/>
        <v>1180704.9000000006</v>
      </c>
    </row>
    <row r="35" spans="1:9" x14ac:dyDescent="0.25">
      <c r="A35" s="9">
        <v>16</v>
      </c>
      <c r="B35" s="7"/>
      <c r="C35" s="18" t="s">
        <v>43</v>
      </c>
      <c r="D35" s="65">
        <f>'EAST-EGM-FLSH'!L35</f>
        <v>196895</v>
      </c>
      <c r="E35" s="66">
        <f>'EAST-EGM-FLSH'!M35</f>
        <v>413421</v>
      </c>
      <c r="F35" s="60">
        <f>'EAST-EGM-GL'!D35</f>
        <v>0</v>
      </c>
      <c r="G35" s="38">
        <f>'EAST-EGM-GL'!E35</f>
        <v>67859.990000000005</v>
      </c>
      <c r="H35" s="60">
        <f t="shared" si="5"/>
        <v>-196895</v>
      </c>
      <c r="I35" s="38">
        <f t="shared" si="5"/>
        <v>-345561.01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40822</v>
      </c>
      <c r="E36" s="39">
        <f t="shared" si="6"/>
        <v>6785</v>
      </c>
      <c r="F36" s="61">
        <f t="shared" si="6"/>
        <v>1309869</v>
      </c>
      <c r="G36" s="39">
        <f t="shared" si="6"/>
        <v>2971344.1240000003</v>
      </c>
      <c r="H36" s="61">
        <f t="shared" si="6"/>
        <v>1269047</v>
      </c>
      <c r="I36" s="39">
        <f t="shared" si="6"/>
        <v>2964559.1240000008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'EAST-EGM-FLSH'!L39</f>
        <v>0</v>
      </c>
      <c r="E39" s="66">
        <f>'EAST-EGM-FLSH'!M39</f>
        <v>0</v>
      </c>
      <c r="F39" s="60">
        <f>'EAST-EGM-GL'!D39</f>
        <v>179030</v>
      </c>
      <c r="G39" s="38">
        <f>'EAST-EGM-GL'!E39</f>
        <v>405502.96</v>
      </c>
      <c r="H39" s="60">
        <f t="shared" ref="H39:I41" si="7">F39-D39</f>
        <v>179030</v>
      </c>
      <c r="I39" s="38">
        <f t="shared" si="7"/>
        <v>405502.96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'EAST-EGM-FLSH'!L40</f>
        <v>0</v>
      </c>
      <c r="E40" s="66">
        <f>'EAST-EGM-FLSH'!M40</f>
        <v>0</v>
      </c>
      <c r="F40" s="60">
        <f>'EAST-EGM-GL'!D40</f>
        <v>-90000</v>
      </c>
      <c r="G40" s="38">
        <f>'EAST-EGM-GL'!E40</f>
        <v>-203850</v>
      </c>
      <c r="H40" s="60">
        <f t="shared" si="7"/>
        <v>-90000</v>
      </c>
      <c r="I40" s="38">
        <f t="shared" si="7"/>
        <v>-203850</v>
      </c>
    </row>
    <row r="41" spans="1:9" x14ac:dyDescent="0.25">
      <c r="A41" s="9">
        <v>19</v>
      </c>
      <c r="B41" s="7"/>
      <c r="C41" s="18" t="s">
        <v>48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-90000</v>
      </c>
      <c r="G42" s="70">
        <f t="shared" si="8"/>
        <v>-203850</v>
      </c>
      <c r="H42" s="69">
        <f t="shared" si="8"/>
        <v>-90000</v>
      </c>
      <c r="I42" s="70">
        <f t="shared" si="8"/>
        <v>-203850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89030</v>
      </c>
      <c r="G43" s="39">
        <f t="shared" si="9"/>
        <v>201652.96000000002</v>
      </c>
      <c r="H43" s="61">
        <f t="shared" si="9"/>
        <v>89030</v>
      </c>
      <c r="I43" s="39">
        <f t="shared" si="9"/>
        <v>201652.96000000002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'EAST-EGM-FLSH'!L49</f>
        <v>55588</v>
      </c>
      <c r="E49" s="66">
        <f>'EAST-EGM-FLSH'!M49</f>
        <v>131811.8205933327</v>
      </c>
      <c r="F49" s="60">
        <f>'EAST-EGM-GL'!D49</f>
        <v>-1066793</v>
      </c>
      <c r="G49" s="38">
        <f>'EAST-EGM-GL'!E49</f>
        <v>-2416286.1449999996</v>
      </c>
      <c r="H49" s="60">
        <f>F49-D49</f>
        <v>-1122381</v>
      </c>
      <c r="I49" s="38">
        <f>G49-E49</f>
        <v>-2548097.9655933324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'EAST-EGM-FLSH'!L51</f>
        <v>-178425</v>
      </c>
      <c r="E51" s="66">
        <f>'EAST-EGM-FLSH'!M51</f>
        <v>-405315</v>
      </c>
      <c r="F51" s="60">
        <f>'EAST-EGM-GL'!D51</f>
        <v>-614922</v>
      </c>
      <c r="G51" s="38">
        <f>'EAST-EGM-GL'!E51</f>
        <v>-1392798.33</v>
      </c>
      <c r="H51" s="60">
        <f>F51-D51</f>
        <v>-436497</v>
      </c>
      <c r="I51" s="38">
        <f>G51-E51</f>
        <v>-987483.33000000007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'EAST-EGM-FLSH'!L54</f>
        <v>0</v>
      </c>
      <c r="E54" s="66">
        <f>'EAST-EGM-FLSH'!M54</f>
        <v>-545222</v>
      </c>
      <c r="F54" s="60">
        <f>'EAST-EGM-GL'!D54</f>
        <v>-66119760</v>
      </c>
      <c r="G54" s="38">
        <f>'EAST-EGM-GL'!E54</f>
        <v>-670777.56000000134</v>
      </c>
      <c r="H54" s="60">
        <f>F54-D54</f>
        <v>-66119760</v>
      </c>
      <c r="I54" s="38">
        <f>G54-E54</f>
        <v>-125555.56000000134</v>
      </c>
    </row>
    <row r="55" spans="1:9" x14ac:dyDescent="0.25">
      <c r="A55" s="9">
        <v>25</v>
      </c>
      <c r="B55" s="7"/>
      <c r="C55" s="18" t="s">
        <v>57</v>
      </c>
      <c r="D55" s="65">
        <f>'EAST-EGM-FLSH'!L55</f>
        <v>0</v>
      </c>
      <c r="E55" s="66">
        <f>'EAST-EGM-FLSH'!M55</f>
        <v>-354365</v>
      </c>
      <c r="F55" s="60">
        <f>'EAST-EGM-GL'!D55</f>
        <v>0</v>
      </c>
      <c r="G55" s="38">
        <f>'EAST-EGM-GL'!E55</f>
        <v>-1078391.8500000001</v>
      </c>
      <c r="H55" s="60">
        <f>F55-D55</f>
        <v>0</v>
      </c>
      <c r="I55" s="38">
        <f>G55-E55</f>
        <v>-724026.85000000009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-899587</v>
      </c>
      <c r="F56" s="61">
        <f t="shared" si="10"/>
        <v>-66119760</v>
      </c>
      <c r="G56" s="39">
        <f t="shared" si="10"/>
        <v>-1749169.4100000015</v>
      </c>
      <c r="H56" s="61">
        <f t="shared" si="10"/>
        <v>-66119760</v>
      </c>
      <c r="I56" s="39">
        <f t="shared" si="10"/>
        <v>-849582.41000000143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73908.95</v>
      </c>
      <c r="H59" s="60">
        <f>F59-D59</f>
        <v>0</v>
      </c>
      <c r="I59" s="38">
        <f>G59-E59</f>
        <v>73908.95</v>
      </c>
    </row>
    <row r="60" spans="1:9" x14ac:dyDescent="0.25">
      <c r="A60" s="9">
        <v>27</v>
      </c>
      <c r="B60" s="11"/>
      <c r="C60" s="18" t="s">
        <v>61</v>
      </c>
      <c r="D60" s="65">
        <f>'EAST-EGM-FLSH'!L60</f>
        <v>0</v>
      </c>
      <c r="E60" s="66">
        <f>'EAST-EGM-FLSH'!M60</f>
        <v>-46484.87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46484.87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-46484.87</v>
      </c>
      <c r="F61" s="69">
        <f t="shared" si="11"/>
        <v>0</v>
      </c>
      <c r="G61" s="70">
        <f t="shared" si="11"/>
        <v>73908.95</v>
      </c>
      <c r="H61" s="69">
        <f t="shared" si="11"/>
        <v>0</v>
      </c>
      <c r="I61" s="70">
        <f t="shared" si="11"/>
        <v>120393.82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'EAST-EGM-FLSH'!L64</f>
        <v>0</v>
      </c>
      <c r="E64" s="66">
        <f>'EAST-EGM-FLSH'!M64</f>
        <v>48497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-48497</v>
      </c>
    </row>
    <row r="65" spans="1:9" x14ac:dyDescent="0.25">
      <c r="A65" s="9">
        <v>29</v>
      </c>
      <c r="B65" s="11"/>
      <c r="C65" s="18" t="s">
        <v>64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-48497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'EAST-EGM-FLSH'!L70</f>
        <v>0</v>
      </c>
      <c r="E70" s="66">
        <f>'EAST-EGM-FLSH'!M70</f>
        <v>3210854.2476774924</v>
      </c>
      <c r="F70" s="60">
        <f>'EAST-EGM-GL'!D70</f>
        <v>0</v>
      </c>
      <c r="G70" s="38">
        <f>'EAST-EGM-GL'!E70</f>
        <v>3210854.25</v>
      </c>
      <c r="H70" s="60">
        <f>F70-D70</f>
        <v>0</v>
      </c>
      <c r="I70" s="38">
        <f>G70-E70</f>
        <v>2.322507556527853E-3</v>
      </c>
    </row>
    <row r="71" spans="1:9" x14ac:dyDescent="0.25">
      <c r="A71" s="9">
        <v>31</v>
      </c>
      <c r="B71" s="3"/>
      <c r="C71" s="10" t="s">
        <v>69</v>
      </c>
      <c r="D71" s="65">
        <f>'EAST-EGM-FLSH'!L71</f>
        <v>0</v>
      </c>
      <c r="E71" s="66">
        <f>'EAST-EGM-FLSH'!M71</f>
        <v>-5679558</v>
      </c>
      <c r="F71" s="60">
        <f>'EAST-EGM-GL'!D71</f>
        <v>0</v>
      </c>
      <c r="G71" s="38">
        <f>'EAST-EGM-GL'!E71</f>
        <v>-5679557.9500000002</v>
      </c>
      <c r="H71" s="60">
        <f>F71-D71</f>
        <v>0</v>
      </c>
      <c r="I71" s="38">
        <f>G71-E71</f>
        <v>4.9999999813735485E-2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-2468703.7523225076</v>
      </c>
      <c r="F72" s="69">
        <f t="shared" si="13"/>
        <v>0</v>
      </c>
      <c r="G72" s="70">
        <f t="shared" si="13"/>
        <v>-2468703.7000000002</v>
      </c>
      <c r="H72" s="69">
        <f t="shared" si="13"/>
        <v>0</v>
      </c>
      <c r="I72" s="70">
        <f t="shared" si="13"/>
        <v>5.2322507370263338E-2</v>
      </c>
    </row>
    <row r="73" spans="1:9" x14ac:dyDescent="0.25">
      <c r="A73" s="9">
        <v>32</v>
      </c>
      <c r="B73" s="3"/>
      <c r="C73" s="10" t="s">
        <v>71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'EAST-EGM-FLSH'!L74</f>
        <v>0</v>
      </c>
      <c r="E74" s="66">
        <f>'EAST-EGM-FLSH'!M74</f>
        <v>3621706</v>
      </c>
      <c r="F74" s="60">
        <f>'EAST-EGM-GL'!D74</f>
        <v>0</v>
      </c>
      <c r="G74" s="38">
        <f>'EAST-EGM-GL'!E74</f>
        <v>3307294</v>
      </c>
      <c r="H74" s="60">
        <f t="shared" ref="H74:I79" si="14">F74-D74</f>
        <v>0</v>
      </c>
      <c r="I74" s="38">
        <f t="shared" si="14"/>
        <v>-314412</v>
      </c>
    </row>
    <row r="75" spans="1:9" x14ac:dyDescent="0.25">
      <c r="A75" s="9">
        <v>34</v>
      </c>
      <c r="B75" s="3"/>
      <c r="C75" s="10" t="s">
        <v>73</v>
      </c>
      <c r="D75" s="65">
        <f>'EAST-EGM-FLSH'!L75</f>
        <v>0</v>
      </c>
      <c r="E75" s="66">
        <f>'EAST-EGM-FLSH'!M75</f>
        <v>274130</v>
      </c>
      <c r="F75" s="60">
        <f>'EAST-EGM-GL'!D75</f>
        <v>0</v>
      </c>
      <c r="G75" s="38">
        <f>'EAST-EGM-GL'!E75</f>
        <v>274200</v>
      </c>
      <c r="H75" s="60">
        <f t="shared" si="14"/>
        <v>0</v>
      </c>
      <c r="I75" s="38">
        <f t="shared" si="14"/>
        <v>70</v>
      </c>
    </row>
    <row r="76" spans="1:9" x14ac:dyDescent="0.25">
      <c r="A76" s="9">
        <v>35</v>
      </c>
      <c r="B76" s="3"/>
      <c r="C76" s="10" t="s">
        <v>74</v>
      </c>
      <c r="D76" s="65">
        <f>'EAST-EGM-FLSH'!L76</f>
        <v>0</v>
      </c>
      <c r="E76" s="66">
        <f>'EAST-EGM-FLSH'!M76</f>
        <v>-23020</v>
      </c>
      <c r="F76" s="60">
        <f>'EAST-EGM-GL'!D76</f>
        <v>0</v>
      </c>
      <c r="G76" s="38">
        <f>'EAST-EGM-GL'!E76</f>
        <v>-10196.349999999999</v>
      </c>
      <c r="H76" s="60">
        <f t="shared" si="14"/>
        <v>0</v>
      </c>
      <c r="I76" s="38">
        <f t="shared" si="14"/>
        <v>12823.650000000001</v>
      </c>
    </row>
    <row r="77" spans="1:9" x14ac:dyDescent="0.25">
      <c r="A77" s="9">
        <v>36</v>
      </c>
      <c r="B77" s="3"/>
      <c r="C77" s="10" t="s">
        <v>75</v>
      </c>
      <c r="D77" s="65">
        <f>'EAST-EGM-FLSH'!L77</f>
        <v>0</v>
      </c>
      <c r="E77" s="66">
        <f>'EAST-EGM-FLSH'!M77</f>
        <v>2860191</v>
      </c>
      <c r="F77" s="60">
        <f>'EAST-EGM-GL'!D77</f>
        <v>0</v>
      </c>
      <c r="G77" s="38">
        <f>'EAST-EGM-GL'!E77</f>
        <v>-3918809</v>
      </c>
      <c r="H77" s="60">
        <f t="shared" si="14"/>
        <v>0</v>
      </c>
      <c r="I77" s="38">
        <f t="shared" si="14"/>
        <v>-6779000</v>
      </c>
    </row>
    <row r="78" spans="1:9" x14ac:dyDescent="0.25">
      <c r="A78" s="9">
        <v>37</v>
      </c>
      <c r="B78" s="3"/>
      <c r="C78" s="10" t="s">
        <v>76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77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'EAST-EGM-FLSH'!L81</f>
        <v>0</v>
      </c>
      <c r="E81" s="66">
        <f>'EAST-EGM-FLSH'!M81</f>
        <v>-2807834</v>
      </c>
      <c r="F81" s="60">
        <f>'EAST-EGM-GL'!D81</f>
        <v>0</v>
      </c>
      <c r="G81" s="38">
        <f>'EAST-EGM-GL'!E81</f>
        <v>547512.44999999995</v>
      </c>
      <c r="H81" s="60">
        <f>F81-D81</f>
        <v>0</v>
      </c>
      <c r="I81" s="38">
        <f>G81-E81</f>
        <v>3355346.45</v>
      </c>
    </row>
    <row r="82" spans="1:63" s="44" customFormat="1" ht="20.25" customHeight="1" thickBot="1" x14ac:dyDescent="0.35">
      <c r="A82" s="40"/>
      <c r="B82" s="41"/>
      <c r="C82" s="42" t="s">
        <v>80</v>
      </c>
      <c r="D82" s="71">
        <f>D16+D24+D29+D36+D43+D45+D47+D49</f>
        <v>60000</v>
      </c>
      <c r="E82" s="72">
        <f>SUM(E72:E81)+E16+E24+E29+E36+E43+E45+E47+E49+E51+E56+E61+E66</f>
        <v>2130439.7498708172</v>
      </c>
      <c r="F82" s="71">
        <f>F16+F24+F29+F36+F43+F45+F47+F49</f>
        <v>0</v>
      </c>
      <c r="G82" s="72">
        <f>SUM(G72:G81)+G16+G24+G29+G36+G43+G45+G47+G49+G51+G56+G61+G66</f>
        <v>-1434885.8710000527</v>
      </c>
      <c r="H82" s="71">
        <f>H16+H24+H29+H36+H43+H45+H47+H49</f>
        <v>-60000</v>
      </c>
      <c r="I82" s="72">
        <f>SUM(I72:I81)+I16+I24+I29+I36+I43+I45+I47+I49+I51+I56+I61+I66</f>
        <v>-3565325.6208708696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170</v>
      </c>
      <c r="B85" s="3"/>
      <c r="F85" s="31"/>
      <c r="G85" s="31"/>
      <c r="H85" s="31"/>
      <c r="I85" s="31"/>
    </row>
    <row r="86" spans="1:63" x14ac:dyDescent="0.25">
      <c r="A86" s="173"/>
      <c r="B86" s="3"/>
      <c r="C86" s="10" t="s">
        <v>173</v>
      </c>
      <c r="D86" s="174">
        <f>'EAST-EGM-FLSH'!L86</f>
        <v>0</v>
      </c>
      <c r="E86" s="174">
        <f>'EAST-EGM-FLSH'!M86</f>
        <v>-614051</v>
      </c>
      <c r="F86" s="174">
        <f>'EAST-EGM-GL'!D86</f>
        <v>0</v>
      </c>
      <c r="G86" s="174">
        <f>'EAST-EGM-GL'!E86</f>
        <v>-614051</v>
      </c>
      <c r="H86" s="174">
        <f t="shared" ref="H86:I88" si="15">F86-D86</f>
        <v>0</v>
      </c>
      <c r="I86" s="174">
        <f t="shared" si="15"/>
        <v>0</v>
      </c>
    </row>
    <row r="87" spans="1:63" x14ac:dyDescent="0.25">
      <c r="A87" s="173"/>
      <c r="B87" s="3"/>
      <c r="C87" s="10" t="s">
        <v>72</v>
      </c>
      <c r="D87" s="175">
        <f>'EAST-EGM-FLSH'!L87</f>
        <v>0</v>
      </c>
      <c r="E87" s="175">
        <f>'EAST-EGM-FLSH'!M87</f>
        <v>0</v>
      </c>
      <c r="F87" s="175">
        <f>'EAST-EGM-GL'!D87</f>
        <v>0</v>
      </c>
      <c r="G87" s="175">
        <f>'EAST-EGM-GL'!E87</f>
        <v>0</v>
      </c>
      <c r="H87" s="175">
        <f t="shared" si="15"/>
        <v>0</v>
      </c>
      <c r="I87" s="175">
        <f t="shared" si="15"/>
        <v>0</v>
      </c>
    </row>
    <row r="88" spans="1:63" x14ac:dyDescent="0.25">
      <c r="A88" s="173"/>
      <c r="B88" s="3"/>
      <c r="C88" s="10" t="s">
        <v>73</v>
      </c>
      <c r="D88" s="176">
        <f>'EAST-EGM-FLSH'!L88</f>
        <v>0</v>
      </c>
      <c r="E88" s="176">
        <f>'EAST-EGM-FLSH'!M88</f>
        <v>0</v>
      </c>
      <c r="F88" s="176">
        <f>'EAST-EGM-GL'!D88</f>
        <v>0</v>
      </c>
      <c r="G88" s="176">
        <f>'EAST-EGM-GL'!E88</f>
        <v>0</v>
      </c>
      <c r="H88" s="176">
        <f t="shared" si="15"/>
        <v>0</v>
      </c>
      <c r="I88" s="176">
        <f t="shared" si="15"/>
        <v>0</v>
      </c>
    </row>
    <row r="89" spans="1:63" s="145" customFormat="1" x14ac:dyDescent="0.25">
      <c r="A89" s="187"/>
      <c r="B89" s="188"/>
      <c r="C89" s="186" t="s">
        <v>176</v>
      </c>
      <c r="D89" s="189">
        <f t="shared" ref="D89:I89" si="16">SUM(D86:D88)</f>
        <v>0</v>
      </c>
      <c r="E89" s="189">
        <f t="shared" si="16"/>
        <v>-614051</v>
      </c>
      <c r="F89" s="189">
        <f t="shared" si="16"/>
        <v>0</v>
      </c>
      <c r="G89" s="189">
        <f t="shared" si="16"/>
        <v>-614051</v>
      </c>
      <c r="H89" s="189">
        <f t="shared" si="16"/>
        <v>0</v>
      </c>
      <c r="I89" s="189">
        <f t="shared" si="16"/>
        <v>0</v>
      </c>
    </row>
    <row r="90" spans="1:63" s="145" customFormat="1" x14ac:dyDescent="0.25">
      <c r="A90" s="191"/>
      <c r="B90" s="188"/>
      <c r="D90" s="192"/>
      <c r="E90" s="192"/>
      <c r="F90" s="192"/>
      <c r="G90" s="192"/>
      <c r="H90" s="192"/>
      <c r="I90" s="192"/>
    </row>
    <row r="91" spans="1:63" s="145" customFormat="1" x14ac:dyDescent="0.25">
      <c r="A91" s="187"/>
      <c r="B91" s="188"/>
      <c r="C91" s="186" t="s">
        <v>179</v>
      </c>
      <c r="D91" s="189">
        <f t="shared" ref="D91:I91" si="17">+D82+D89</f>
        <v>60000</v>
      </c>
      <c r="E91" s="189">
        <f t="shared" si="17"/>
        <v>1516388.7498708172</v>
      </c>
      <c r="F91" s="189">
        <f t="shared" si="17"/>
        <v>0</v>
      </c>
      <c r="G91" s="189">
        <f t="shared" si="17"/>
        <v>-2048936.8710000527</v>
      </c>
      <c r="H91" s="189">
        <f t="shared" si="17"/>
        <v>-60000</v>
      </c>
      <c r="I91" s="189">
        <f t="shared" si="17"/>
        <v>-3565325.6208708696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E33" sqref="E3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'EAST-LRC-FLSH'!L11</f>
        <v>10718095</v>
      </c>
      <c r="E11" s="66">
        <f>'EAST-LRC-FLSH'!M11</f>
        <v>24717015.393399999</v>
      </c>
      <c r="F11" s="60">
        <f>'EAST-LRC-GL'!D11</f>
        <v>8925518</v>
      </c>
      <c r="G11" s="38">
        <f>'EAST-LRC-GL'!E11</f>
        <v>20525622.540000003</v>
      </c>
      <c r="H11" s="60">
        <f>F11-D11</f>
        <v>-1792577</v>
      </c>
      <c r="I11" s="38">
        <f>G11-E11</f>
        <v>-4191392.8533999957</v>
      </c>
    </row>
    <row r="12" spans="1:22" x14ac:dyDescent="0.25">
      <c r="A12" s="9">
        <v>2</v>
      </c>
      <c r="B12" s="7"/>
      <c r="C12" s="18" t="s">
        <v>27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-28437.46</v>
      </c>
      <c r="H12" s="60">
        <f>F12-D12</f>
        <v>0</v>
      </c>
      <c r="I12" s="38">
        <f>G12-E12</f>
        <v>-28437.46</v>
      </c>
    </row>
    <row r="13" spans="1:22" x14ac:dyDescent="0.25">
      <c r="A13" s="9">
        <v>3</v>
      </c>
      <c r="B13" s="7"/>
      <c r="C13" s="18" t="s">
        <v>28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29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10718095</v>
      </c>
      <c r="E16" s="39">
        <f t="shared" si="1"/>
        <v>24717015.393399999</v>
      </c>
      <c r="F16" s="61">
        <f t="shared" si="1"/>
        <v>8925518</v>
      </c>
      <c r="G16" s="39">
        <f t="shared" si="1"/>
        <v>20497185.080000002</v>
      </c>
      <c r="H16" s="61">
        <f t="shared" si="1"/>
        <v>-1792577</v>
      </c>
      <c r="I16" s="39">
        <f t="shared" si="1"/>
        <v>-4219830.3133999957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'EAST-LRC-FLSH'!L19</f>
        <v>-10533712</v>
      </c>
      <c r="E19" s="66">
        <f>'EAST-LRC-FLSH'!M19</f>
        <v>-24036346</v>
      </c>
      <c r="F19" s="60">
        <f>'EAST-LRC-GL'!D19</f>
        <v>-2408378</v>
      </c>
      <c r="G19" s="38">
        <f>'EAST-LRC-GL'!E19</f>
        <v>-5309603.37</v>
      </c>
      <c r="H19" s="60">
        <f>F19-D19</f>
        <v>8125334</v>
      </c>
      <c r="I19" s="38">
        <f>G19-E19</f>
        <v>18726742.629999999</v>
      </c>
    </row>
    <row r="20" spans="1:9" x14ac:dyDescent="0.25">
      <c r="A20" s="9">
        <v>7</v>
      </c>
      <c r="B20" s="7"/>
      <c r="C20" s="18" t="s">
        <v>27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28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29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'EAST-LRC-FLSH'!L23</f>
        <v>0</v>
      </c>
      <c r="E23" s="66">
        <f>'EAST-LRC-FLSH'!M23</f>
        <v>0</v>
      </c>
      <c r="F23" s="60">
        <f>'EAST-LRC-GL'!D23</f>
        <v>1511</v>
      </c>
      <c r="G23" s="38">
        <f>'EAST-LRC-GL'!E23</f>
        <v>4844.4799999999959</v>
      </c>
      <c r="H23" s="60">
        <f t="shared" si="2"/>
        <v>1511</v>
      </c>
      <c r="I23" s="38">
        <f t="shared" si="2"/>
        <v>4844.4799999999959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-10533712</v>
      </c>
      <c r="E24" s="39">
        <f t="shared" si="3"/>
        <v>-24036346</v>
      </c>
      <c r="F24" s="61">
        <f t="shared" si="3"/>
        <v>-2406867</v>
      </c>
      <c r="G24" s="39">
        <f t="shared" si="3"/>
        <v>-5304758.8899999997</v>
      </c>
      <c r="H24" s="61">
        <f t="shared" si="3"/>
        <v>8126845</v>
      </c>
      <c r="I24" s="39">
        <f t="shared" si="3"/>
        <v>18731587.109999999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'EAST-LRC-FLSH'!L27</f>
        <v>0</v>
      </c>
      <c r="E27" s="66">
        <f>'EAST-LRC-FLSH'!M27</f>
        <v>0</v>
      </c>
      <c r="F27" s="60">
        <f>'EAST-LRC-GL'!D27</f>
        <v>2241419</v>
      </c>
      <c r="G27" s="38">
        <f>'EAST-LRC-GL'!E27</f>
        <v>5133228.1099999994</v>
      </c>
      <c r="H27" s="60">
        <f>F27-D27</f>
        <v>2241419</v>
      </c>
      <c r="I27" s="38">
        <f>G27-E27</f>
        <v>5133228.1099999994</v>
      </c>
    </row>
    <row r="28" spans="1:9" x14ac:dyDescent="0.25">
      <c r="A28" s="9">
        <v>12</v>
      </c>
      <c r="B28" s="7"/>
      <c r="C28" s="18" t="s">
        <v>37</v>
      </c>
      <c r="D28" s="65">
        <f>'EAST-LRC-FLSH'!L28</f>
        <v>0</v>
      </c>
      <c r="E28" s="66">
        <f>'EAST-LRC-FLSH'!M28</f>
        <v>0</v>
      </c>
      <c r="F28" s="60">
        <f>'EAST-LRC-GL'!D28</f>
        <v>-8634361</v>
      </c>
      <c r="G28" s="38">
        <f>'EAST-LRC-GL'!E28</f>
        <v>-19707181.07</v>
      </c>
      <c r="H28" s="60">
        <f>F28-D28</f>
        <v>-8634361</v>
      </c>
      <c r="I28" s="38">
        <f>G28-E28</f>
        <v>-19707181.07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-6392942</v>
      </c>
      <c r="G29" s="70">
        <f t="shared" si="4"/>
        <v>-14573952.960000001</v>
      </c>
      <c r="H29" s="69">
        <f t="shared" si="4"/>
        <v>-6392942</v>
      </c>
      <c r="I29" s="70">
        <f t="shared" si="4"/>
        <v>-14573952.960000001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'EAST-LRC-FLSH'!L32</f>
        <v>0</v>
      </c>
      <c r="E32" s="66">
        <f>'EAST-LRC-FLSH'!M32</f>
        <v>0</v>
      </c>
      <c r="F32" s="60">
        <f>'EAST-LRC-GL'!D32</f>
        <v>65196</v>
      </c>
      <c r="G32" s="38">
        <f>'EAST-LRC-GL'!E32</f>
        <v>147668.93999999997</v>
      </c>
      <c r="H32" s="60">
        <f>F32-D32</f>
        <v>65196</v>
      </c>
      <c r="I32" s="38">
        <f>G32-E32</f>
        <v>147668.93999999997</v>
      </c>
    </row>
    <row r="33" spans="1:9" x14ac:dyDescent="0.25">
      <c r="A33" s="9">
        <v>14</v>
      </c>
      <c r="B33" s="7"/>
      <c r="C33" s="18" t="s">
        <v>41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65196</v>
      </c>
      <c r="G36" s="39">
        <f t="shared" si="6"/>
        <v>147668.93999999997</v>
      </c>
      <c r="H36" s="61">
        <f t="shared" si="6"/>
        <v>65196</v>
      </c>
      <c r="I36" s="39">
        <f t="shared" si="6"/>
        <v>147668.93999999997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'EAST-LRC-FLSH'!L39</f>
        <v>518308</v>
      </c>
      <c r="E39" s="66">
        <f>'EAST-LRC-FLSH'!M39</f>
        <v>1181742</v>
      </c>
      <c r="F39" s="60">
        <f>'EAST-LRC-GL'!D39</f>
        <v>675495</v>
      </c>
      <c r="G39" s="38">
        <f>'EAST-LRC-GL'!E39</f>
        <v>1335048.32</v>
      </c>
      <c r="H39" s="60">
        <f t="shared" ref="H39:I41" si="7">F39-D39</f>
        <v>157187</v>
      </c>
      <c r="I39" s="38">
        <f t="shared" si="7"/>
        <v>153306.32000000007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'EAST-LRC-FLSH'!L40</f>
        <v>-925240</v>
      </c>
      <c r="E40" s="66">
        <f>'EAST-LRC-FLSH'!M40</f>
        <v>-2109549</v>
      </c>
      <c r="F40" s="60">
        <f>'EAST-LRC-GL'!D40</f>
        <v>-991006</v>
      </c>
      <c r="G40" s="38">
        <f>'EAST-LRC-GL'!E40</f>
        <v>-1958624.26</v>
      </c>
      <c r="H40" s="60">
        <f t="shared" si="7"/>
        <v>-65766</v>
      </c>
      <c r="I40" s="38">
        <f t="shared" si="7"/>
        <v>150924.74</v>
      </c>
    </row>
    <row r="41" spans="1:9" x14ac:dyDescent="0.25">
      <c r="A41" s="9">
        <v>19</v>
      </c>
      <c r="B41" s="7"/>
      <c r="C41" s="18" t="s">
        <v>48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-925240</v>
      </c>
      <c r="E42" s="70">
        <f t="shared" si="8"/>
        <v>-2109549</v>
      </c>
      <c r="F42" s="69">
        <f t="shared" si="8"/>
        <v>-991006</v>
      </c>
      <c r="G42" s="70">
        <f t="shared" si="8"/>
        <v>-1958624.26</v>
      </c>
      <c r="H42" s="69">
        <f t="shared" si="8"/>
        <v>-65766</v>
      </c>
      <c r="I42" s="70">
        <f t="shared" si="8"/>
        <v>150924.74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-406932</v>
      </c>
      <c r="E43" s="39">
        <f t="shared" si="9"/>
        <v>-927807</v>
      </c>
      <c r="F43" s="61">
        <f t="shared" si="9"/>
        <v>-315511</v>
      </c>
      <c r="G43" s="39">
        <f t="shared" si="9"/>
        <v>-623575.93999999994</v>
      </c>
      <c r="H43" s="61">
        <f t="shared" si="9"/>
        <v>91421</v>
      </c>
      <c r="I43" s="39">
        <f t="shared" si="9"/>
        <v>304231.06000000006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-18058</v>
      </c>
      <c r="G45" s="38">
        <f>'EAST-LRC-GL'!E45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'EAST-LRC-FLSH'!L49</f>
        <v>162549</v>
      </c>
      <c r="E49" s="66">
        <f>'EAST-LRC-FLSH'!M49</f>
        <v>362340.34242918628</v>
      </c>
      <c r="F49" s="60">
        <f>'EAST-LRC-GL'!D49</f>
        <v>142664</v>
      </c>
      <c r="G49" s="38">
        <f>'EAST-LRC-GL'!E49</f>
        <v>323133.95999999996</v>
      </c>
      <c r="H49" s="60">
        <f>F49-D49</f>
        <v>-19885</v>
      </c>
      <c r="I49" s="38">
        <f>G49-E49</f>
        <v>-39206.382429186313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-24151</v>
      </c>
      <c r="G51" s="38">
        <f>'EAST-LRC-GL'!E51</f>
        <v>-55245.279999999999</v>
      </c>
      <c r="H51" s="60">
        <f>F51-D51</f>
        <v>-24151</v>
      </c>
      <c r="I51" s="38">
        <f>G51-E51</f>
        <v>-55245.279999999999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'EAST-LRC-FLSH'!L54</f>
        <v>0</v>
      </c>
      <c r="E54" s="66">
        <f>'EAST-LRC-FLSH'!M54</f>
        <v>0</v>
      </c>
      <c r="F54" s="60">
        <f>'EAST-LRC-GL'!D54</f>
        <v>-187712</v>
      </c>
      <c r="G54" s="38">
        <f>'EAST-LRC-GL'!E54</f>
        <v>-631.35999999999967</v>
      </c>
      <c r="H54" s="60">
        <f>F54-D54</f>
        <v>-187712</v>
      </c>
      <c r="I54" s="38">
        <f>G54-E54</f>
        <v>-631.35999999999967</v>
      </c>
    </row>
    <row r="55" spans="1:9" x14ac:dyDescent="0.25">
      <c r="A55" s="9">
        <v>25</v>
      </c>
      <c r="B55" s="7"/>
      <c r="C55" s="18" t="s">
        <v>57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-187712</v>
      </c>
      <c r="G56" s="39">
        <f t="shared" si="10"/>
        <v>-631.35999999999967</v>
      </c>
      <c r="H56" s="61">
        <f t="shared" si="10"/>
        <v>-187712</v>
      </c>
      <c r="I56" s="39">
        <f t="shared" si="10"/>
        <v>-631.35999999999967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'EAST-LRC-FLSH'!L59</f>
        <v>0</v>
      </c>
      <c r="E59" s="66">
        <f>'EAST-LRC-FLSH'!M59</f>
        <v>0</v>
      </c>
      <c r="F59" s="60">
        <f>'EAST-LRC-GL'!D59</f>
        <v>2441557</v>
      </c>
      <c r="G59" s="38">
        <f>'EAST-LRC-GL'!E59</f>
        <v>44715.89</v>
      </c>
      <c r="H59" s="60">
        <f>F59-D59</f>
        <v>2441557</v>
      </c>
      <c r="I59" s="38">
        <f>G59-E59</f>
        <v>44715.89</v>
      </c>
    </row>
    <row r="60" spans="1:9" x14ac:dyDescent="0.25">
      <c r="A60" s="9">
        <v>27</v>
      </c>
      <c r="B60" s="11"/>
      <c r="C60" s="18" t="s">
        <v>61</v>
      </c>
      <c r="D60" s="65">
        <f>'EAST-LRC-FLSH'!L60</f>
        <v>0</v>
      </c>
      <c r="E60" s="66">
        <f>'EAST-LRC-FLSH'!M60</f>
        <v>46484.87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-46484.87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46484.87</v>
      </c>
      <c r="F61" s="69">
        <f t="shared" si="11"/>
        <v>2441557</v>
      </c>
      <c r="G61" s="70">
        <f t="shared" si="11"/>
        <v>44715.89</v>
      </c>
      <c r="H61" s="69">
        <f t="shared" si="11"/>
        <v>2441557</v>
      </c>
      <c r="I61" s="70">
        <f t="shared" si="11"/>
        <v>-1768.9800000000032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'EAST-LRC-FLSH'!L64</f>
        <v>0</v>
      </c>
      <c r="E64" s="66">
        <f>'EAST-LRC-FLSH'!M64</f>
        <v>0</v>
      </c>
      <c r="F64" s="60">
        <f>'EAST-LRC-GL'!D64</f>
        <v>-17678159</v>
      </c>
      <c r="G64" s="38">
        <f>'EAST-LRC-GL'!E64</f>
        <v>-2168086.6900000004</v>
      </c>
      <c r="H64" s="60">
        <f>F64-D64</f>
        <v>-17678159</v>
      </c>
      <c r="I64" s="38">
        <f>G64-E64</f>
        <v>-2168086.6900000004</v>
      </c>
    </row>
    <row r="65" spans="1:9" x14ac:dyDescent="0.25">
      <c r="A65" s="9">
        <v>29</v>
      </c>
      <c r="B65" s="11"/>
      <c r="C65" s="18" t="s">
        <v>64</v>
      </c>
      <c r="D65" s="65">
        <f>'EAST-LRC-FLSH'!L65</f>
        <v>0</v>
      </c>
      <c r="E65" s="66">
        <f>'EAST-LRC-FLSH'!M65</f>
        <v>0</v>
      </c>
      <c r="F65" s="60">
        <f>'EAST-LRC-GL'!D65</f>
        <v>17524702</v>
      </c>
      <c r="G65" s="38">
        <f>'EAST-LRC-GL'!E65</f>
        <v>2168340.9700000002</v>
      </c>
      <c r="H65" s="60">
        <f>F65-D65</f>
        <v>17524702</v>
      </c>
      <c r="I65" s="38">
        <f>G65-E65</f>
        <v>2168340.9700000002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-153457</v>
      </c>
      <c r="G66" s="39">
        <f t="shared" si="12"/>
        <v>254.27999999979511</v>
      </c>
      <c r="H66" s="61">
        <f t="shared" si="12"/>
        <v>-153457</v>
      </c>
      <c r="I66" s="39">
        <f t="shared" si="12"/>
        <v>254.27999999979511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69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71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73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5">
      <c r="A78" s="9">
        <v>37</v>
      </c>
      <c r="B78" s="3"/>
      <c r="C78" s="10" t="s">
        <v>76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5">
      <c r="A82" s="20"/>
      <c r="B82" s="21"/>
      <c r="C82" s="22" t="s">
        <v>80</v>
      </c>
      <c r="D82" s="71">
        <f>D16+D24+D29+D36+D43+D45+D47+D49</f>
        <v>-60000</v>
      </c>
      <c r="E82" s="72">
        <f>SUM(E72:E81)+E16+E24+E29+E36+E43+E45+E47+E49+E51+E56+E61+E66</f>
        <v>-3735312.3941708151</v>
      </c>
      <c r="F82" s="71">
        <f>F16+F24+F29+F36+F43+F45+F47+F49</f>
        <v>0</v>
      </c>
      <c r="G82" s="72">
        <f>SUM(G72:G81)+G16+G24+G29+G36+G43+G45+G47+G49+G51+G56+G61+G66</f>
        <v>410901.32000000018</v>
      </c>
      <c r="H82" s="71">
        <f>H16+H24+H29+H36+H43+H45+H47+H49</f>
        <v>60000</v>
      </c>
      <c r="I82" s="72">
        <f>SUM(I72:I81)+I16+I24+I29+I36+I43+I45+I47+I49+I51+I56+I61+I66</f>
        <v>4146213.7141708154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I69" sqref="I69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'EAST-CON-FLSH'!L11</f>
        <v>105736003</v>
      </c>
      <c r="E11" s="66">
        <f>'EAST-CON-FLSH'!M11</f>
        <v>243927360</v>
      </c>
      <c r="F11" s="60">
        <f>'EAST-CON-GL '!D11</f>
        <v>94932935</v>
      </c>
      <c r="G11" s="38">
        <f>'EAST-CON-GL '!E11</f>
        <v>216083250.75999999</v>
      </c>
      <c r="H11" s="60">
        <f>F11-D11</f>
        <v>-10803068</v>
      </c>
      <c r="I11" s="38">
        <f>G11-E11</f>
        <v>-27844109.24000001</v>
      </c>
    </row>
    <row r="12" spans="1:22" x14ac:dyDescent="0.25">
      <c r="A12" s="9">
        <v>2</v>
      </c>
      <c r="B12" s="7"/>
      <c r="C12" s="18" t="s">
        <v>27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2266001.81</v>
      </c>
      <c r="H12" s="60">
        <f>F12-D12</f>
        <v>0</v>
      </c>
      <c r="I12" s="38">
        <f>G12-E12</f>
        <v>2266001.81</v>
      </c>
    </row>
    <row r="13" spans="1:22" x14ac:dyDescent="0.25">
      <c r="A13" s="9">
        <v>3</v>
      </c>
      <c r="B13" s="7"/>
      <c r="C13" s="18" t="s">
        <v>28</v>
      </c>
      <c r="D13" s="65">
        <f>'EAST-CON-FLSH'!L13</f>
        <v>42278465</v>
      </c>
      <c r="E13" s="66">
        <f>'EAST-CON-FLSH'!M13</f>
        <v>98353631</v>
      </c>
      <c r="F13" s="60">
        <f>'EAST-CON-GL '!D13</f>
        <v>41862372</v>
      </c>
      <c r="G13" s="38">
        <f>'EAST-CON-GL '!E13</f>
        <v>97424953</v>
      </c>
      <c r="H13" s="60">
        <f t="shared" ref="H13:I15" si="0">F13-D13</f>
        <v>-416093</v>
      </c>
      <c r="I13" s="38">
        <f t="shared" si="0"/>
        <v>-928678</v>
      </c>
    </row>
    <row r="14" spans="1:22" x14ac:dyDescent="0.25">
      <c r="A14" s="9">
        <v>4</v>
      </c>
      <c r="B14" s="7"/>
      <c r="C14" s="18" t="s">
        <v>29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765306.58</v>
      </c>
      <c r="H15" s="60">
        <f t="shared" si="0"/>
        <v>0</v>
      </c>
      <c r="I15" s="38">
        <f t="shared" si="0"/>
        <v>765306.58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148014468</v>
      </c>
      <c r="E16" s="39">
        <f t="shared" si="1"/>
        <v>342280991</v>
      </c>
      <c r="F16" s="61">
        <f t="shared" si="1"/>
        <v>136795307</v>
      </c>
      <c r="G16" s="39">
        <f t="shared" si="1"/>
        <v>316539512.14999998</v>
      </c>
      <c r="H16" s="61">
        <f t="shared" si="1"/>
        <v>-11219161</v>
      </c>
      <c r="I16" s="39">
        <f t="shared" si="1"/>
        <v>-25741478.850000013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'EAST-CON-FLSH'!L19</f>
        <v>-110195077</v>
      </c>
      <c r="E19" s="66">
        <f>'EAST-CON-FLSH'!M19</f>
        <v>-251745785</v>
      </c>
      <c r="F19" s="60">
        <f>'EAST-CON-GL '!D19</f>
        <v>-99734829</v>
      </c>
      <c r="G19" s="38">
        <f>'EAST-CON-GL '!E19</f>
        <v>-226230966.5</v>
      </c>
      <c r="H19" s="60">
        <f>F19-D19</f>
        <v>10460248</v>
      </c>
      <c r="I19" s="38">
        <f>G19-E19</f>
        <v>25514818.5</v>
      </c>
    </row>
    <row r="20" spans="1:9" x14ac:dyDescent="0.25">
      <c r="A20" s="9">
        <v>7</v>
      </c>
      <c r="B20" s="7"/>
      <c r="C20" s="18" t="s">
        <v>27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-374522.49</v>
      </c>
      <c r="H20" s="60">
        <f>F20-D20</f>
        <v>0</v>
      </c>
      <c r="I20" s="38">
        <f>G20-E20</f>
        <v>-374522.49</v>
      </c>
    </row>
    <row r="21" spans="1:9" x14ac:dyDescent="0.25">
      <c r="A21" s="9">
        <v>8</v>
      </c>
      <c r="B21" s="7"/>
      <c r="C21" s="18" t="s">
        <v>28</v>
      </c>
      <c r="D21" s="65">
        <f>'EAST-CON-FLSH'!L21</f>
        <v>-37849843</v>
      </c>
      <c r="E21" s="66">
        <f>'EAST-CON-FLSH'!M21</f>
        <v>-88446112</v>
      </c>
      <c r="F21" s="60">
        <f>'EAST-CON-GL '!D21</f>
        <v>-37849780</v>
      </c>
      <c r="G21" s="38">
        <f>'EAST-CON-GL '!E21</f>
        <v>-88445966</v>
      </c>
      <c r="H21" s="60">
        <f t="shared" ref="H21:I23" si="2">F21-D21</f>
        <v>63</v>
      </c>
      <c r="I21" s="38">
        <f t="shared" si="2"/>
        <v>146</v>
      </c>
    </row>
    <row r="22" spans="1:9" x14ac:dyDescent="0.25">
      <c r="A22" s="9">
        <v>9</v>
      </c>
      <c r="B22" s="7"/>
      <c r="C22" s="18" t="s">
        <v>29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'EAST-CON-FLSH'!L23</f>
        <v>178425</v>
      </c>
      <c r="E23" s="66">
        <f>'EAST-CON-FLSH'!M23</f>
        <v>405315</v>
      </c>
      <c r="F23" s="60">
        <f>'EAST-CON-GL '!D23</f>
        <v>183215</v>
      </c>
      <c r="G23" s="38">
        <f>'EAST-CON-GL '!E23</f>
        <v>1397642.81</v>
      </c>
      <c r="H23" s="60">
        <f t="shared" si="2"/>
        <v>4790</v>
      </c>
      <c r="I23" s="38">
        <f t="shared" si="2"/>
        <v>992327.81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-147866495</v>
      </c>
      <c r="E24" s="39">
        <f t="shared" si="3"/>
        <v>-339786582</v>
      </c>
      <c r="F24" s="61">
        <f t="shared" si="3"/>
        <v>-137401394</v>
      </c>
      <c r="G24" s="39">
        <f t="shared" si="3"/>
        <v>-313653812.18000001</v>
      </c>
      <c r="H24" s="61">
        <f t="shared" si="3"/>
        <v>10465101</v>
      </c>
      <c r="I24" s="39">
        <f t="shared" si="3"/>
        <v>26132769.82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'EAST-CON-FLSH'!L27</f>
        <v>0</v>
      </c>
      <c r="E27" s="66">
        <f>'EAST-CON-FLSH'!M27</f>
        <v>0</v>
      </c>
      <c r="F27" s="60">
        <f>'EAST-CON-GL '!D27</f>
        <v>11087489</v>
      </c>
      <c r="G27" s="38">
        <f>'EAST-CON-GL '!E27</f>
        <v>25302197.050000001</v>
      </c>
      <c r="H27" s="60">
        <f>F27-D27</f>
        <v>11087489</v>
      </c>
      <c r="I27" s="38">
        <f>G27-E27</f>
        <v>25302197.050000001</v>
      </c>
    </row>
    <row r="28" spans="1:9" x14ac:dyDescent="0.25">
      <c r="A28" s="9">
        <v>12</v>
      </c>
      <c r="B28" s="7"/>
      <c r="C28" s="18" t="s">
        <v>37</v>
      </c>
      <c r="D28" s="65">
        <f>'EAST-CON-FLSH'!L28</f>
        <v>0</v>
      </c>
      <c r="E28" s="66">
        <f>'EAST-CON-FLSH'!M28</f>
        <v>0</v>
      </c>
      <c r="F28" s="60">
        <f>'EAST-CON-GL '!D28</f>
        <v>-10687799</v>
      </c>
      <c r="G28" s="38">
        <f>'EAST-CON-GL '!E28</f>
        <v>-24424259.209999997</v>
      </c>
      <c r="H28" s="60">
        <f>F28-D28</f>
        <v>-10687799</v>
      </c>
      <c r="I28" s="38">
        <f>G28-E28</f>
        <v>-24424259.209999997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399690</v>
      </c>
      <c r="G29" s="70">
        <f t="shared" si="4"/>
        <v>877937.84000000358</v>
      </c>
      <c r="H29" s="69">
        <f t="shared" si="4"/>
        <v>399690</v>
      </c>
      <c r="I29" s="70">
        <f t="shared" si="4"/>
        <v>877937.84000000358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'EAST-CON-FLSH'!L32</f>
        <v>-1564</v>
      </c>
      <c r="E32" s="66">
        <f>'EAST-CON-FLSH'!M32</f>
        <v>-64203</v>
      </c>
      <c r="F32" s="60">
        <f>'EAST-CON-GL '!D32</f>
        <v>1449255</v>
      </c>
      <c r="G32" s="38">
        <f>'EAST-CON-GL '!E32</f>
        <v>3282562.2739999997</v>
      </c>
      <c r="H32" s="60">
        <f>F32-D32</f>
        <v>1450819</v>
      </c>
      <c r="I32" s="38">
        <f>G32-E32</f>
        <v>3346765.2739999997</v>
      </c>
    </row>
    <row r="33" spans="1:9" x14ac:dyDescent="0.25">
      <c r="A33" s="9">
        <v>14</v>
      </c>
      <c r="B33" s="7"/>
      <c r="C33" s="18" t="s">
        <v>41</v>
      </c>
      <c r="D33" s="65">
        <f>'EAST-CON-FLSH'!L33</f>
        <v>364791</v>
      </c>
      <c r="E33" s="66">
        <f>'EAST-CON-FLSH'!M33</f>
        <v>795893</v>
      </c>
      <c r="F33" s="60">
        <f>'EAST-CON-GL '!D33</f>
        <v>-101172</v>
      </c>
      <c r="G33" s="38">
        <f>'EAST-CON-GL '!E33</f>
        <v>-273788.09999999998</v>
      </c>
      <c r="H33" s="60">
        <f t="shared" ref="H33:I35" si="5">F33-D33</f>
        <v>-465963</v>
      </c>
      <c r="I33" s="38">
        <f t="shared" si="5"/>
        <v>-1069681.1000000001</v>
      </c>
    </row>
    <row r="34" spans="1:9" x14ac:dyDescent="0.25">
      <c r="A34" s="9">
        <v>15</v>
      </c>
      <c r="B34" s="7"/>
      <c r="C34" s="18" t="s">
        <v>42</v>
      </c>
      <c r="D34" s="65">
        <f>'EAST-CON-FLSH'!L34</f>
        <v>-519300</v>
      </c>
      <c r="E34" s="66">
        <f>'EAST-CON-FLSH'!M34</f>
        <v>-1138326</v>
      </c>
      <c r="F34" s="60">
        <f>'EAST-CON-GL '!D34</f>
        <v>26982</v>
      </c>
      <c r="G34" s="38">
        <f>'EAST-CON-GL '!E34</f>
        <v>42378.900000000591</v>
      </c>
      <c r="H34" s="60">
        <f t="shared" si="5"/>
        <v>546282</v>
      </c>
      <c r="I34" s="38">
        <f t="shared" si="5"/>
        <v>1180704.9000000006</v>
      </c>
    </row>
    <row r="35" spans="1:9" x14ac:dyDescent="0.25">
      <c r="A35" s="9">
        <v>16</v>
      </c>
      <c r="B35" s="7"/>
      <c r="C35" s="18" t="s">
        <v>43</v>
      </c>
      <c r="D35" s="65">
        <f>'EAST-CON-FLSH'!L35</f>
        <v>196895</v>
      </c>
      <c r="E35" s="66">
        <f>'EAST-CON-FLSH'!M35</f>
        <v>413421</v>
      </c>
      <c r="F35" s="60">
        <f>'EAST-CON-GL '!D35</f>
        <v>0</v>
      </c>
      <c r="G35" s="38">
        <f>'EAST-CON-GL '!E35</f>
        <v>67859.990000000005</v>
      </c>
      <c r="H35" s="60">
        <f t="shared" si="5"/>
        <v>-196895</v>
      </c>
      <c r="I35" s="38">
        <f t="shared" si="5"/>
        <v>-345561.01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40822</v>
      </c>
      <c r="E36" s="39">
        <f t="shared" si="6"/>
        <v>6785</v>
      </c>
      <c r="F36" s="61">
        <f t="shared" si="6"/>
        <v>1375065</v>
      </c>
      <c r="G36" s="39">
        <f t="shared" si="6"/>
        <v>3119013.0640000002</v>
      </c>
      <c r="H36" s="61">
        <f t="shared" si="6"/>
        <v>1334243</v>
      </c>
      <c r="I36" s="39">
        <f t="shared" si="6"/>
        <v>3112228.0640000002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'EAST-CON-FLSH'!L39</f>
        <v>518308</v>
      </c>
      <c r="E39" s="66">
        <f>'EAST-CON-FLSH'!M39</f>
        <v>1181742</v>
      </c>
      <c r="F39" s="60">
        <f>'EAST-CON-GL '!D39</f>
        <v>854525</v>
      </c>
      <c r="G39" s="38">
        <f>'EAST-CON-GL '!E39</f>
        <v>1740551.28</v>
      </c>
      <c r="H39" s="60">
        <f t="shared" ref="H39:I41" si="7">F39-D39</f>
        <v>336217</v>
      </c>
      <c r="I39" s="38">
        <f t="shared" si="7"/>
        <v>558809.28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'EAST-CON-FLSH'!L40</f>
        <v>-925240</v>
      </c>
      <c r="E40" s="66">
        <f>'EAST-CON-FLSH'!M40</f>
        <v>-2109549</v>
      </c>
      <c r="F40" s="60">
        <f>'EAST-CON-GL '!D40</f>
        <v>-1081006</v>
      </c>
      <c r="G40" s="38">
        <f>'EAST-CON-GL '!E40</f>
        <v>-2162474.2600000002</v>
      </c>
      <c r="H40" s="60">
        <f t="shared" si="7"/>
        <v>-155766</v>
      </c>
      <c r="I40" s="38">
        <f t="shared" si="7"/>
        <v>-52925.260000000242</v>
      </c>
    </row>
    <row r="41" spans="1:9" x14ac:dyDescent="0.25">
      <c r="A41" s="9">
        <v>19</v>
      </c>
      <c r="B41" s="7"/>
      <c r="C41" s="18" t="s">
        <v>48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-925240</v>
      </c>
      <c r="E42" s="70">
        <f t="shared" si="8"/>
        <v>-2109549</v>
      </c>
      <c r="F42" s="69">
        <f t="shared" si="8"/>
        <v>-1081006</v>
      </c>
      <c r="G42" s="70">
        <f t="shared" si="8"/>
        <v>-2162474.2600000002</v>
      </c>
      <c r="H42" s="69">
        <f t="shared" si="8"/>
        <v>-155766</v>
      </c>
      <c r="I42" s="70">
        <f t="shared" si="8"/>
        <v>-52925.260000000242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-406932</v>
      </c>
      <c r="E43" s="39">
        <f t="shared" si="9"/>
        <v>-927807</v>
      </c>
      <c r="F43" s="61">
        <f t="shared" si="9"/>
        <v>-226481</v>
      </c>
      <c r="G43" s="39">
        <f t="shared" si="9"/>
        <v>-421922.98000000021</v>
      </c>
      <c r="H43" s="61">
        <f t="shared" si="9"/>
        <v>180451</v>
      </c>
      <c r="I43" s="39">
        <f t="shared" si="9"/>
        <v>505884.01999999979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-18058</v>
      </c>
      <c r="G45" s="38">
        <f>'EAST-CON-GL '!E45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'EAST-CON-FLSH'!L49</f>
        <v>218137</v>
      </c>
      <c r="E49" s="66">
        <f>'EAST-CON-FLSH'!M49</f>
        <v>494152.16302251897</v>
      </c>
      <c r="F49" s="60">
        <f>'EAST-CON-GL '!D49</f>
        <v>-924129</v>
      </c>
      <c r="G49" s="38">
        <f>'EAST-CON-GL '!E49</f>
        <v>-2093152.1849999994</v>
      </c>
      <c r="H49" s="60">
        <f>F49-D49</f>
        <v>-1142266</v>
      </c>
      <c r="I49" s="38">
        <f>G49-E49</f>
        <v>-2587304.3480225182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'EAST-CON-FLSH'!L51</f>
        <v>-178425</v>
      </c>
      <c r="E51" s="66">
        <f>'EAST-CON-FLSH'!M51</f>
        <v>-405315</v>
      </c>
      <c r="F51" s="60">
        <f>'EAST-CON-GL '!D51</f>
        <v>-639073</v>
      </c>
      <c r="G51" s="38">
        <f>'EAST-CON-GL '!E51</f>
        <v>-1448043.61</v>
      </c>
      <c r="H51" s="60">
        <f>F51-D51</f>
        <v>-460648</v>
      </c>
      <c r="I51" s="38">
        <f>G51-E51</f>
        <v>-1042728.6100000001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'EAST-CON-FLSH'!L54</f>
        <v>0</v>
      </c>
      <c r="E54" s="66">
        <f>'EAST-CON-FLSH'!M54</f>
        <v>-545222</v>
      </c>
      <c r="F54" s="60">
        <f>'EAST-CON-GL '!D54</f>
        <v>-66307472</v>
      </c>
      <c r="G54" s="38">
        <f>'EAST-CON-GL '!E54</f>
        <v>-671408.92000000132</v>
      </c>
      <c r="H54" s="60">
        <f>F54-D54</f>
        <v>-66307472</v>
      </c>
      <c r="I54" s="38">
        <f>G54-E54</f>
        <v>-126186.92000000132</v>
      </c>
    </row>
    <row r="55" spans="1:9" x14ac:dyDescent="0.25">
      <c r="A55" s="9">
        <v>25</v>
      </c>
      <c r="B55" s="7"/>
      <c r="C55" s="18" t="s">
        <v>57</v>
      </c>
      <c r="D55" s="65">
        <f>'EAST-CON-FLSH'!L55</f>
        <v>0</v>
      </c>
      <c r="E55" s="66">
        <f>'EAST-CON-FLSH'!M55</f>
        <v>-354365</v>
      </c>
      <c r="F55" s="60">
        <f>'EAST-CON-GL '!D55</f>
        <v>0</v>
      </c>
      <c r="G55" s="38">
        <f>'EAST-CON-GL '!E55</f>
        <v>-1078391.8500000001</v>
      </c>
      <c r="H55" s="60">
        <f>F55-D55</f>
        <v>0</v>
      </c>
      <c r="I55" s="38">
        <f>G55-E55</f>
        <v>-724026.85000000009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-899587</v>
      </c>
      <c r="F56" s="61">
        <f t="shared" si="10"/>
        <v>-66307472</v>
      </c>
      <c r="G56" s="39">
        <f t="shared" si="10"/>
        <v>-1749800.7700000014</v>
      </c>
      <c r="H56" s="61">
        <f t="shared" si="10"/>
        <v>-66307472</v>
      </c>
      <c r="I56" s="39">
        <f t="shared" si="10"/>
        <v>-850213.77000000142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'EAST-CON-FLSH'!L59</f>
        <v>0</v>
      </c>
      <c r="E59" s="66">
        <f>'EAST-CON-FLSH'!M59</f>
        <v>0</v>
      </c>
      <c r="F59" s="60">
        <f>'EAST-CON-GL '!D59</f>
        <v>2441557</v>
      </c>
      <c r="G59" s="38">
        <f>'EAST-CON-GL '!E59</f>
        <v>118624.84000000001</v>
      </c>
      <c r="H59" s="60">
        <f>F59-D59</f>
        <v>2441557</v>
      </c>
      <c r="I59" s="38">
        <f>G59-E59</f>
        <v>118624.84000000001</v>
      </c>
    </row>
    <row r="60" spans="1:9" x14ac:dyDescent="0.25">
      <c r="A60" s="9">
        <v>27</v>
      </c>
      <c r="B60" s="11"/>
      <c r="C60" s="18" t="s">
        <v>61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2441557</v>
      </c>
      <c r="G61" s="70">
        <f t="shared" si="11"/>
        <v>118624.84000000001</v>
      </c>
      <c r="H61" s="69">
        <f t="shared" si="11"/>
        <v>2441557</v>
      </c>
      <c r="I61" s="70">
        <f t="shared" si="11"/>
        <v>118624.84000000001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'EAST-CON-FLSH'!L64</f>
        <v>0</v>
      </c>
      <c r="E64" s="66">
        <f>'EAST-CON-FLSH'!M64</f>
        <v>48497</v>
      </c>
      <c r="F64" s="60">
        <f>'EAST-CON-GL '!D64</f>
        <v>-17773574</v>
      </c>
      <c r="G64" s="38">
        <f>'EAST-CON-GL '!E64</f>
        <v>-2177721.27</v>
      </c>
      <c r="H64" s="60">
        <f>F64-D64</f>
        <v>-17773574</v>
      </c>
      <c r="I64" s="38">
        <f>G64-E64</f>
        <v>-2226218.27</v>
      </c>
    </row>
    <row r="65" spans="1:9" x14ac:dyDescent="0.25">
      <c r="A65" s="9">
        <v>29</v>
      </c>
      <c r="B65" s="11"/>
      <c r="C65" s="18" t="s">
        <v>64</v>
      </c>
      <c r="D65" s="65">
        <f>'EAST-CON-FLSH'!L65</f>
        <v>0</v>
      </c>
      <c r="E65" s="66">
        <f>'EAST-CON-FLSH'!M65</f>
        <v>0</v>
      </c>
      <c r="F65" s="60">
        <f>'EAST-CON-GL '!D65</f>
        <v>17596706</v>
      </c>
      <c r="G65" s="38">
        <f>'EAST-CON-GL '!E65</f>
        <v>2177975.56</v>
      </c>
      <c r="H65" s="60">
        <f>F65-D65</f>
        <v>17596706</v>
      </c>
      <c r="I65" s="38">
        <f>G65-E65</f>
        <v>2177975.56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-176868</v>
      </c>
      <c r="G66" s="39">
        <f t="shared" si="12"/>
        <v>254.29000000003725</v>
      </c>
      <c r="H66" s="61">
        <f t="shared" si="12"/>
        <v>-176868</v>
      </c>
      <c r="I66" s="39">
        <f t="shared" si="12"/>
        <v>-48242.709999999963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'EAST-CON-FLSH'!L70</f>
        <v>0</v>
      </c>
      <c r="E70" s="66">
        <f>'EAST-CON-FLSH'!M70</f>
        <v>3210854.2476774924</v>
      </c>
      <c r="F70" s="60">
        <f>'EAST-CON-GL '!D70</f>
        <v>0</v>
      </c>
      <c r="G70" s="38">
        <f>'EAST-CON-GL '!E70</f>
        <v>3210854.25</v>
      </c>
      <c r="H70" s="60">
        <f>F70-D70</f>
        <v>0</v>
      </c>
      <c r="I70" s="38">
        <f>G70-E70</f>
        <v>2.322507556527853E-3</v>
      </c>
    </row>
    <row r="71" spans="1:9" x14ac:dyDescent="0.25">
      <c r="A71" s="9">
        <v>31</v>
      </c>
      <c r="B71" s="3"/>
      <c r="C71" s="10" t="s">
        <v>69</v>
      </c>
      <c r="D71" s="65">
        <f>'EAST-CON-FLSH'!L71</f>
        <v>0</v>
      </c>
      <c r="E71" s="66">
        <f>'EAST-CON-FLSH'!M71</f>
        <v>-5679558</v>
      </c>
      <c r="F71" s="60">
        <f>'EAST-CON-GL '!D71</f>
        <v>0</v>
      </c>
      <c r="G71" s="38">
        <f>'EAST-CON-GL '!E71</f>
        <v>-5679557.9500000002</v>
      </c>
      <c r="H71" s="60">
        <f>F71-D71</f>
        <v>0</v>
      </c>
      <c r="I71" s="38">
        <f>G71-E71</f>
        <v>4.9999999813735485E-2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-2468703.7523225076</v>
      </c>
      <c r="F72" s="69">
        <f t="shared" si="13"/>
        <v>0</v>
      </c>
      <c r="G72" s="70">
        <f t="shared" si="13"/>
        <v>-2468703.7000000002</v>
      </c>
      <c r="H72" s="69">
        <f t="shared" si="13"/>
        <v>0</v>
      </c>
      <c r="I72" s="70">
        <f t="shared" si="13"/>
        <v>5.2322507370263338E-2</v>
      </c>
    </row>
    <row r="73" spans="1:9" x14ac:dyDescent="0.25">
      <c r="A73" s="9">
        <v>32</v>
      </c>
      <c r="B73" s="3"/>
      <c r="C73" s="10" t="s">
        <v>71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'EAST-CON-FLSH'!L74</f>
        <v>0</v>
      </c>
      <c r="E74" s="66">
        <f>'EAST-CON-FLSH'!M74</f>
        <v>3621706</v>
      </c>
      <c r="F74" s="60">
        <f>'EAST-CON-GL '!D74</f>
        <v>0</v>
      </c>
      <c r="G74" s="38">
        <f>'EAST-CON-GL '!E74</f>
        <v>3307294</v>
      </c>
      <c r="H74" s="60">
        <f t="shared" ref="H74:I79" si="14">F74-D74</f>
        <v>0</v>
      </c>
      <c r="I74" s="38">
        <f t="shared" si="14"/>
        <v>-314412</v>
      </c>
    </row>
    <row r="75" spans="1:9" x14ac:dyDescent="0.25">
      <c r="A75" s="9">
        <v>34</v>
      </c>
      <c r="B75" s="3"/>
      <c r="C75" s="10" t="s">
        <v>73</v>
      </c>
      <c r="D75" s="65">
        <f>'EAST-CON-FLSH'!L75</f>
        <v>0</v>
      </c>
      <c r="E75" s="66">
        <f>'EAST-CON-FLSH'!M75</f>
        <v>274130</v>
      </c>
      <c r="F75" s="60">
        <f>'EAST-CON-GL '!D75</f>
        <v>0</v>
      </c>
      <c r="G75" s="38">
        <f>'EAST-CON-GL '!E75</f>
        <v>274200</v>
      </c>
      <c r="H75" s="60">
        <f t="shared" si="14"/>
        <v>0</v>
      </c>
      <c r="I75" s="38">
        <f t="shared" si="14"/>
        <v>70</v>
      </c>
    </row>
    <row r="76" spans="1:9" x14ac:dyDescent="0.25">
      <c r="A76" s="9">
        <v>35</v>
      </c>
      <c r="B76" s="3"/>
      <c r="C76" s="10" t="s">
        <v>74</v>
      </c>
      <c r="D76" s="65">
        <f>'EAST-CON-FLSH'!L76</f>
        <v>0</v>
      </c>
      <c r="E76" s="66">
        <f>'EAST-CON-FLSH'!M76</f>
        <v>-23020</v>
      </c>
      <c r="F76" s="60">
        <f>'EAST-CON-GL '!D76</f>
        <v>0</v>
      </c>
      <c r="G76" s="38">
        <f>'EAST-CON-GL '!E76</f>
        <v>-10196.349999999999</v>
      </c>
      <c r="H76" s="60">
        <f t="shared" si="14"/>
        <v>0</v>
      </c>
      <c r="I76" s="38">
        <f t="shared" si="14"/>
        <v>12823.650000000001</v>
      </c>
    </row>
    <row r="77" spans="1:9" x14ac:dyDescent="0.25">
      <c r="A77" s="9">
        <v>36</v>
      </c>
      <c r="B77" s="3"/>
      <c r="C77" s="10" t="s">
        <v>75</v>
      </c>
      <c r="D77" s="65">
        <f>'EAST-CON-FLSH'!L77</f>
        <v>0</v>
      </c>
      <c r="E77" s="66">
        <f>'EAST-CON-FLSH'!M77</f>
        <v>-1036809</v>
      </c>
      <c r="F77" s="60">
        <f>'EAST-CON-GL '!D77</f>
        <v>0</v>
      </c>
      <c r="G77" s="38">
        <f>'EAST-CON-GL '!E77</f>
        <v>-3918809</v>
      </c>
      <c r="H77" s="60">
        <f t="shared" si="14"/>
        <v>0</v>
      </c>
      <c r="I77" s="38">
        <f t="shared" si="14"/>
        <v>-2882000</v>
      </c>
    </row>
    <row r="78" spans="1:9" x14ac:dyDescent="0.25">
      <c r="A78" s="9">
        <v>37</v>
      </c>
      <c r="B78" s="3"/>
      <c r="C78" s="10" t="s">
        <v>76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77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'EAST-CON-FLSH'!L81</f>
        <v>0</v>
      </c>
      <c r="E81" s="66">
        <f>'EAST-CON-FLSH'!M81</f>
        <v>-2807834</v>
      </c>
      <c r="F81" s="60">
        <f>'EAST-CON-GL '!D81</f>
        <v>0</v>
      </c>
      <c r="G81" s="38">
        <f>'EAST-CON-GL '!E81</f>
        <v>547512.44999999995</v>
      </c>
      <c r="H81" s="60">
        <f>F81-D81</f>
        <v>0</v>
      </c>
      <c r="I81" s="38">
        <f>G81-E81</f>
        <v>3355346.45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-1604872.644299983</v>
      </c>
      <c r="F82" s="111">
        <f>F16+F24+F29+F36+F43+F45+F47+F49</f>
        <v>0</v>
      </c>
      <c r="G82" s="112">
        <f>SUM(G72:G81)+G16+G24+G29+G36+G43+G45+G47+G49+G51+G56+G61+G66</f>
        <v>-1023984.5410000522</v>
      </c>
      <c r="H82" s="111">
        <f>H16+H24+H29+H36+H43+H45+H47+H49</f>
        <v>0</v>
      </c>
      <c r="I82" s="112">
        <f>SUM(I72:I81)+I16+I24+I29+I36+I43+I45+I47+I49+I51+I56+I61+I66</f>
        <v>580888.103299979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170</v>
      </c>
      <c r="B85" s="3"/>
      <c r="F85" s="31"/>
      <c r="G85" s="31"/>
      <c r="H85" s="31"/>
      <c r="I85" s="31"/>
    </row>
    <row r="86" spans="1:63" x14ac:dyDescent="0.25">
      <c r="A86" s="173"/>
      <c r="B86" s="3"/>
      <c r="C86" s="10" t="s">
        <v>173</v>
      </c>
      <c r="D86" s="174">
        <f>'EAST-CON-FLSH'!L86</f>
        <v>0</v>
      </c>
      <c r="E86" s="174">
        <f>'EAST-CON-FLSH'!M86</f>
        <v>-614051</v>
      </c>
      <c r="F86" s="174">
        <f>'EAST-CON-GL '!D86</f>
        <v>0</v>
      </c>
      <c r="G86" s="174">
        <f>'EAST-CON-GL '!E86</f>
        <v>-614051</v>
      </c>
      <c r="H86" s="174">
        <f t="shared" ref="H86:I88" si="15">F86-D86</f>
        <v>0</v>
      </c>
      <c r="I86" s="174">
        <f t="shared" si="15"/>
        <v>0</v>
      </c>
    </row>
    <row r="87" spans="1:63" x14ac:dyDescent="0.25">
      <c r="A87" s="173"/>
      <c r="B87" s="3"/>
      <c r="C87" s="10" t="s">
        <v>72</v>
      </c>
      <c r="D87" s="175">
        <f>'EAST-CON-FLSH'!L87</f>
        <v>0</v>
      </c>
      <c r="E87" s="175">
        <f>'EAST-CON-FLSH'!M87</f>
        <v>0</v>
      </c>
      <c r="F87" s="175">
        <f>'EAST-CON-GL '!D87</f>
        <v>0</v>
      </c>
      <c r="G87" s="175">
        <f>'EAST-CON-GL '!E87</f>
        <v>0</v>
      </c>
      <c r="H87" s="175">
        <f t="shared" si="15"/>
        <v>0</v>
      </c>
      <c r="I87" s="175">
        <f t="shared" si="15"/>
        <v>0</v>
      </c>
    </row>
    <row r="88" spans="1:63" x14ac:dyDescent="0.25">
      <c r="A88" s="173"/>
      <c r="B88" s="3"/>
      <c r="C88" s="10" t="s">
        <v>73</v>
      </c>
      <c r="D88" s="176">
        <f>'EAST-CON-FLSH'!L88</f>
        <v>0</v>
      </c>
      <c r="E88" s="176">
        <f>'EAST-CON-FLSH'!M88</f>
        <v>0</v>
      </c>
      <c r="F88" s="176">
        <f>'EAST-CON-GL '!D88</f>
        <v>0</v>
      </c>
      <c r="G88" s="176">
        <f>'EAST-CON-GL '!E88</f>
        <v>0</v>
      </c>
      <c r="H88" s="176">
        <f t="shared" si="15"/>
        <v>0</v>
      </c>
      <c r="I88" s="176">
        <f t="shared" si="15"/>
        <v>0</v>
      </c>
    </row>
    <row r="89" spans="1:63" ht="15" x14ac:dyDescent="0.25">
      <c r="A89" s="180"/>
      <c r="B89" s="181"/>
      <c r="C89" s="186" t="s">
        <v>176</v>
      </c>
      <c r="D89" s="184">
        <f t="shared" ref="D89:I89" si="16">SUM(D86:D88)</f>
        <v>0</v>
      </c>
      <c r="E89" s="184">
        <f t="shared" si="16"/>
        <v>-614051</v>
      </c>
      <c r="F89" s="184">
        <f t="shared" si="16"/>
        <v>0</v>
      </c>
      <c r="G89" s="184">
        <f t="shared" si="16"/>
        <v>-614051</v>
      </c>
      <c r="H89" s="184">
        <f t="shared" si="16"/>
        <v>0</v>
      </c>
      <c r="I89" s="184">
        <f t="shared" si="16"/>
        <v>0</v>
      </c>
    </row>
    <row r="90" spans="1:63" x14ac:dyDescent="0.25">
      <c r="A90" s="4"/>
      <c r="B90" s="3"/>
      <c r="F90" s="31"/>
      <c r="G90" s="31"/>
      <c r="H90" s="31"/>
      <c r="I90" s="31"/>
    </row>
    <row r="91" spans="1:63" s="145" customFormat="1" x14ac:dyDescent="0.25">
      <c r="A91" s="187"/>
      <c r="B91" s="188"/>
      <c r="C91" s="186" t="s">
        <v>179</v>
      </c>
      <c r="D91" s="189">
        <f t="shared" ref="D91:I91" si="17">+D82+D89</f>
        <v>0</v>
      </c>
      <c r="E91" s="189">
        <f t="shared" si="17"/>
        <v>-2218923.644299983</v>
      </c>
      <c r="F91" s="189">
        <f t="shared" si="17"/>
        <v>0</v>
      </c>
      <c r="G91" s="189">
        <f t="shared" si="17"/>
        <v>-1638035.5410000524</v>
      </c>
      <c r="H91" s="189">
        <f t="shared" si="17"/>
        <v>0</v>
      </c>
      <c r="I91" s="189">
        <f t="shared" si="17"/>
        <v>580888.103299979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93"/>
      <c r="B94" s="194"/>
      <c r="D94" s="31"/>
      <c r="E94" s="14">
        <f>+'EAST-EGM-VAR'!E91+'EAST-LRC-VAR'!E82</f>
        <v>-2218923.6442999979</v>
      </c>
      <c r="G94" s="14">
        <f>+'EAST-EGM-VAR'!G91+'EAST-LRC-VAR'!G82</f>
        <v>-1638035.5510000526</v>
      </c>
      <c r="I94" s="14">
        <f>+'EAST-EGM-VAR'!I91+'EAST-LRC-VAR'!I82</f>
        <v>580888.09329994582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27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28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29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27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28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29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37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41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48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57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69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71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73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E74" sqref="E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'TX-EGM-FLSH'!L11</f>
        <v>15053190</v>
      </c>
      <c r="E11" s="66">
        <f>'TX-EGM-FLSH'!M11</f>
        <v>34958248.75</v>
      </c>
      <c r="F11" s="60">
        <f>'TX-EGM-GL'!D11</f>
        <v>11376818</v>
      </c>
      <c r="G11" s="38">
        <f>'TX-EGM-GL'!E11</f>
        <v>28803941.789999999</v>
      </c>
      <c r="H11" s="60">
        <f>F11-D11</f>
        <v>-3676372</v>
      </c>
      <c r="I11" s="38">
        <f>G11-E11</f>
        <v>-6154306.9600000009</v>
      </c>
    </row>
    <row r="12" spans="1:22" x14ac:dyDescent="0.25">
      <c r="A12" s="9">
        <v>2</v>
      </c>
      <c r="B12" s="7"/>
      <c r="C12" s="18" t="s">
        <v>27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-873727.1</v>
      </c>
      <c r="H12" s="60">
        <f>F12-D12</f>
        <v>0</v>
      </c>
      <c r="I12" s="38">
        <f>G12-E12</f>
        <v>-873727.1</v>
      </c>
    </row>
    <row r="13" spans="1:22" x14ac:dyDescent="0.25">
      <c r="A13" s="9">
        <v>3</v>
      </c>
      <c r="B13" s="7"/>
      <c r="C13" s="18" t="s">
        <v>28</v>
      </c>
      <c r="D13" s="65">
        <f>'TX-EGM-FLSH'!L13</f>
        <v>44000</v>
      </c>
      <c r="E13" s="66">
        <f>'TX-EGM-FLSH'!M13</f>
        <v>100260</v>
      </c>
      <c r="F13" s="60">
        <f>'TX-EGM-GL'!D13</f>
        <v>2987342</v>
      </c>
      <c r="G13" s="38">
        <f>'TX-EGM-GL'!E13</f>
        <v>6773411</v>
      </c>
      <c r="H13" s="60">
        <f t="shared" ref="H13:I15" si="0">F13-D13</f>
        <v>2943342</v>
      </c>
      <c r="I13" s="38">
        <f t="shared" si="0"/>
        <v>6673151</v>
      </c>
    </row>
    <row r="14" spans="1:22" x14ac:dyDescent="0.25">
      <c r="A14" s="9">
        <v>4</v>
      </c>
      <c r="B14" s="7"/>
      <c r="C14" s="18" t="s">
        <v>29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15097190</v>
      </c>
      <c r="E16" s="39">
        <f t="shared" si="1"/>
        <v>35058508.75</v>
      </c>
      <c r="F16" s="61">
        <f t="shared" si="1"/>
        <v>14364160</v>
      </c>
      <c r="G16" s="39">
        <f t="shared" si="1"/>
        <v>34703625.689999998</v>
      </c>
      <c r="H16" s="61">
        <f t="shared" si="1"/>
        <v>-733030</v>
      </c>
      <c r="I16" s="39">
        <f t="shared" si="1"/>
        <v>-354883.06000000052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'TX-EGM-FLSH'!L19</f>
        <v>-13378691</v>
      </c>
      <c r="E19" s="66">
        <f>'TX-EGM-FLSH'!M19</f>
        <v>-30654838.479999997</v>
      </c>
      <c r="F19" s="60">
        <f>'TX-EGM-GL'!D19</f>
        <v>-2717997</v>
      </c>
      <c r="G19" s="38">
        <f>'TX-EGM-GL'!E19</f>
        <v>-5995834.3999999994</v>
      </c>
      <c r="H19" s="60">
        <f>F19-D19</f>
        <v>10660694</v>
      </c>
      <c r="I19" s="38">
        <f>G19-E19</f>
        <v>24659004.079999998</v>
      </c>
    </row>
    <row r="20" spans="1:9" x14ac:dyDescent="0.25">
      <c r="A20" s="9">
        <v>7</v>
      </c>
      <c r="B20" s="7"/>
      <c r="C20" s="18" t="s">
        <v>27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-367328.82</v>
      </c>
      <c r="H20" s="60">
        <f>F20-D20</f>
        <v>0</v>
      </c>
      <c r="I20" s="38">
        <f>G20-E20</f>
        <v>-367328.82</v>
      </c>
    </row>
    <row r="21" spans="1:9" x14ac:dyDescent="0.25">
      <c r="A21" s="9">
        <v>8</v>
      </c>
      <c r="B21" s="7"/>
      <c r="C21" s="18" t="s">
        <v>28</v>
      </c>
      <c r="D21" s="65">
        <f>'TX-EGM-FLSH'!L21</f>
        <v>-377319</v>
      </c>
      <c r="E21" s="66">
        <f>'TX-EGM-FLSH'!M21</f>
        <v>-851928.06</v>
      </c>
      <c r="F21" s="60">
        <f>'TX-EGM-GL'!D21</f>
        <v>-3320661</v>
      </c>
      <c r="G21" s="38">
        <f>'TX-EGM-GL'!E21</f>
        <v>-7525079</v>
      </c>
      <c r="H21" s="60">
        <f t="shared" ref="H21:I23" si="2">F21-D21</f>
        <v>-2943342</v>
      </c>
      <c r="I21" s="38">
        <f t="shared" si="2"/>
        <v>-6673150.9399999995</v>
      </c>
    </row>
    <row r="22" spans="1:9" x14ac:dyDescent="0.25">
      <c r="A22" s="9">
        <v>9</v>
      </c>
      <c r="B22" s="7"/>
      <c r="C22" s="18" t="s">
        <v>29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'TX-EGM-FLSH'!L23</f>
        <v>18895</v>
      </c>
      <c r="E23" s="66">
        <f>'TX-EGM-FLSH'!M23</f>
        <v>42826.080000000002</v>
      </c>
      <c r="F23" s="60">
        <f>'TX-EGM-GL'!D23</f>
        <v>3705</v>
      </c>
      <c r="G23" s="38">
        <f>'TX-EGM-GL'!E23</f>
        <v>8336.25</v>
      </c>
      <c r="H23" s="60">
        <f t="shared" si="2"/>
        <v>-15190</v>
      </c>
      <c r="I23" s="38">
        <f t="shared" si="2"/>
        <v>-34489.83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-13737115</v>
      </c>
      <c r="E24" s="39">
        <f t="shared" si="3"/>
        <v>-31463940.459999997</v>
      </c>
      <c r="F24" s="61">
        <f t="shared" si="3"/>
        <v>-6034953</v>
      </c>
      <c r="G24" s="39">
        <f t="shared" si="3"/>
        <v>-13879905.969999999</v>
      </c>
      <c r="H24" s="61">
        <f t="shared" si="3"/>
        <v>7702162</v>
      </c>
      <c r="I24" s="39">
        <f t="shared" si="3"/>
        <v>17584034.490000002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'TX-EGM-FLSH'!L27</f>
        <v>2943342</v>
      </c>
      <c r="E27" s="66">
        <f>'TX-EGM-FLSH'!M27</f>
        <v>6673148.3600000003</v>
      </c>
      <c r="F27" s="60">
        <f>'TX-EGM-GL'!D27</f>
        <v>3243402</v>
      </c>
      <c r="G27" s="38">
        <f>'TX-EGM-GL'!E27</f>
        <v>7437229.0800000001</v>
      </c>
      <c r="H27" s="60">
        <f>F27-D27</f>
        <v>300060</v>
      </c>
      <c r="I27" s="38">
        <f>G27-E27</f>
        <v>764080.71999999974</v>
      </c>
    </row>
    <row r="28" spans="1:9" x14ac:dyDescent="0.25">
      <c r="A28" s="9">
        <v>12</v>
      </c>
      <c r="B28" s="7"/>
      <c r="C28" s="18" t="s">
        <v>37</v>
      </c>
      <c r="D28" s="65">
        <f>'TX-EGM-FLSH'!L28</f>
        <v>-2943342</v>
      </c>
      <c r="E28" s="66">
        <f>'TX-EGM-FLSH'!M28</f>
        <v>-6673148.3600000003</v>
      </c>
      <c r="F28" s="60">
        <f>'TX-EGM-GL'!D28</f>
        <v>-8406097</v>
      </c>
      <c r="G28" s="38">
        <f>'TX-EGM-GL'!E28</f>
        <v>-19348337.84</v>
      </c>
      <c r="H28" s="60">
        <f>F28-D28</f>
        <v>-5462755</v>
      </c>
      <c r="I28" s="38">
        <f>G28-E28</f>
        <v>-12675189.48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-5162695</v>
      </c>
      <c r="G29" s="70">
        <f t="shared" si="4"/>
        <v>-11911108.76</v>
      </c>
      <c r="H29" s="69">
        <f t="shared" si="4"/>
        <v>-5162695</v>
      </c>
      <c r="I29" s="70">
        <f t="shared" si="4"/>
        <v>-11911108.760000002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'TX-EGM-FLSH'!L32</f>
        <v>0</v>
      </c>
      <c r="E32" s="66">
        <f>'TX-EGM-FLSH'!M32</f>
        <v>0</v>
      </c>
      <c r="F32" s="60">
        <f>'TX-EGM-GL'!D32</f>
        <v>-18505</v>
      </c>
      <c r="G32" s="38">
        <f>'TX-EGM-GL'!E32</f>
        <v>-41636.106000000553</v>
      </c>
      <c r="H32" s="60">
        <f>F32-D32</f>
        <v>-18505</v>
      </c>
      <c r="I32" s="38">
        <f>G32-E32</f>
        <v>-41636.106000000553</v>
      </c>
    </row>
    <row r="33" spans="1:9" x14ac:dyDescent="0.25">
      <c r="A33" s="9">
        <v>14</v>
      </c>
      <c r="B33" s="7"/>
      <c r="C33" s="18" t="s">
        <v>41</v>
      </c>
      <c r="D33" s="65">
        <f>'TX-EGM-FLSH'!L33</f>
        <v>-1360075</v>
      </c>
      <c r="E33" s="66">
        <f>'TX-EGM-FLSH'!M33</f>
        <v>-2471638.2538640974</v>
      </c>
      <c r="F33" s="60">
        <f>'TX-EGM-GL'!D33</f>
        <v>0</v>
      </c>
      <c r="G33" s="38">
        <f>'TX-EGM-GL'!E33</f>
        <v>0</v>
      </c>
      <c r="H33" s="60">
        <f t="shared" ref="H33:I35" si="5">F33-D33</f>
        <v>1360075</v>
      </c>
      <c r="I33" s="38">
        <f t="shared" si="5"/>
        <v>2471638.2538640974</v>
      </c>
    </row>
    <row r="34" spans="1:9" x14ac:dyDescent="0.25">
      <c r="A34" s="9">
        <v>15</v>
      </c>
      <c r="B34" s="7"/>
      <c r="C34" s="18" t="s">
        <v>42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-1360075</v>
      </c>
      <c r="E36" s="39">
        <f t="shared" si="6"/>
        <v>-2471638.2538640974</v>
      </c>
      <c r="F36" s="61">
        <f t="shared" si="6"/>
        <v>-18505</v>
      </c>
      <c r="G36" s="39">
        <f t="shared" si="6"/>
        <v>-41636.096000000551</v>
      </c>
      <c r="H36" s="61">
        <f t="shared" si="6"/>
        <v>1341570</v>
      </c>
      <c r="I36" s="39">
        <f t="shared" si="6"/>
        <v>2430002.1578640966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'TX-EGM-FLSH'!L39</f>
        <v>0</v>
      </c>
      <c r="E39" s="66">
        <f>'TX-EGM-FLSH'!M39</f>
        <v>0</v>
      </c>
      <c r="F39" s="60">
        <f>'TX-EGM-GL'!D39</f>
        <v>6331652</v>
      </c>
      <c r="G39" s="38">
        <f>'TX-EGM-GL'!E39</f>
        <v>17497520.300000001</v>
      </c>
      <c r="H39" s="60">
        <f t="shared" ref="H39:I41" si="7">F39-D39</f>
        <v>6331652</v>
      </c>
      <c r="I39" s="38">
        <f t="shared" si="7"/>
        <v>17497520.300000001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'TX-EGM-FLSH'!L40</f>
        <v>0</v>
      </c>
      <c r="E40" s="66">
        <f>'TX-EGM-FLSH'!M40</f>
        <v>0</v>
      </c>
      <c r="F40" s="60">
        <f>'TX-EGM-GL'!D40</f>
        <v>-9467487</v>
      </c>
      <c r="G40" s="38">
        <f>'TX-EGM-GL'!E40</f>
        <v>-24607974.5</v>
      </c>
      <c r="H40" s="60">
        <f t="shared" si="7"/>
        <v>-9467487</v>
      </c>
      <c r="I40" s="38">
        <f t="shared" si="7"/>
        <v>-24607974.5</v>
      </c>
    </row>
    <row r="41" spans="1:9" x14ac:dyDescent="0.25">
      <c r="A41" s="9">
        <v>19</v>
      </c>
      <c r="B41" s="7"/>
      <c r="C41" s="18" t="s">
        <v>48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-564737</v>
      </c>
      <c r="H41" s="60">
        <f t="shared" si="7"/>
        <v>0</v>
      </c>
      <c r="I41" s="38">
        <f t="shared" si="7"/>
        <v>-564737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-9467487</v>
      </c>
      <c r="G42" s="70">
        <f t="shared" si="8"/>
        <v>-25172711.5</v>
      </c>
      <c r="H42" s="69">
        <f t="shared" si="8"/>
        <v>-9467487</v>
      </c>
      <c r="I42" s="70">
        <f t="shared" si="8"/>
        <v>-25172711.5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-3135835</v>
      </c>
      <c r="G43" s="39">
        <f t="shared" si="9"/>
        <v>-7675191.1999999993</v>
      </c>
      <c r="H43" s="61">
        <f t="shared" si="9"/>
        <v>-3135835</v>
      </c>
      <c r="I43" s="39">
        <f t="shared" si="9"/>
        <v>-7675191.1999999993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-12172</v>
      </c>
      <c r="G49" s="38">
        <f>'TX-EGM-GL'!E49</f>
        <v>-27387</v>
      </c>
      <c r="H49" s="60">
        <f>F49-D49</f>
        <v>-12172</v>
      </c>
      <c r="I49" s="38">
        <f>G49-E49</f>
        <v>-27387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'TX-EGM-FLSH'!L51</f>
        <v>0</v>
      </c>
      <c r="E51" s="66">
        <f>'TX-EGM-FLSH'!M51</f>
        <v>0</v>
      </c>
      <c r="F51" s="60">
        <f>'TX-EGM-GL'!D51</f>
        <v>-3705</v>
      </c>
      <c r="G51" s="38">
        <f>'TX-EGM-GL'!E51</f>
        <v>-8336.25</v>
      </c>
      <c r="H51" s="60">
        <f>F51-D51</f>
        <v>-3705</v>
      </c>
      <c r="I51" s="38">
        <f>G51-E51</f>
        <v>-8336.25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'TX-EGM-FLSH'!L54</f>
        <v>0</v>
      </c>
      <c r="E54" s="66">
        <f>'TX-EGM-FLSH'!M54</f>
        <v>-36628.601000000002</v>
      </c>
      <c r="F54" s="60">
        <f>'TX-EGM-GL'!D54</f>
        <v>-7873324</v>
      </c>
      <c r="G54" s="38">
        <f>'TX-EGM-GL'!E54</f>
        <v>-323179.73</v>
      </c>
      <c r="H54" s="60">
        <f>F54-D54</f>
        <v>-7873324</v>
      </c>
      <c r="I54" s="38">
        <f>G54-E54</f>
        <v>-286551.12899999996</v>
      </c>
    </row>
    <row r="55" spans="1:9" x14ac:dyDescent="0.25">
      <c r="A55" s="9">
        <v>25</v>
      </c>
      <c r="B55" s="7"/>
      <c r="C55" s="18" t="s">
        <v>57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-36628.601000000002</v>
      </c>
      <c r="F56" s="61">
        <f t="shared" si="10"/>
        <v>-7873324</v>
      </c>
      <c r="G56" s="39">
        <f t="shared" si="10"/>
        <v>-323179.73</v>
      </c>
      <c r="H56" s="61">
        <f t="shared" si="10"/>
        <v>-7873324</v>
      </c>
      <c r="I56" s="39">
        <f t="shared" si="10"/>
        <v>-286551.12899999996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'TX-EGM-FLSH'!L64</f>
        <v>0</v>
      </c>
      <c r="E64" s="66">
        <f>'TX-EGM-FLSH'!M64</f>
        <v>0</v>
      </c>
      <c r="F64" s="60">
        <f>'TX-EGM-GL'!D64</f>
        <v>-13335809</v>
      </c>
      <c r="G64" s="38">
        <f>'TX-EGM-GL'!E64</f>
        <v>-359207.36000000004</v>
      </c>
      <c r="H64" s="60">
        <f>F64-D64</f>
        <v>-13335809</v>
      </c>
      <c r="I64" s="38">
        <f>G64-E64</f>
        <v>-359207.36000000004</v>
      </c>
    </row>
    <row r="65" spans="1:9" x14ac:dyDescent="0.25">
      <c r="A65" s="9">
        <v>29</v>
      </c>
      <c r="B65" s="11"/>
      <c r="C65" s="18" t="s">
        <v>64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-13335809</v>
      </c>
      <c r="G66" s="39">
        <f t="shared" si="12"/>
        <v>-359207.36000000004</v>
      </c>
      <c r="H66" s="61">
        <f t="shared" si="12"/>
        <v>-13335809</v>
      </c>
      <c r="I66" s="39">
        <f t="shared" si="12"/>
        <v>-359207.36000000004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'TX-EGM-FLSH'!L70</f>
        <v>0</v>
      </c>
      <c r="E70" s="66">
        <f>'TX-EGM-FLSH'!M70</f>
        <v>768385.66</v>
      </c>
      <c r="F70" s="60">
        <f>'TX-EGM-GL'!D70</f>
        <v>0</v>
      </c>
      <c r="G70" s="38">
        <f>'TX-EGM-GL'!E70</f>
        <v>768386</v>
      </c>
      <c r="H70" s="60">
        <f>F70-D70</f>
        <v>0</v>
      </c>
      <c r="I70" s="38">
        <f>G70-E70</f>
        <v>0.33999999996740371</v>
      </c>
    </row>
    <row r="71" spans="1:9" x14ac:dyDescent="0.25">
      <c r="A71" s="9">
        <v>31</v>
      </c>
      <c r="B71" s="3"/>
      <c r="C71" s="10" t="s">
        <v>69</v>
      </c>
      <c r="D71" s="65">
        <f>'TX-EGM-FLSH'!L71</f>
        <v>0</v>
      </c>
      <c r="E71" s="66">
        <f>'TX-EGM-FLSH'!M71</f>
        <v>-722257</v>
      </c>
      <c r="F71" s="60">
        <f>'TX-EGM-GL'!D71</f>
        <v>0</v>
      </c>
      <c r="G71" s="38">
        <f>'TX-EGM-GL'!E71</f>
        <v>-722249</v>
      </c>
      <c r="H71" s="60">
        <f>F71-D71</f>
        <v>0</v>
      </c>
      <c r="I71" s="38">
        <f>G71-E71</f>
        <v>8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46128.660000000033</v>
      </c>
      <c r="F72" s="69">
        <f t="shared" si="13"/>
        <v>0</v>
      </c>
      <c r="G72" s="70">
        <f t="shared" si="13"/>
        <v>46137</v>
      </c>
      <c r="H72" s="69">
        <f t="shared" si="13"/>
        <v>0</v>
      </c>
      <c r="I72" s="70">
        <f t="shared" si="13"/>
        <v>8.3399999999674037</v>
      </c>
    </row>
    <row r="73" spans="1:9" x14ac:dyDescent="0.25">
      <c r="A73" s="9">
        <v>32</v>
      </c>
      <c r="B73" s="3"/>
      <c r="C73" s="10" t="s">
        <v>71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'TX-EGM-FLSH'!L74</f>
        <v>0</v>
      </c>
      <c r="E74" s="66">
        <f>'TX-EGM-FLSH'!M74</f>
        <v>568974.31000000006</v>
      </c>
      <c r="F74" s="60">
        <f>'TX-EGM-GL'!D74</f>
        <v>0</v>
      </c>
      <c r="G74" s="38">
        <f>'TX-EGM-GL'!E74</f>
        <v>0</v>
      </c>
      <c r="H74" s="60">
        <f t="shared" ref="H74:I79" si="14">F74-D74</f>
        <v>0</v>
      </c>
      <c r="I74" s="38">
        <f t="shared" si="14"/>
        <v>-568974.31000000006</v>
      </c>
    </row>
    <row r="75" spans="1:9" x14ac:dyDescent="0.25">
      <c r="A75" s="9">
        <v>34</v>
      </c>
      <c r="B75" s="3"/>
      <c r="C75" s="10" t="s">
        <v>73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56900</v>
      </c>
      <c r="H75" s="60">
        <f t="shared" si="14"/>
        <v>0</v>
      </c>
      <c r="I75" s="38">
        <f t="shared" si="14"/>
        <v>56900</v>
      </c>
    </row>
    <row r="76" spans="1:9" x14ac:dyDescent="0.25">
      <c r="A76" s="9">
        <v>35</v>
      </c>
      <c r="B76" s="3"/>
      <c r="C76" s="10" t="s">
        <v>74</v>
      </c>
      <c r="D76" s="65">
        <f>'TX-EGM-FLSH'!L76</f>
        <v>0</v>
      </c>
      <c r="E76" s="66">
        <f>'TX-EGM-FLSH'!M76</f>
        <v>-15891</v>
      </c>
      <c r="F76" s="60">
        <f>'TX-EGM-GL'!D76</f>
        <v>0</v>
      </c>
      <c r="G76" s="38">
        <f>'TX-EGM-GL'!E76</f>
        <v>-3979</v>
      </c>
      <c r="H76" s="60">
        <f t="shared" si="14"/>
        <v>0</v>
      </c>
      <c r="I76" s="38">
        <f t="shared" si="14"/>
        <v>11912</v>
      </c>
    </row>
    <row r="77" spans="1:9" x14ac:dyDescent="0.25">
      <c r="A77" s="9">
        <v>36</v>
      </c>
      <c r="B77" s="3"/>
      <c r="C77" s="10" t="s">
        <v>75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'TX-EGM-FLSH'!L81</f>
        <v>0</v>
      </c>
      <c r="E81" s="66">
        <f>'TX-EGM-FLSH'!M81</f>
        <v>-134929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134929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1550584.4051359042</v>
      </c>
      <c r="F82" s="111">
        <f>F16+F24+F29+F36+F43+F45+F47+F49</f>
        <v>0</v>
      </c>
      <c r="G82" s="112">
        <f>SUM(G72:G81)+G16+G24+G29+G36+G43+G45+G47+G49+G51+G56+G61+G66</f>
        <v>576731.32399999886</v>
      </c>
      <c r="H82" s="111">
        <f>H16+H24+H29+H36+H43+H45+H47+H49</f>
        <v>0</v>
      </c>
      <c r="I82" s="112">
        <f>SUM(I72:I81)+I16+I24+I29+I36+I43+I45+I47+I49+I51+I56+I61+I66</f>
        <v>-973853.08113590349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170</v>
      </c>
      <c r="B85" s="3"/>
      <c r="F85" s="31"/>
      <c r="G85" s="31"/>
      <c r="H85" s="31"/>
      <c r="I85" s="31"/>
    </row>
    <row r="86" spans="1:63" x14ac:dyDescent="0.25">
      <c r="A86" s="173"/>
      <c r="B86" s="3"/>
      <c r="C86" s="10" t="s">
        <v>173</v>
      </c>
      <c r="D86" s="174">
        <f>'TX-EGM-FLSH'!L86</f>
        <v>0</v>
      </c>
      <c r="E86" s="174">
        <f>'TX-EGM-FLSH'!M86</f>
        <v>-92073</v>
      </c>
      <c r="F86" s="174">
        <f>'TX-EGM-GL'!D86</f>
        <v>0</v>
      </c>
      <c r="G86" s="174">
        <f>'TX-EGM-GL'!E86</f>
        <v>746948</v>
      </c>
      <c r="H86" s="174">
        <f t="shared" ref="H86:I88" si="15">F86-D86</f>
        <v>0</v>
      </c>
      <c r="I86" s="174">
        <f t="shared" si="15"/>
        <v>839021</v>
      </c>
    </row>
    <row r="87" spans="1:63" x14ac:dyDescent="0.25">
      <c r="A87" s="173"/>
      <c r="B87" s="3"/>
      <c r="C87" s="10" t="s">
        <v>72</v>
      </c>
      <c r="D87" s="175">
        <f>'TX-EGM-FLSH'!L87</f>
        <v>0</v>
      </c>
      <c r="E87" s="175">
        <f>'TX-EGM-FLSH'!M87</f>
        <v>0</v>
      </c>
      <c r="F87" s="175">
        <f>'TX-EGM-GL'!D87</f>
        <v>0</v>
      </c>
      <c r="G87" s="175">
        <f>'TX-EGM-GL'!E87</f>
        <v>0</v>
      </c>
      <c r="H87" s="175">
        <f t="shared" si="15"/>
        <v>0</v>
      </c>
      <c r="I87" s="175">
        <f t="shared" si="15"/>
        <v>0</v>
      </c>
    </row>
    <row r="88" spans="1:63" x14ac:dyDescent="0.25">
      <c r="A88" s="173"/>
      <c r="B88" s="3"/>
      <c r="C88" s="10" t="s">
        <v>73</v>
      </c>
      <c r="D88" s="176">
        <f>'TX-EGM-FLSH'!L88</f>
        <v>0</v>
      </c>
      <c r="E88" s="176">
        <f>'TX-EGM-FLSH'!M88</f>
        <v>0</v>
      </c>
      <c r="F88" s="176">
        <f>'TX-EGM-GL'!D88</f>
        <v>0</v>
      </c>
      <c r="G88" s="176">
        <f>'TX-EGM-GL'!E88</f>
        <v>-692800</v>
      </c>
      <c r="H88" s="176">
        <f t="shared" si="15"/>
        <v>0</v>
      </c>
      <c r="I88" s="176">
        <f t="shared" si="15"/>
        <v>-692800</v>
      </c>
    </row>
    <row r="89" spans="1:63" s="145" customFormat="1" x14ac:dyDescent="0.25">
      <c r="A89" s="187"/>
      <c r="B89" s="188"/>
      <c r="C89" s="186" t="s">
        <v>176</v>
      </c>
      <c r="D89" s="189">
        <f t="shared" ref="D89:I89" si="16">SUM(D86:D88)</f>
        <v>0</v>
      </c>
      <c r="E89" s="189">
        <f t="shared" si="16"/>
        <v>-92073</v>
      </c>
      <c r="F89" s="189">
        <f t="shared" si="16"/>
        <v>0</v>
      </c>
      <c r="G89" s="189">
        <f t="shared" si="16"/>
        <v>54148</v>
      </c>
      <c r="H89" s="189">
        <f t="shared" si="16"/>
        <v>0</v>
      </c>
      <c r="I89" s="189">
        <f t="shared" si="16"/>
        <v>146221</v>
      </c>
    </row>
    <row r="90" spans="1:63" s="145" customFormat="1" x14ac:dyDescent="0.25">
      <c r="A90" s="191"/>
      <c r="B90" s="188"/>
      <c r="D90" s="192"/>
      <c r="E90" s="192"/>
      <c r="F90" s="192"/>
      <c r="G90" s="192"/>
      <c r="H90" s="192"/>
      <c r="I90" s="192"/>
    </row>
    <row r="91" spans="1:63" s="145" customFormat="1" x14ac:dyDescent="0.25">
      <c r="A91" s="187"/>
      <c r="B91" s="188"/>
      <c r="C91" s="186" t="s">
        <v>179</v>
      </c>
      <c r="D91" s="189">
        <f t="shared" ref="D91:I91" si="17">+D82+D89</f>
        <v>0</v>
      </c>
      <c r="E91" s="189">
        <f t="shared" si="17"/>
        <v>1458511.4051359042</v>
      </c>
      <c r="F91" s="189">
        <f t="shared" si="17"/>
        <v>0</v>
      </c>
      <c r="G91" s="189">
        <f t="shared" si="17"/>
        <v>630879.32399999886</v>
      </c>
      <c r="H91" s="189">
        <f t="shared" si="17"/>
        <v>0</v>
      </c>
      <c r="I91" s="189">
        <f t="shared" si="17"/>
        <v>-827632.08113590349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77" sqref="F77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190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'TX-HPLR-FLSH'!L11</f>
        <v>682365</v>
      </c>
      <c r="E11" s="66">
        <f>'TX-HPLR-FLSH'!M11</f>
        <v>1542795.25</v>
      </c>
      <c r="F11" s="60">
        <f>'TX-HPLR-GL '!D11</f>
        <v>699942</v>
      </c>
      <c r="G11" s="38">
        <f>'TX-HPLR-GL '!E11</f>
        <v>1530696.56</v>
      </c>
      <c r="H11" s="60">
        <f>F11-D11</f>
        <v>17577</v>
      </c>
      <c r="I11" s="38">
        <f>G11-E11</f>
        <v>-12098.689999999944</v>
      </c>
    </row>
    <row r="12" spans="1:22" x14ac:dyDescent="0.25">
      <c r="A12" s="9">
        <v>2</v>
      </c>
      <c r="B12" s="7"/>
      <c r="C12" s="18" t="s">
        <v>27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55813.74</v>
      </c>
      <c r="H12" s="60">
        <f>F12-D12</f>
        <v>0</v>
      </c>
      <c r="I12" s="38">
        <f>G12-E12</f>
        <v>55813.74</v>
      </c>
    </row>
    <row r="13" spans="1:22" x14ac:dyDescent="0.25">
      <c r="A13" s="9">
        <v>3</v>
      </c>
      <c r="B13" s="7"/>
      <c r="C13" s="18" t="s">
        <v>28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29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682365</v>
      </c>
      <c r="E16" s="39">
        <f t="shared" si="1"/>
        <v>1542795.25</v>
      </c>
      <c r="F16" s="61">
        <f t="shared" si="1"/>
        <v>699942</v>
      </c>
      <c r="G16" s="39">
        <f t="shared" si="1"/>
        <v>1586510.3</v>
      </c>
      <c r="H16" s="61">
        <f t="shared" si="1"/>
        <v>17577</v>
      </c>
      <c r="I16" s="39">
        <f t="shared" si="1"/>
        <v>43715.050000000054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'TX-HPLR-FLSH'!L19</f>
        <v>-435341</v>
      </c>
      <c r="E19" s="66">
        <f>'TX-HPLR-FLSH'!M19</f>
        <v>-977352.52000001073</v>
      </c>
      <c r="F19" s="60">
        <f>'TX-HPLR-GL '!D19</f>
        <v>-434000</v>
      </c>
      <c r="G19" s="38">
        <f>'TX-HPLR-GL '!E19</f>
        <v>-974329.98</v>
      </c>
      <c r="H19" s="60">
        <f>F19-D19</f>
        <v>1341</v>
      </c>
      <c r="I19" s="38">
        <f>G19-E19</f>
        <v>3022.5400000107475</v>
      </c>
    </row>
    <row r="20" spans="1:9" x14ac:dyDescent="0.25">
      <c r="A20" s="9">
        <v>7</v>
      </c>
      <c r="B20" s="7"/>
      <c r="C20" s="18" t="s">
        <v>27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28</v>
      </c>
      <c r="D21" s="65">
        <f>'TX-HPLR-FLSH'!L21</f>
        <v>0</v>
      </c>
      <c r="E21" s="66">
        <f>'TX-HPLR-FLSH'!M21</f>
        <v>6.0000000055879354E-2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-6.0000000055879354E-2</v>
      </c>
    </row>
    <row r="22" spans="1:9" x14ac:dyDescent="0.25">
      <c r="A22" s="9">
        <v>9</v>
      </c>
      <c r="B22" s="7"/>
      <c r="C22" s="18" t="s">
        <v>29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'TX-HPLR-FLSH'!L23</f>
        <v>0</v>
      </c>
      <c r="E23" s="66">
        <f>'TX-HPLR-FLSH'!M23</f>
        <v>3.9199999999982538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-3.9199999999982538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-435341</v>
      </c>
      <c r="E24" s="39">
        <f t="shared" si="3"/>
        <v>-977348.54000001063</v>
      </c>
      <c r="F24" s="61">
        <f t="shared" si="3"/>
        <v>-434000</v>
      </c>
      <c r="G24" s="39">
        <f t="shared" si="3"/>
        <v>-974329.98</v>
      </c>
      <c r="H24" s="61">
        <f t="shared" si="3"/>
        <v>1341</v>
      </c>
      <c r="I24" s="39">
        <f t="shared" si="3"/>
        <v>3018.5600000106933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'TX-HPLR-FLSH'!L27</f>
        <v>0</v>
      </c>
      <c r="E27" s="66">
        <f>'TX-HPLR-FLSH'!M27</f>
        <v>2.6400000005960464</v>
      </c>
      <c r="F27" s="60">
        <f>'TX-HPLR-GL '!D27</f>
        <v>-258936</v>
      </c>
      <c r="G27" s="38">
        <f>'TX-HPLR-GL '!E27</f>
        <v>-575069.03749999998</v>
      </c>
      <c r="H27" s="60">
        <f>F27-D27</f>
        <v>-258936</v>
      </c>
      <c r="I27" s="38">
        <f>G27-E27</f>
        <v>-575071.67750000057</v>
      </c>
    </row>
    <row r="28" spans="1:9" x14ac:dyDescent="0.25">
      <c r="A28" s="9">
        <v>12</v>
      </c>
      <c r="B28" s="7"/>
      <c r="C28" s="18" t="s">
        <v>37</v>
      </c>
      <c r="D28" s="65">
        <f>'TX-HPLR-FLSH'!L28</f>
        <v>0</v>
      </c>
      <c r="E28" s="66">
        <f>'TX-HPLR-FLSH'!M28</f>
        <v>-2.6399999996647239</v>
      </c>
      <c r="F28" s="60">
        <f>'TX-HPLR-GL '!D28</f>
        <v>-7006</v>
      </c>
      <c r="G28" s="38">
        <f>'TX-HPLR-GL '!E28</f>
        <v>-15899.49</v>
      </c>
      <c r="H28" s="60">
        <f>F28-D28</f>
        <v>-7006</v>
      </c>
      <c r="I28" s="38">
        <f>G28-E28</f>
        <v>-15896.850000000335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9.3132257461547852E-10</v>
      </c>
      <c r="F29" s="69">
        <f t="shared" si="4"/>
        <v>-265942</v>
      </c>
      <c r="G29" s="70">
        <f t="shared" si="4"/>
        <v>-590968.52749999997</v>
      </c>
      <c r="H29" s="69">
        <f t="shared" si="4"/>
        <v>-265942</v>
      </c>
      <c r="I29" s="70">
        <f t="shared" si="4"/>
        <v>-590968.5275000009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41</v>
      </c>
      <c r="D33" s="65">
        <f>'TX-HPLR-FLSH'!L33</f>
        <v>1360075</v>
      </c>
      <c r="E33" s="66">
        <f>'TX-HPLR-FLSH'!M33</f>
        <v>2471638.2538640974</v>
      </c>
      <c r="F33" s="60">
        <f>'TX-HPLR-GL '!D33</f>
        <v>0</v>
      </c>
      <c r="G33" s="38">
        <f>'TX-HPLR-GL '!E33</f>
        <v>0</v>
      </c>
      <c r="H33" s="60">
        <f t="shared" ref="H33:I35" si="5">F33-D33</f>
        <v>-1360075</v>
      </c>
      <c r="I33" s="38">
        <f t="shared" si="5"/>
        <v>-2471638.2538640974</v>
      </c>
    </row>
    <row r="34" spans="1:9" x14ac:dyDescent="0.25">
      <c r="A34" s="9">
        <v>15</v>
      </c>
      <c r="B34" s="7"/>
      <c r="C34" s="18" t="s">
        <v>42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1360075</v>
      </c>
      <c r="E36" s="39">
        <f t="shared" si="6"/>
        <v>2471638.2538640974</v>
      </c>
      <c r="F36" s="61">
        <f t="shared" si="6"/>
        <v>0</v>
      </c>
      <c r="G36" s="39">
        <f t="shared" si="6"/>
        <v>0</v>
      </c>
      <c r="H36" s="61">
        <f t="shared" si="6"/>
        <v>-1360075</v>
      </c>
      <c r="I36" s="39">
        <f t="shared" si="6"/>
        <v>-2471638.2538640974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48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165834.62</v>
      </c>
      <c r="H47" s="60">
        <f>F47-D47</f>
        <v>0</v>
      </c>
      <c r="I47" s="38">
        <f>G47-E47</f>
        <v>165834.62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'TX-HPLR-FLSH'!L49</f>
        <v>-1607099</v>
      </c>
      <c r="E49" s="66">
        <f>'TX-HPLR-FLSH'!M49</f>
        <v>-3615439.0867906748</v>
      </c>
      <c r="F49" s="60">
        <f>'TX-HPLR-GL '!D49</f>
        <v>0</v>
      </c>
      <c r="G49" s="38">
        <f>'TX-HPLR-GL '!E49</f>
        <v>0</v>
      </c>
      <c r="H49" s="60">
        <f>F49-D49</f>
        <v>1607099</v>
      </c>
      <c r="I49" s="38">
        <f>G49-E49</f>
        <v>3615439.0867906748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'TX-HPLR-FLSH'!L51</f>
        <v>0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57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'TX-HPLR-FLSH'!L64</f>
        <v>0</v>
      </c>
      <c r="E64" s="66">
        <f>'TX-HPLR-FLSH'!M64</f>
        <v>0</v>
      </c>
      <c r="F64" s="60">
        <f>'TX-HPLR-GL '!D64</f>
        <v>-265942</v>
      </c>
      <c r="G64" s="38">
        <f>'TX-HPLR-GL '!E64</f>
        <v>-37888.74</v>
      </c>
      <c r="H64" s="60">
        <f>F64-D64</f>
        <v>-265942</v>
      </c>
      <c r="I64" s="38">
        <f>G64-E64</f>
        <v>-37888.74</v>
      </c>
    </row>
    <row r="65" spans="1:9" x14ac:dyDescent="0.25">
      <c r="A65" s="9">
        <v>29</v>
      </c>
      <c r="B65" s="11"/>
      <c r="C65" s="18" t="s">
        <v>64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-265942</v>
      </c>
      <c r="G66" s="39">
        <f t="shared" si="12"/>
        <v>-37888.74</v>
      </c>
      <c r="H66" s="61">
        <f t="shared" si="12"/>
        <v>-265942</v>
      </c>
      <c r="I66" s="39">
        <f t="shared" si="12"/>
        <v>-37888.74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69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71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73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-578354.12292658724</v>
      </c>
      <c r="F82" s="111">
        <f>F16+F24+F29+F36+F43+F45+F47+F49</f>
        <v>0</v>
      </c>
      <c r="G82" s="112">
        <f>SUM(G72:G81)+G16+G24+G29+G36+G43+G45+G47+G49+G51+G56+G61+G66</f>
        <v>149157.6725000001</v>
      </c>
      <c r="H82" s="111">
        <f>H16+H24+H29+H36+H43+H45+H47+H49</f>
        <v>0</v>
      </c>
      <c r="I82" s="112">
        <f>SUM(I72:I81)+I16+I24+I29+I36+I43+I45+I47+I49+I51+I56+I61+I66</f>
        <v>727511.79542658734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G64" sqref="G6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189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'TX-HPLC-FLSH'!L11</f>
        <v>77567585</v>
      </c>
      <c r="E11" s="66">
        <f>'TX-HPLC-FLSH'!M11</f>
        <v>177683289</v>
      </c>
      <c r="F11" s="60">
        <f>'TX-HPLC-GL'!D11</f>
        <v>39322724</v>
      </c>
      <c r="G11" s="38">
        <f>'TX-HPLC-GL'!E11</f>
        <v>90465883</v>
      </c>
      <c r="H11" s="60">
        <f>F11-D11</f>
        <v>-38244861</v>
      </c>
      <c r="I11" s="38">
        <f>G11-E11</f>
        <v>-87217406</v>
      </c>
    </row>
    <row r="12" spans="1:22" x14ac:dyDescent="0.25">
      <c r="A12" s="9">
        <v>2</v>
      </c>
      <c r="B12" s="7"/>
      <c r="C12" s="18" t="s">
        <v>27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-1831308.25</v>
      </c>
      <c r="H12" s="60">
        <f>F12-D12</f>
        <v>0</v>
      </c>
      <c r="I12" s="38">
        <f>G12-E12</f>
        <v>-1831308.25</v>
      </c>
    </row>
    <row r="13" spans="1:22" x14ac:dyDescent="0.25">
      <c r="A13" s="9">
        <v>3</v>
      </c>
      <c r="B13" s="7"/>
      <c r="C13" s="18" t="s">
        <v>28</v>
      </c>
      <c r="D13" s="65">
        <f>'TX-HPLC-FLSH'!L13</f>
        <v>103181</v>
      </c>
      <c r="E13" s="66">
        <f>'TX-HPLC-FLSH'!M13</f>
        <v>225383</v>
      </c>
      <c r="F13" s="60">
        <f>'TX-HPLC-GL'!D13</f>
        <v>0</v>
      </c>
      <c r="G13" s="38">
        <f>'TX-HPLC-GL'!E13</f>
        <v>0</v>
      </c>
      <c r="H13" s="60">
        <f t="shared" ref="H13:I15" si="0">F13-D13</f>
        <v>-103181</v>
      </c>
      <c r="I13" s="38">
        <f t="shared" si="0"/>
        <v>-225383</v>
      </c>
    </row>
    <row r="14" spans="1:22" x14ac:dyDescent="0.25">
      <c r="A14" s="9">
        <v>4</v>
      </c>
      <c r="B14" s="7"/>
      <c r="C14" s="18" t="s">
        <v>29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77670766</v>
      </c>
      <c r="E16" s="39">
        <f t="shared" si="1"/>
        <v>177908672</v>
      </c>
      <c r="F16" s="61">
        <f t="shared" si="1"/>
        <v>39322724</v>
      </c>
      <c r="G16" s="39">
        <f t="shared" si="1"/>
        <v>88634574.75</v>
      </c>
      <c r="H16" s="61">
        <f t="shared" si="1"/>
        <v>-38348042</v>
      </c>
      <c r="I16" s="39">
        <f t="shared" si="1"/>
        <v>-89274097.25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'TX-HPLC-FLSH'!L19</f>
        <v>-85870752</v>
      </c>
      <c r="E19" s="66">
        <f>'TX-HPLC-FLSH'!M19</f>
        <v>-194528005</v>
      </c>
      <c r="F19" s="60">
        <f>'TX-HPLC-GL'!D19</f>
        <v>-47180876</v>
      </c>
      <c r="G19" s="38">
        <f>'TX-HPLC-GL'!E19</f>
        <v>-104502296</v>
      </c>
      <c r="H19" s="60">
        <f>F19-D19</f>
        <v>38689876</v>
      </c>
      <c r="I19" s="38">
        <f>G19-E19</f>
        <v>90025709</v>
      </c>
    </row>
    <row r="20" spans="1:9" x14ac:dyDescent="0.25">
      <c r="A20" s="9">
        <v>7</v>
      </c>
      <c r="B20" s="7"/>
      <c r="C20" s="18" t="s">
        <v>27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-2670689.64</v>
      </c>
      <c r="H20" s="60">
        <f>F20-D20</f>
        <v>0</v>
      </c>
      <c r="I20" s="38">
        <f>G20-E20</f>
        <v>-2670689.64</v>
      </c>
    </row>
    <row r="21" spans="1:9" x14ac:dyDescent="0.25">
      <c r="A21" s="9">
        <v>8</v>
      </c>
      <c r="B21" s="7"/>
      <c r="C21" s="18" t="s">
        <v>28</v>
      </c>
      <c r="D21" s="65">
        <f>'TX-HPLC-FLSH'!L21</f>
        <v>-798643</v>
      </c>
      <c r="E21" s="66">
        <f>'TX-HPLC-FLSH'!M21</f>
        <v>-1782177</v>
      </c>
      <c r="F21" s="60">
        <f>'TX-HPLC-GL'!D21</f>
        <v>0</v>
      </c>
      <c r="G21" s="38">
        <f>'TX-HPLC-GL'!E21</f>
        <v>0</v>
      </c>
      <c r="H21" s="60">
        <f t="shared" ref="H21:I23" si="2">F21-D21</f>
        <v>798643</v>
      </c>
      <c r="I21" s="38">
        <f t="shared" si="2"/>
        <v>1782177</v>
      </c>
    </row>
    <row r="22" spans="1:9" x14ac:dyDescent="0.25">
      <c r="A22" s="9">
        <v>9</v>
      </c>
      <c r="B22" s="7"/>
      <c r="C22" s="18" t="s">
        <v>29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'TX-HPLC-FLSH'!L23</f>
        <v>46</v>
      </c>
      <c r="E23" s="66">
        <f>'TX-HPLC-FLSH'!M23</f>
        <v>101</v>
      </c>
      <c r="F23" s="60">
        <f>'TX-HPLC-GL'!D23</f>
        <v>0</v>
      </c>
      <c r="G23" s="38">
        <f>'TX-HPLC-GL'!E23</f>
        <v>0</v>
      </c>
      <c r="H23" s="60">
        <f t="shared" si="2"/>
        <v>-46</v>
      </c>
      <c r="I23" s="38">
        <f t="shared" si="2"/>
        <v>-101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-86669349</v>
      </c>
      <c r="E24" s="39">
        <f t="shared" si="3"/>
        <v>-196310081</v>
      </c>
      <c r="F24" s="61">
        <f t="shared" si="3"/>
        <v>-47180876</v>
      </c>
      <c r="G24" s="39">
        <f t="shared" si="3"/>
        <v>-107172985.64</v>
      </c>
      <c r="H24" s="61">
        <f t="shared" si="3"/>
        <v>39488473</v>
      </c>
      <c r="I24" s="39">
        <f t="shared" si="3"/>
        <v>89137095.359999999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'TX-HPLC-FLSH'!L27</f>
        <v>10707281</v>
      </c>
      <c r="E27" s="66">
        <f>'TX-HPLC-FLSH'!M27</f>
        <v>24625547</v>
      </c>
      <c r="F27" s="60">
        <f>'TX-HPLC-GL'!D27</f>
        <v>8522284</v>
      </c>
      <c r="G27" s="38">
        <f>'TX-HPLC-GL'!E27</f>
        <v>19602710</v>
      </c>
      <c r="H27" s="60">
        <f>F27-D27</f>
        <v>-2184997</v>
      </c>
      <c r="I27" s="38">
        <f>G27-E27</f>
        <v>-5022837</v>
      </c>
    </row>
    <row r="28" spans="1:9" x14ac:dyDescent="0.25">
      <c r="A28" s="9">
        <v>12</v>
      </c>
      <c r="B28" s="7"/>
      <c r="C28" s="18" t="s">
        <v>37</v>
      </c>
      <c r="D28" s="65">
        <f>'TX-HPLC-FLSH'!L28</f>
        <v>-3204459</v>
      </c>
      <c r="E28" s="66">
        <f>'TX-HPLC-FLSH'!M28</f>
        <v>-7351721</v>
      </c>
      <c r="F28" s="60">
        <f>'TX-HPLC-GL'!D28</f>
        <v>-3755561</v>
      </c>
      <c r="G28" s="38">
        <f>'TX-HPLC-GL'!E28</f>
        <v>-8576323</v>
      </c>
      <c r="H28" s="60">
        <f>F28-D28</f>
        <v>-551102</v>
      </c>
      <c r="I28" s="38">
        <f>G28-E28</f>
        <v>-1224602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4766723</v>
      </c>
      <c r="G29" s="70">
        <f t="shared" si="4"/>
        <v>11026387</v>
      </c>
      <c r="H29" s="69">
        <f t="shared" si="4"/>
        <v>-2736099</v>
      </c>
      <c r="I29" s="70">
        <f t="shared" si="4"/>
        <v>-6247439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'TX-HPLC-FLSH'!L32</f>
        <v>0</v>
      </c>
      <c r="E32" s="66">
        <f>'TX-HPLC-FLSH'!M32</f>
        <v>0</v>
      </c>
      <c r="F32" s="60">
        <f>'TX-HPLC-GL'!D32</f>
        <v>-277529</v>
      </c>
      <c r="G32" s="38">
        <f>'TX-HPLC-GL'!E32</f>
        <v>-624441</v>
      </c>
      <c r="H32" s="60">
        <f>F32-D32</f>
        <v>-277529</v>
      </c>
      <c r="I32" s="38">
        <f>G32-E32</f>
        <v>-624441</v>
      </c>
    </row>
    <row r="33" spans="1:9" x14ac:dyDescent="0.25">
      <c r="A33" s="9">
        <v>14</v>
      </c>
      <c r="B33" s="7"/>
      <c r="C33" s="18" t="s">
        <v>41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-277529</v>
      </c>
      <c r="G36" s="39">
        <f t="shared" si="6"/>
        <v>-624441</v>
      </c>
      <c r="H36" s="61">
        <f t="shared" si="6"/>
        <v>-277529</v>
      </c>
      <c r="I36" s="39">
        <f t="shared" si="6"/>
        <v>-624441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'TX-HPLC-FLSH'!L39</f>
        <v>1085437</v>
      </c>
      <c r="E39" s="66">
        <f>'TX-HPLC-FLSH'!M39</f>
        <v>3049847</v>
      </c>
      <c r="F39" s="60">
        <f>'TX-HPLC-GL'!D39</f>
        <v>2807729</v>
      </c>
      <c r="G39" s="38">
        <f>'TX-HPLC-GL'!E39</f>
        <v>6379160</v>
      </c>
      <c r="H39" s="60">
        <f t="shared" ref="H39:I41" si="7">F39-D39</f>
        <v>1722292</v>
      </c>
      <c r="I39" s="38">
        <f t="shared" si="7"/>
        <v>3329313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'TX-HPLC-FLSH'!L40</f>
        <v>-1726749</v>
      </c>
      <c r="E40" s="66">
        <f>'TX-HPLC-FLSH'!M40</f>
        <v>-4904312</v>
      </c>
      <c r="F40" s="60">
        <f>'TX-HPLC-GL'!D40</f>
        <v>0</v>
      </c>
      <c r="G40" s="38">
        <f>'TX-HPLC-GL'!E40</f>
        <v>0</v>
      </c>
      <c r="H40" s="60">
        <f t="shared" si="7"/>
        <v>1726749</v>
      </c>
      <c r="I40" s="38">
        <f t="shared" si="7"/>
        <v>4904312</v>
      </c>
    </row>
    <row r="41" spans="1:9" x14ac:dyDescent="0.25">
      <c r="A41" s="9">
        <v>19</v>
      </c>
      <c r="B41" s="7"/>
      <c r="C41" s="18" t="s">
        <v>48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24675</v>
      </c>
      <c r="H41" s="60">
        <f t="shared" si="7"/>
        <v>0</v>
      </c>
      <c r="I41" s="38">
        <f t="shared" si="7"/>
        <v>24675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-1726749</v>
      </c>
      <c r="E42" s="70">
        <f t="shared" si="8"/>
        <v>-4904312</v>
      </c>
      <c r="F42" s="69">
        <f t="shared" si="8"/>
        <v>0</v>
      </c>
      <c r="G42" s="70">
        <f t="shared" si="8"/>
        <v>24675</v>
      </c>
      <c r="H42" s="69">
        <f t="shared" si="8"/>
        <v>1726749</v>
      </c>
      <c r="I42" s="70">
        <f t="shared" si="8"/>
        <v>4928987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-641312</v>
      </c>
      <c r="E43" s="39">
        <f t="shared" si="9"/>
        <v>-1854465</v>
      </c>
      <c r="F43" s="61">
        <f t="shared" si="9"/>
        <v>2807729</v>
      </c>
      <c r="G43" s="39">
        <f t="shared" si="9"/>
        <v>6403835</v>
      </c>
      <c r="H43" s="61">
        <f t="shared" si="9"/>
        <v>3449041</v>
      </c>
      <c r="I43" s="39">
        <f t="shared" si="9"/>
        <v>8258300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'TX-HPLC-FLSH'!L49</f>
        <v>2137073</v>
      </c>
      <c r="E49" s="66">
        <f>'TX-HPLC-FLSH'!M49</f>
        <v>4763737.258267615</v>
      </c>
      <c r="F49" s="60">
        <f>'TX-HPLC-GL'!D49</f>
        <v>561229</v>
      </c>
      <c r="G49" s="38">
        <f>'TX-HPLC-GL'!E49</f>
        <v>1241989</v>
      </c>
      <c r="H49" s="60">
        <f>F49-D49</f>
        <v>-1575844</v>
      </c>
      <c r="I49" s="38">
        <f>G49-E49</f>
        <v>-3521748.258267615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'TX-HPLC-FLSH'!L54</f>
        <v>0</v>
      </c>
      <c r="E54" s="66">
        <f>'TX-HPLC-FLSH'!M54</f>
        <v>-1530336.4990000001</v>
      </c>
      <c r="F54" s="60">
        <f>'TX-HPLC-GL'!D54</f>
        <v>0</v>
      </c>
      <c r="G54" s="38">
        <f>'TX-HPLC-GL'!E54</f>
        <v>-658951</v>
      </c>
      <c r="H54" s="60">
        <f>F54-D54</f>
        <v>0</v>
      </c>
      <c r="I54" s="38">
        <f>G54-E54</f>
        <v>871385.49900000007</v>
      </c>
    </row>
    <row r="55" spans="1:9" x14ac:dyDescent="0.25">
      <c r="A55" s="9">
        <v>25</v>
      </c>
      <c r="B55" s="7"/>
      <c r="C55" s="18" t="s">
        <v>57</v>
      </c>
      <c r="D55" s="65">
        <f>'TX-HPLC-FLSH'!L55</f>
        <v>0</v>
      </c>
      <c r="E55" s="66">
        <f>'TX-HPLC-FLSH'!M55</f>
        <v>-15000</v>
      </c>
      <c r="F55" s="60">
        <f>'TX-HPLC-GL'!D55</f>
        <v>0</v>
      </c>
      <c r="G55" s="38">
        <f>'TX-HPLC-GL'!E55</f>
        <v>0</v>
      </c>
      <c r="H55" s="60">
        <f>F55-D55</f>
        <v>0</v>
      </c>
      <c r="I55" s="38">
        <f>G55-E55</f>
        <v>15000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-1545336.4990000001</v>
      </c>
      <c r="F56" s="61">
        <f t="shared" si="10"/>
        <v>0</v>
      </c>
      <c r="G56" s="39">
        <f t="shared" si="10"/>
        <v>-658951</v>
      </c>
      <c r="H56" s="61">
        <f t="shared" si="10"/>
        <v>0</v>
      </c>
      <c r="I56" s="39">
        <f t="shared" si="10"/>
        <v>886385.49900000007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36</v>
      </c>
      <c r="H60" s="60">
        <f>F60-D60</f>
        <v>0</v>
      </c>
      <c r="I60" s="38">
        <f>G60-E60</f>
        <v>36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36</v>
      </c>
      <c r="H61" s="69">
        <f t="shared" si="11"/>
        <v>0</v>
      </c>
      <c r="I61" s="70">
        <f t="shared" si="11"/>
        <v>36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'TX-HPLC-FLSH'!L64</f>
        <v>0</v>
      </c>
      <c r="E64" s="66">
        <f>'TX-HPLC-FLSH'!M64</f>
        <v>0</v>
      </c>
      <c r="F64" s="60">
        <f>'TX-HPLC-GL'!D64</f>
        <v>2123642</v>
      </c>
      <c r="G64" s="38">
        <f>'TX-HPLC-GL'!E64</f>
        <v>0</v>
      </c>
      <c r="H64" s="60">
        <f>F64-D64</f>
        <v>2123642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'TX-HPLC-FLSH'!L65</f>
        <v>0</v>
      </c>
      <c r="E65" s="66">
        <f>'TX-HPLC-FLSH'!M65</f>
        <v>0</v>
      </c>
      <c r="F65" s="60">
        <f>'TX-HPLC-GL'!D65</f>
        <v>22302</v>
      </c>
      <c r="G65" s="38">
        <f>'TX-HPLC-GL'!E65</f>
        <v>0</v>
      </c>
      <c r="H65" s="60">
        <f>F65-D65</f>
        <v>22302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2145944</v>
      </c>
      <c r="G66" s="39">
        <f t="shared" si="12"/>
        <v>0</v>
      </c>
      <c r="H66" s="61">
        <f t="shared" si="12"/>
        <v>2145944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69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71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1725539</v>
      </c>
      <c r="H74" s="60">
        <f t="shared" ref="H74:I79" si="14">F74-D74</f>
        <v>0</v>
      </c>
      <c r="I74" s="38">
        <f t="shared" si="14"/>
        <v>1725539</v>
      </c>
    </row>
    <row r="75" spans="1:9" x14ac:dyDescent="0.25">
      <c r="A75" s="9">
        <v>34</v>
      </c>
      <c r="B75" s="3"/>
      <c r="C75" s="10" t="s">
        <v>73</v>
      </c>
      <c r="D75" s="65">
        <f>'TX-HPLC-FLSH'!L75</f>
        <v>0</v>
      </c>
      <c r="E75" s="66">
        <f>'TX-HPLC-FLSH'!M75</f>
        <v>56890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-56890</v>
      </c>
    </row>
    <row r="76" spans="1:9" x14ac:dyDescent="0.25">
      <c r="A76" s="9">
        <v>35</v>
      </c>
      <c r="B76" s="3"/>
      <c r="C76" s="10" t="s">
        <v>74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'TX-HPLC-FLSH'!L77</f>
        <v>0</v>
      </c>
      <c r="E77" s="66">
        <f>'TX-HPLC-FLSH'!M77</f>
        <v>-103300</v>
      </c>
      <c r="F77" s="60">
        <f>'TX-HPLC-GL'!D77</f>
        <v>0</v>
      </c>
      <c r="G77" s="38">
        <f>'TX-HPLC-GL'!E77</f>
        <v>-15000</v>
      </c>
      <c r="H77" s="60">
        <f t="shared" si="14"/>
        <v>0</v>
      </c>
      <c r="I77" s="38">
        <f t="shared" si="14"/>
        <v>88300</v>
      </c>
    </row>
    <row r="78" spans="1:9" x14ac:dyDescent="0.25">
      <c r="A78" s="9">
        <v>37</v>
      </c>
      <c r="B78" s="3"/>
      <c r="C78" s="10" t="s">
        <v>76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60000</v>
      </c>
      <c r="H81" s="60">
        <f>F81-D81</f>
        <v>0</v>
      </c>
      <c r="I81" s="38">
        <f>G81-E81</f>
        <v>60000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189942.75926761492</v>
      </c>
      <c r="F82" s="111">
        <f>F16+F24+F29+F36+F43+F45+F47+F49</f>
        <v>0</v>
      </c>
      <c r="G82" s="112">
        <f>SUM(G72:G81)+G16+G24+G29+G36+G43+G45+G47+G49+G51+G56+G61+G66</f>
        <v>620983.1099999994</v>
      </c>
      <c r="H82" s="111">
        <f>H16+H24+H29+H36+H43+H45+H47+H49</f>
        <v>0</v>
      </c>
      <c r="I82" s="112">
        <f>SUM(I72:I81)+I16+I24+I29+I36+I43+I45+I47+I49+I51+I56+I61+I66</f>
        <v>431040.35073238448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75" right="0.75" top="1" bottom="1" header="0.5" footer="0.5"/>
  <pageSetup paperSize="5" scale="7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B187"/>
  <sheetViews>
    <sheetView zoomScale="75" workbookViewId="0">
      <pane xSplit="3" ySplit="9" topLeftCell="D23" activePane="bottomRight" state="frozen"/>
      <selection activeCell="A5" sqref="A5"/>
      <selection pane="topRight" activeCell="A5" sqref="A5"/>
      <selection pane="bottomLeft" activeCell="A5" sqref="A5"/>
      <selection pane="bottomRight" activeCell="C5" sqref="C5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7" width="15" customWidth="1"/>
  </cols>
  <sheetData>
    <row r="1" spans="1:27" x14ac:dyDescent="0.25">
      <c r="A1" s="46" t="s">
        <v>81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5">
      <c r="A2" s="47" t="s">
        <v>82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5">
      <c r="A5" s="48" t="str">
        <f>Check!A5</f>
        <v>PRODUCTION MONTH: 9907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5">
      <c r="A7" s="4"/>
      <c r="B7" s="19"/>
      <c r="C7" s="19"/>
    </row>
    <row r="8" spans="1:27" x14ac:dyDescent="0.25">
      <c r="A8" s="8"/>
      <c r="B8" s="16"/>
      <c r="C8" s="17"/>
      <c r="D8" s="24" t="s">
        <v>83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84</v>
      </c>
      <c r="M8" s="27"/>
      <c r="N8" s="26" t="s">
        <v>18</v>
      </c>
      <c r="O8" s="27"/>
      <c r="P8" s="26" t="s">
        <v>194</v>
      </c>
      <c r="Q8" s="27"/>
      <c r="R8" s="26" t="s">
        <v>17</v>
      </c>
      <c r="S8" s="27"/>
      <c r="T8" s="26" t="s">
        <v>195</v>
      </c>
      <c r="U8" s="27"/>
      <c r="V8" s="26" t="s">
        <v>19</v>
      </c>
      <c r="W8" s="27"/>
      <c r="X8" s="26" t="s">
        <v>165</v>
      </c>
      <c r="Y8" s="27"/>
      <c r="Z8" s="26" t="s">
        <v>115</v>
      </c>
      <c r="AA8" s="27"/>
    </row>
    <row r="9" spans="1:27" s="80" customFormat="1" x14ac:dyDescent="0.25">
      <c r="A9" s="52"/>
      <c r="B9" s="78"/>
      <c r="C9" s="79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  <c r="N9" s="77" t="s">
        <v>23</v>
      </c>
      <c r="O9" s="76" t="s">
        <v>24</v>
      </c>
      <c r="P9" s="77" t="s">
        <v>23</v>
      </c>
      <c r="Q9" s="76" t="s">
        <v>24</v>
      </c>
      <c r="R9" s="77" t="s">
        <v>23</v>
      </c>
      <c r="S9" s="76" t="s">
        <v>24</v>
      </c>
      <c r="T9" s="77" t="s">
        <v>23</v>
      </c>
      <c r="U9" s="76" t="s">
        <v>24</v>
      </c>
      <c r="V9" s="77" t="s">
        <v>23</v>
      </c>
      <c r="W9" s="76" t="s">
        <v>24</v>
      </c>
      <c r="X9" s="77" t="s">
        <v>23</v>
      </c>
      <c r="Y9" s="76" t="s">
        <v>24</v>
      </c>
      <c r="Z9" s="77" t="s">
        <v>23</v>
      </c>
      <c r="AA9" s="76" t="s">
        <v>24</v>
      </c>
    </row>
    <row r="10" spans="1:2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5">
      <c r="A11" s="9">
        <v>1</v>
      </c>
      <c r="B11" s="7"/>
      <c r="C11" s="18" t="s">
        <v>26</v>
      </c>
      <c r="D11" s="66">
        <f t="shared" ref="D11:E15" si="0">F11+H11+J11+L11+N11+P11+R11+V11+X11+Z11+T11</f>
        <v>1453427</v>
      </c>
      <c r="E11" s="66">
        <f t="shared" si="0"/>
        <v>-13569310</v>
      </c>
      <c r="F11" s="60"/>
      <c r="G11" s="38">
        <f>-613000-1297000-762932+762932</f>
        <v>-1910000</v>
      </c>
      <c r="H11" s="60"/>
      <c r="I11" s="38">
        <f>-817898-202812-249931+213900-173210-67860+817898+64928</f>
        <v>-414985</v>
      </c>
      <c r="J11" s="60">
        <v>1453427</v>
      </c>
      <c r="K11" s="38">
        <f>3349188-173210</f>
        <v>3175978</v>
      </c>
      <c r="L11" s="60"/>
      <c r="M11" s="38"/>
      <c r="N11" s="60"/>
      <c r="O11" s="38">
        <v>-452583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>
        <f>-10418679-3629972+10418679-10337748</f>
        <v>-13967720</v>
      </c>
    </row>
    <row r="12" spans="1:27" x14ac:dyDescent="0.25">
      <c r="A12" s="9">
        <v>2</v>
      </c>
      <c r="B12" s="7"/>
      <c r="C12" s="18" t="s">
        <v>27</v>
      </c>
      <c r="D12" s="66">
        <f t="shared" si="0"/>
        <v>0</v>
      </c>
      <c r="E12" s="66">
        <f t="shared" si="0"/>
        <v>-1493998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-1416080</v>
      </c>
      <c r="V12" s="60"/>
      <c r="W12" s="38">
        <f>77918-155836</f>
        <v>-77918</v>
      </c>
      <c r="X12" s="60"/>
      <c r="Y12" s="38"/>
      <c r="Z12" s="60"/>
      <c r="AA12" s="38"/>
    </row>
    <row r="13" spans="1:27" x14ac:dyDescent="0.25">
      <c r="A13" s="9">
        <v>3</v>
      </c>
      <c r="B13" s="7"/>
      <c r="C13" s="18" t="s">
        <v>28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5">
      <c r="A14" s="9">
        <v>4</v>
      </c>
      <c r="B14" s="7"/>
      <c r="C14" s="18" t="s">
        <v>29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5">
      <c r="A15" s="9">
        <v>5</v>
      </c>
      <c r="B15" s="7"/>
      <c r="C15" s="18" t="s">
        <v>30</v>
      </c>
      <c r="D15" s="66">
        <f t="shared" si="0"/>
        <v>0</v>
      </c>
      <c r="E15" s="66">
        <f t="shared" si="0"/>
        <v>10475632</v>
      </c>
      <c r="F15" s="60"/>
      <c r="G15" s="38">
        <v>0</v>
      </c>
      <c r="H15" s="60"/>
      <c r="I15" s="38">
        <f>202812-64928</f>
        <v>137884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f>-141558+10337748+141558</f>
        <v>10337748</v>
      </c>
    </row>
    <row r="16" spans="1:27" x14ac:dyDescent="0.25">
      <c r="A16" s="9"/>
      <c r="B16" s="7" t="s">
        <v>31</v>
      </c>
      <c r="C16" s="6"/>
      <c r="D16" s="61">
        <f t="shared" ref="D16:M16" si="1">SUM(D11:D15)</f>
        <v>1453427</v>
      </c>
      <c r="E16" s="39">
        <f t="shared" si="1"/>
        <v>-4587676</v>
      </c>
      <c r="F16" s="61">
        <f t="shared" si="1"/>
        <v>0</v>
      </c>
      <c r="G16" s="39">
        <f t="shared" si="1"/>
        <v>-1910000</v>
      </c>
      <c r="H16" s="61">
        <f t="shared" si="1"/>
        <v>0</v>
      </c>
      <c r="I16" s="39">
        <f t="shared" si="1"/>
        <v>-277101</v>
      </c>
      <c r="J16" s="61">
        <f t="shared" si="1"/>
        <v>1453427</v>
      </c>
      <c r="K16" s="39">
        <f t="shared" si="1"/>
        <v>3175978</v>
      </c>
      <c r="L16" s="61">
        <f t="shared" si="1"/>
        <v>0</v>
      </c>
      <c r="M16" s="39">
        <f t="shared" si="1"/>
        <v>0</v>
      </c>
      <c r="N16" s="61">
        <f t="shared" ref="N16:AA16" si="2">SUM(N11:N15)</f>
        <v>0</v>
      </c>
      <c r="O16" s="39">
        <f t="shared" si="2"/>
        <v>-452583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-1416080</v>
      </c>
      <c r="V16" s="61">
        <f t="shared" si="2"/>
        <v>0</v>
      </c>
      <c r="W16" s="39">
        <f t="shared" si="2"/>
        <v>-77918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-3629972</v>
      </c>
    </row>
    <row r="17" spans="1:2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5">
      <c r="A19" s="9">
        <v>6</v>
      </c>
      <c r="B19" s="7"/>
      <c r="C19" s="18" t="s">
        <v>26</v>
      </c>
      <c r="D19" s="66">
        <f t="shared" ref="D19:E23" si="3">F19+H19+J19+L19+N19+P19+R19+V19+X19+Z19+T19</f>
        <v>-1453427</v>
      </c>
      <c r="E19" s="66">
        <f t="shared" si="3"/>
        <v>1166629</v>
      </c>
      <c r="F19" s="60"/>
      <c r="G19" s="38">
        <v>613000</v>
      </c>
      <c r="H19" s="60"/>
      <c r="I19" s="38">
        <f>173210+860-7700+21415-6600+4980+12064</f>
        <v>198229</v>
      </c>
      <c r="J19" s="60">
        <v>-1453427</v>
      </c>
      <c r="K19" s="38">
        <f>-3349188+173210</f>
        <v>-3175978</v>
      </c>
      <c r="L19" s="60"/>
      <c r="M19" s="38"/>
      <c r="N19" s="60"/>
      <c r="O19" s="38">
        <v>-98594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>
        <v>3629972</v>
      </c>
    </row>
    <row r="20" spans="1:27" x14ac:dyDescent="0.25">
      <c r="A20" s="9">
        <v>7</v>
      </c>
      <c r="B20" s="7"/>
      <c r="C20" s="18" t="s">
        <v>27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</row>
    <row r="21" spans="1:27" x14ac:dyDescent="0.25">
      <c r="A21" s="9">
        <v>8</v>
      </c>
      <c r="B21" s="7"/>
      <c r="C21" s="18" t="s">
        <v>28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5">
      <c r="A22" s="9">
        <v>9</v>
      </c>
      <c r="B22" s="7"/>
      <c r="C22" s="18" t="s">
        <v>29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5">
      <c r="A23" s="9">
        <v>10</v>
      </c>
      <c r="B23" s="7"/>
      <c r="C23" s="18" t="s">
        <v>33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5">
      <c r="A24" s="9"/>
      <c r="B24" s="7" t="s">
        <v>34</v>
      </c>
      <c r="C24" s="6"/>
      <c r="D24" s="61">
        <f t="shared" ref="D24:M24" si="4">SUM(D19:D23)</f>
        <v>-1453427</v>
      </c>
      <c r="E24" s="39">
        <f t="shared" si="4"/>
        <v>1166629</v>
      </c>
      <c r="F24" s="61">
        <f t="shared" si="4"/>
        <v>0</v>
      </c>
      <c r="G24" s="39">
        <f t="shared" si="4"/>
        <v>613000</v>
      </c>
      <c r="H24" s="61">
        <f t="shared" si="4"/>
        <v>0</v>
      </c>
      <c r="I24" s="39">
        <f t="shared" si="4"/>
        <v>198229</v>
      </c>
      <c r="J24" s="61">
        <f t="shared" si="4"/>
        <v>-1453427</v>
      </c>
      <c r="K24" s="39">
        <f t="shared" si="4"/>
        <v>-3175978</v>
      </c>
      <c r="L24" s="61">
        <f t="shared" si="4"/>
        <v>0</v>
      </c>
      <c r="M24" s="39">
        <f t="shared" si="4"/>
        <v>0</v>
      </c>
      <c r="N24" s="61">
        <f t="shared" ref="N24:AA24" si="5">SUM(N19:N23)</f>
        <v>0</v>
      </c>
      <c r="O24" s="39">
        <f t="shared" si="5"/>
        <v>-98594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3629972</v>
      </c>
    </row>
    <row r="25" spans="1:2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5">
      <c r="A27" s="9">
        <v>11</v>
      </c>
      <c r="B27" s="7"/>
      <c r="C27" s="18" t="s">
        <v>36</v>
      </c>
      <c r="D27" s="66">
        <f>F27+H27+J27+L27+N27+P27+R27+V27+X27+Z27+T27</f>
        <v>0</v>
      </c>
      <c r="E27" s="66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5">
      <c r="A28" s="9">
        <v>12</v>
      </c>
      <c r="B28" s="7"/>
      <c r="C28" s="18" t="s">
        <v>37</v>
      </c>
      <c r="D28" s="66">
        <f>F28+H28+J28+L28+N28+P28+R28+V28+X28+Z28+T28</f>
        <v>0</v>
      </c>
      <c r="E28" s="66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5">
      <c r="A29" s="9"/>
      <c r="B29" s="7" t="s">
        <v>38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A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</row>
    <row r="30" spans="1:2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5">
      <c r="A32" s="9">
        <v>13</v>
      </c>
      <c r="B32" s="7"/>
      <c r="C32" s="18" t="s">
        <v>40</v>
      </c>
      <c r="D32" s="66">
        <f t="shared" ref="D32:E35" si="8">F32+H32+J32+L32+N32+P32+R32+V32+X32+Z32+T32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5">
      <c r="A33" s="9">
        <v>14</v>
      </c>
      <c r="B33" s="7"/>
      <c r="C33" s="18" t="s">
        <v>41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5">
      <c r="A34" s="9">
        <v>15</v>
      </c>
      <c r="B34" s="7"/>
      <c r="C34" s="18" t="s">
        <v>42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5">
      <c r="A35" s="9">
        <v>16</v>
      </c>
      <c r="B35" s="7"/>
      <c r="C35" s="18" t="s">
        <v>43</v>
      </c>
      <c r="D35" s="66">
        <f t="shared" si="8"/>
        <v>0</v>
      </c>
      <c r="E35" s="66">
        <f t="shared" si="8"/>
        <v>67860</v>
      </c>
      <c r="F35" s="60"/>
      <c r="G35" s="38"/>
      <c r="H35" s="60"/>
      <c r="I35" s="38">
        <v>67860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5">
      <c r="A36" s="9"/>
      <c r="B36" s="7" t="s">
        <v>44</v>
      </c>
      <c r="C36" s="6"/>
      <c r="D36" s="61">
        <f>SUM(D32:D35)</f>
        <v>0</v>
      </c>
      <c r="E36" s="39">
        <f>SUM(E32:E35)</f>
        <v>67860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A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</row>
    <row r="37" spans="1:2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5">
      <c r="A39" s="9">
        <v>17</v>
      </c>
      <c r="B39" s="7"/>
      <c r="C39" s="18" t="s">
        <v>46</v>
      </c>
      <c r="D39" s="66">
        <f t="shared" ref="D39:E41" si="11">F39+H39+J39+L39+N39+P39+R39+V39+X39+Z39+T39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5">
      <c r="A40" s="9">
        <v>18</v>
      </c>
      <c r="B40" s="7"/>
      <c r="C40" s="18" t="s">
        <v>47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5">
      <c r="A41" s="9">
        <v>19</v>
      </c>
      <c r="B41" s="7"/>
      <c r="C41" s="18" t="s">
        <v>48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f>-514862+514862-547299+547299-564737</f>
        <v>-564737</v>
      </c>
      <c r="T41" s="60"/>
      <c r="U41" s="38"/>
      <c r="V41" s="60"/>
      <c r="W41" s="38">
        <v>564737</v>
      </c>
      <c r="X41" s="60"/>
      <c r="Y41" s="38"/>
      <c r="Z41" s="60"/>
      <c r="AA41" s="38"/>
    </row>
    <row r="42" spans="1:27" x14ac:dyDescent="0.25">
      <c r="A42" s="9"/>
      <c r="B42" s="7"/>
      <c r="C42" s="53" t="s">
        <v>49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A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-564737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564737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</row>
    <row r="43" spans="1:27" ht="21" customHeight="1" x14ac:dyDescent="0.25">
      <c r="A43" s="9"/>
      <c r="B43" s="7" t="s">
        <v>50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A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-564737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564737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</row>
    <row r="44" spans="1:2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5">
      <c r="A45" s="9">
        <v>20</v>
      </c>
      <c r="B45" s="11" t="s">
        <v>51</v>
      </c>
      <c r="C45" s="6"/>
      <c r="D45" s="66">
        <f>F45+H45+J45+L45+N45+P45+R45+V45+X45+Z45+T45</f>
        <v>0</v>
      </c>
      <c r="E45" s="66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5">
      <c r="A47" s="9">
        <v>21</v>
      </c>
      <c r="B47" s="11" t="s">
        <v>52</v>
      </c>
      <c r="C47" s="6"/>
      <c r="D47" s="66">
        <f>F47+H47+J47+L47+N47+P47+R47+V47+X47+Z47+T47</f>
        <v>0</v>
      </c>
      <c r="E47" s="66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5">
      <c r="A49" s="9">
        <v>22</v>
      </c>
      <c r="B49" s="11" t="s">
        <v>53</v>
      </c>
      <c r="C49" s="6"/>
      <c r="D49" s="66">
        <f>F49+H49+J49+L49+N49+P49+R49+V49+X49+Z49+T49</f>
        <v>0</v>
      </c>
      <c r="E49" s="66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5">
      <c r="A51" s="9">
        <v>23</v>
      </c>
      <c r="B51" s="11" t="s">
        <v>54</v>
      </c>
      <c r="C51" s="6"/>
      <c r="D51" s="66">
        <f>F51+H51+J51+L51+N51+P51+R51+V51+X51+Z51+T51</f>
        <v>0</v>
      </c>
      <c r="E51" s="66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</row>
    <row r="52" spans="1:27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5">
      <c r="A54" s="9">
        <v>24</v>
      </c>
      <c r="B54" s="7"/>
      <c r="C54" s="18" t="s">
        <v>56</v>
      </c>
      <c r="D54" s="66">
        <f>F54+H54+J54+L54+N54+P54+R54+V54+X54+Z54+T54</f>
        <v>0</v>
      </c>
      <c r="E54" s="66">
        <f>G54+I54+K54+M54+O54+Q54+S54+W54+Y54+AA54+U54</f>
        <v>8605559</v>
      </c>
      <c r="F54" s="60"/>
      <c r="G54" s="38"/>
      <c r="H54" s="60"/>
      <c r="I54" s="38">
        <f>2487946-68594+71991-860+3779+7700-21415+28922+6600-4980-12064</f>
        <v>2499025</v>
      </c>
      <c r="J54" s="60"/>
      <c r="K54" s="38"/>
      <c r="L54" s="60"/>
      <c r="M54" s="38"/>
      <c r="N54" s="60"/>
      <c r="O54" s="38">
        <v>18808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>
        <f>6123824+68594-71991-3779-28922</f>
        <v>6087726</v>
      </c>
    </row>
    <row r="55" spans="1:27" x14ac:dyDescent="0.25">
      <c r="A55" s="9">
        <v>25</v>
      </c>
      <c r="B55" s="7"/>
      <c r="C55" s="18" t="s">
        <v>57</v>
      </c>
      <c r="D55" s="66">
        <f>F55+H55+J55+L55+N55+P55+R55+V55+X55+Z55+T55</f>
        <v>0</v>
      </c>
      <c r="E55" s="66">
        <f>G55+I55+K55+M55+O55+Q55+S55+W55+Y55+AA55+U55</f>
        <v>-6782401</v>
      </c>
      <c r="F55" s="60"/>
      <c r="G55" s="38">
        <f>1297000+26233</f>
        <v>1323233</v>
      </c>
      <c r="H55" s="60"/>
      <c r="I55" s="38">
        <f>-2487946+817898-37914+1848860+35136-817898</f>
        <v>-641864</v>
      </c>
      <c r="J55" s="60"/>
      <c r="K55" s="38"/>
      <c r="L55" s="60"/>
      <c r="M55" s="38"/>
      <c r="N55" s="60"/>
      <c r="O55" s="38">
        <f>762932+551177-762932-18808</f>
        <v>532369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-26233</v>
      </c>
      <c r="Z55" s="60"/>
      <c r="AA55" s="38">
        <f>-6123824+10418679+141558+37914-1848860-35136-10418679-141558</f>
        <v>-7969906</v>
      </c>
    </row>
    <row r="56" spans="1:27" x14ac:dyDescent="0.25">
      <c r="A56" s="9"/>
      <c r="B56" s="7" t="s">
        <v>58</v>
      </c>
      <c r="C56" s="6"/>
      <c r="D56" s="61">
        <f t="shared" ref="D56:M56" si="16">SUM(D54:D55)</f>
        <v>0</v>
      </c>
      <c r="E56" s="39">
        <f t="shared" si="16"/>
        <v>1823158</v>
      </c>
      <c r="F56" s="61">
        <f t="shared" si="16"/>
        <v>0</v>
      </c>
      <c r="G56" s="39">
        <f t="shared" si="16"/>
        <v>1323233</v>
      </c>
      <c r="H56" s="61">
        <f t="shared" si="16"/>
        <v>0</v>
      </c>
      <c r="I56" s="39">
        <f t="shared" si="16"/>
        <v>1857161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A56" si="17">SUM(N54:N55)</f>
        <v>0</v>
      </c>
      <c r="O56" s="39">
        <f t="shared" si="17"/>
        <v>551177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-26233</v>
      </c>
      <c r="Z56" s="61">
        <f t="shared" si="17"/>
        <v>0</v>
      </c>
      <c r="AA56" s="39">
        <f t="shared" si="17"/>
        <v>-1882180</v>
      </c>
    </row>
    <row r="57" spans="1:2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5">
      <c r="A58" s="9"/>
      <c r="B58" s="11" t="s">
        <v>59</v>
      </c>
      <c r="C58" s="6"/>
      <c r="D58" s="66">
        <f t="shared" ref="D58:E60" si="18">F58+H58+J58+L58+N58+P58+R58+V58+X58+Z58+T58</f>
        <v>0</v>
      </c>
      <c r="E58" s="66">
        <f t="shared" si="18"/>
        <v>0</v>
      </c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5">
      <c r="A59" s="9">
        <v>26</v>
      </c>
      <c r="B59" s="11"/>
      <c r="C59" s="18" t="s">
        <v>60</v>
      </c>
      <c r="D59" s="66">
        <f t="shared" si="18"/>
        <v>0</v>
      </c>
      <c r="E59" s="66">
        <f t="shared" si="18"/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</row>
    <row r="60" spans="1:27" x14ac:dyDescent="0.25">
      <c r="A60" s="9">
        <v>27</v>
      </c>
      <c r="B60" s="11"/>
      <c r="C60" s="18" t="s">
        <v>61</v>
      </c>
      <c r="D60" s="66">
        <f t="shared" si="18"/>
        <v>0</v>
      </c>
      <c r="E60" s="66">
        <f t="shared" si="18"/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</row>
    <row r="61" spans="1:27" x14ac:dyDescent="0.25">
      <c r="A61" s="9"/>
      <c r="B61" s="62" t="s">
        <v>62</v>
      </c>
      <c r="C61" s="6"/>
      <c r="D61" s="61">
        <f t="shared" ref="D61:M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ref="N61:AA61" si="20">SUM(N59:N60)</f>
        <v>0</v>
      </c>
      <c r="O61" s="39">
        <f t="shared" si="20"/>
        <v>0</v>
      </c>
      <c r="P61" s="61">
        <f t="shared" si="20"/>
        <v>0</v>
      </c>
      <c r="Q61" s="39">
        <f t="shared" si="20"/>
        <v>0</v>
      </c>
      <c r="R61" s="61">
        <f t="shared" si="20"/>
        <v>0</v>
      </c>
      <c r="S61" s="39">
        <f t="shared" si="20"/>
        <v>0</v>
      </c>
      <c r="T61" s="61">
        <f>SUM(T59:T60)</f>
        <v>0</v>
      </c>
      <c r="U61" s="39">
        <f>SUM(U59:U60)</f>
        <v>0</v>
      </c>
      <c r="V61" s="61">
        <f t="shared" si="20"/>
        <v>0</v>
      </c>
      <c r="W61" s="39">
        <f t="shared" si="20"/>
        <v>0</v>
      </c>
      <c r="X61" s="61">
        <f t="shared" si="20"/>
        <v>0</v>
      </c>
      <c r="Y61" s="39">
        <f t="shared" si="20"/>
        <v>0</v>
      </c>
      <c r="Z61" s="61">
        <f t="shared" si="20"/>
        <v>0</v>
      </c>
      <c r="AA61" s="39">
        <f t="shared" si="20"/>
        <v>0</v>
      </c>
    </row>
    <row r="62" spans="1:2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5">
      <c r="A64" s="9">
        <v>28</v>
      </c>
      <c r="B64" s="7"/>
      <c r="C64" s="18" t="s">
        <v>63</v>
      </c>
      <c r="D64" s="66">
        <f>F64+H64+J64+L64+N64+P64+R64+V64+X64+Z64+T64</f>
        <v>0</v>
      </c>
      <c r="E64" s="66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5">
      <c r="A65" s="9">
        <v>29</v>
      </c>
      <c r="B65" s="11"/>
      <c r="C65" s="18" t="s">
        <v>64</v>
      </c>
      <c r="D65" s="66">
        <f>F65+H65+J65+L65+N65+P65+R65+V65+X65+Z65+T65</f>
        <v>0</v>
      </c>
      <c r="E65" s="66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</row>
    <row r="66" spans="1:27" x14ac:dyDescent="0.25">
      <c r="A66" s="9"/>
      <c r="B66" s="7" t="s">
        <v>65</v>
      </c>
      <c r="C66" s="6"/>
      <c r="D66" s="61">
        <f t="shared" ref="D66:M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ref="N66:AA66" si="22">SUM(N64:N65)</f>
        <v>0</v>
      </c>
      <c r="O66" s="39">
        <f t="shared" si="22"/>
        <v>0</v>
      </c>
      <c r="P66" s="61">
        <f t="shared" si="22"/>
        <v>0</v>
      </c>
      <c r="Q66" s="39">
        <f t="shared" si="22"/>
        <v>0</v>
      </c>
      <c r="R66" s="61">
        <f t="shared" si="22"/>
        <v>0</v>
      </c>
      <c r="S66" s="39">
        <f t="shared" si="22"/>
        <v>0</v>
      </c>
      <c r="T66" s="61">
        <f>SUM(T64:T65)</f>
        <v>0</v>
      </c>
      <c r="U66" s="39">
        <f>SUM(U64:U65)</f>
        <v>0</v>
      </c>
      <c r="V66" s="61">
        <f t="shared" si="22"/>
        <v>0</v>
      </c>
      <c r="W66" s="39">
        <f t="shared" si="22"/>
        <v>0</v>
      </c>
      <c r="X66" s="61">
        <f t="shared" si="22"/>
        <v>0</v>
      </c>
      <c r="Y66" s="39">
        <f t="shared" si="22"/>
        <v>0</v>
      </c>
      <c r="Z66" s="61">
        <f t="shared" si="22"/>
        <v>0</v>
      </c>
      <c r="AA66" s="39">
        <f t="shared" si="22"/>
        <v>0</v>
      </c>
    </row>
    <row r="67" spans="1:2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5">
      <c r="A70" s="9">
        <v>30</v>
      </c>
      <c r="B70" s="3"/>
      <c r="C70" s="10" t="s">
        <v>68</v>
      </c>
      <c r="D70" s="66">
        <f>F70+H70+J70+L70+N70+P70+R70+V70+X70+Z70+T70</f>
        <v>0</v>
      </c>
      <c r="E70" s="66">
        <f>G70+I70+K70+M70+O70+Q70+S70+W70+Y70+AA70+U70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</row>
    <row r="71" spans="1:27" x14ac:dyDescent="0.25">
      <c r="A71" s="9">
        <v>31</v>
      </c>
      <c r="B71" s="3"/>
      <c r="C71" s="10" t="s">
        <v>69</v>
      </c>
      <c r="D71" s="66">
        <f>F71+H71+J71+L71+N71+P71+R71+V71+X71+Z71+T71</f>
        <v>0</v>
      </c>
      <c r="E71" s="66">
        <f>G71+I71+K71+M71+O71+Q71+S71+W71+Y71+AA71+U71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</row>
    <row r="72" spans="1:27" x14ac:dyDescent="0.25">
      <c r="A72" s="9"/>
      <c r="B72" s="3"/>
      <c r="C72" s="55" t="s">
        <v>70</v>
      </c>
      <c r="D72" s="61">
        <f t="shared" ref="D72:M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ref="N72:AA72" si="24">SUM(N70:N71)</f>
        <v>0</v>
      </c>
      <c r="O72" s="39">
        <f t="shared" si="24"/>
        <v>0</v>
      </c>
      <c r="P72" s="61">
        <f t="shared" si="24"/>
        <v>0</v>
      </c>
      <c r="Q72" s="39">
        <f t="shared" si="24"/>
        <v>0</v>
      </c>
      <c r="R72" s="61">
        <f t="shared" si="24"/>
        <v>0</v>
      </c>
      <c r="S72" s="39">
        <f t="shared" si="24"/>
        <v>0</v>
      </c>
      <c r="T72" s="61">
        <f>SUM(T70:T71)</f>
        <v>0</v>
      </c>
      <c r="U72" s="39">
        <f>SUM(U70:U71)</f>
        <v>0</v>
      </c>
      <c r="V72" s="61">
        <f t="shared" si="24"/>
        <v>0</v>
      </c>
      <c r="W72" s="39">
        <f t="shared" si="24"/>
        <v>0</v>
      </c>
      <c r="X72" s="61">
        <f t="shared" si="24"/>
        <v>0</v>
      </c>
      <c r="Y72" s="39">
        <f t="shared" si="24"/>
        <v>0</v>
      </c>
      <c r="Z72" s="61">
        <f t="shared" si="24"/>
        <v>0</v>
      </c>
      <c r="AA72" s="39">
        <f t="shared" si="24"/>
        <v>0</v>
      </c>
    </row>
    <row r="73" spans="1:27" x14ac:dyDescent="0.25">
      <c r="A73" s="9">
        <v>32</v>
      </c>
      <c r="B73" s="3"/>
      <c r="C73" s="10" t="s">
        <v>71</v>
      </c>
      <c r="D73" s="66">
        <f t="shared" ref="D73:D81" si="25">F73+H73+J73+L73+N73+P73+R73+V73+X73+Z73+T73</f>
        <v>0</v>
      </c>
      <c r="E73" s="66">
        <f t="shared" ref="E73:E81" si="26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5">
      <c r="A74" s="9">
        <v>33</v>
      </c>
      <c r="B74" s="3"/>
      <c r="C74" s="10" t="s">
        <v>72</v>
      </c>
      <c r="D74" s="66">
        <f t="shared" si="25"/>
        <v>0</v>
      </c>
      <c r="E74" s="66">
        <f t="shared" si="26"/>
        <v>1530029</v>
      </c>
      <c r="F74" s="60"/>
      <c r="G74" s="38">
        <f>-100000-155000</f>
        <v>-255000</v>
      </c>
      <c r="H74" s="60"/>
      <c r="I74" s="38">
        <f>249931-213900</f>
        <v>36031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v>0</v>
      </c>
      <c r="T74" s="60"/>
      <c r="U74" s="38">
        <f>1416080-72523+100000</f>
        <v>1443557</v>
      </c>
      <c r="V74" s="60"/>
      <c r="W74" s="38">
        <f>72523-77918+155836</f>
        <v>150441</v>
      </c>
      <c r="X74" s="60"/>
      <c r="Y74" s="38">
        <v>155000</v>
      </c>
      <c r="Z74" s="60"/>
      <c r="AA74" s="38"/>
    </row>
    <row r="75" spans="1:27" x14ac:dyDescent="0.25">
      <c r="A75" s="9">
        <v>34</v>
      </c>
      <c r="B75" s="3"/>
      <c r="C75" s="10" t="s">
        <v>73</v>
      </c>
      <c r="D75" s="66">
        <f t="shared" si="25"/>
        <v>0</v>
      </c>
      <c r="E75" s="66">
        <f t="shared" si="26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>
        <v>-130700</v>
      </c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>
        <v>130700</v>
      </c>
    </row>
    <row r="76" spans="1:27" x14ac:dyDescent="0.25">
      <c r="A76" s="9">
        <v>35</v>
      </c>
      <c r="B76" s="3"/>
      <c r="C76" s="10" t="s">
        <v>74</v>
      </c>
      <c r="D76" s="66">
        <f t="shared" si="25"/>
        <v>0</v>
      </c>
      <c r="E76" s="66">
        <f t="shared" si="26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</row>
    <row r="77" spans="1:27" x14ac:dyDescent="0.25">
      <c r="A77" s="9">
        <v>36</v>
      </c>
      <c r="B77" s="3"/>
      <c r="C77" s="10" t="s">
        <v>75</v>
      </c>
      <c r="D77" s="66">
        <f t="shared" si="25"/>
        <v>0</v>
      </c>
      <c r="E77" s="66">
        <f t="shared" si="26"/>
        <v>0</v>
      </c>
      <c r="F77" s="60"/>
      <c r="G77" s="38"/>
      <c r="H77" s="60"/>
      <c r="I77" s="38">
        <v>15000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-15000</v>
      </c>
      <c r="V77" s="60"/>
      <c r="W77" s="38">
        <v>0</v>
      </c>
      <c r="X77" s="60"/>
      <c r="Y77" s="38"/>
      <c r="Z77" s="60"/>
      <c r="AA77" s="38"/>
    </row>
    <row r="78" spans="1:27" x14ac:dyDescent="0.25">
      <c r="A78" s="9">
        <v>37</v>
      </c>
      <c r="B78" s="3"/>
      <c r="C78" s="10" t="s">
        <v>76</v>
      </c>
      <c r="D78" s="66">
        <f t="shared" si="25"/>
        <v>0</v>
      </c>
      <c r="E78" s="66">
        <f t="shared" si="26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5">
      <c r="A79" s="9">
        <v>38</v>
      </c>
      <c r="B79" s="3"/>
      <c r="C79" s="10" t="s">
        <v>77</v>
      </c>
      <c r="D79" s="66">
        <f t="shared" si="25"/>
        <v>0</v>
      </c>
      <c r="E79" s="66">
        <f t="shared" si="26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5">
      <c r="A80" s="9">
        <v>39</v>
      </c>
      <c r="B80" s="3"/>
      <c r="C80" s="10" t="s">
        <v>78</v>
      </c>
      <c r="D80" s="66">
        <f t="shared" si="25"/>
        <v>0</v>
      </c>
      <c r="E80" s="66">
        <f t="shared" si="26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5">
      <c r="A81" s="9">
        <v>40</v>
      </c>
      <c r="B81" s="3"/>
      <c r="C81" s="10" t="s">
        <v>79</v>
      </c>
      <c r="D81" s="66">
        <f t="shared" si="25"/>
        <v>0</v>
      </c>
      <c r="E81" s="66">
        <f t="shared" si="26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</row>
    <row r="82" spans="1:28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-228767</v>
      </c>
      <c r="H82" s="92">
        <f>H16+H24+H29+H36+H43+H45+H47+H49</f>
        <v>0</v>
      </c>
      <c r="I82" s="93">
        <f>SUM(I72:I81)+I16+I24+I29+I36+I43+I45+I47+I49+I51+I56+I61+I66</f>
        <v>1829320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-130700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-564737</v>
      </c>
      <c r="T82" s="92">
        <f>T16+T24+T29+T36+T43+T45+T47+T49</f>
        <v>0</v>
      </c>
      <c r="U82" s="93">
        <f>SUM(U72:U81)+U16+U24+U29+U36+U43+U45+U47+U49+U51+U56+U61+U66</f>
        <v>12477</v>
      </c>
      <c r="V82" s="92">
        <f>V16+V24+V29+V36+V43+V45+V47+V49</f>
        <v>0</v>
      </c>
      <c r="W82" s="93">
        <f>SUM(W72:W81)+W16+W24+W29+W36+W43+W45+W47+W49+W51+W56+W61+W66</f>
        <v>637260</v>
      </c>
      <c r="X82" s="92">
        <f>X16+X24+X29+X36+X43+X45+X47+X49</f>
        <v>0</v>
      </c>
      <c r="Y82" s="93">
        <f>SUM(Y72:Y81)+Y16+Y24+Y29+Y36+Y43+Y45+Y47+Y49+Y51+Y56+Y61+Y66</f>
        <v>128767</v>
      </c>
      <c r="Z82" s="92">
        <f>Z16+Z24+Z29+Z36+Z43+Z45+Z47+Z49</f>
        <v>0</v>
      </c>
      <c r="AA82" s="93">
        <f>SUM(AA72:AA81)+AA16+AA24+AA29+AA36+AA43+AA45+AA47+AA49+AA51+AA56+AA61+AA66</f>
        <v>-1751480</v>
      </c>
      <c r="AB82" s="97"/>
    </row>
    <row r="83" spans="1:28" ht="13.8" thickTop="1" x14ac:dyDescent="0.25">
      <c r="A83" s="4" t="s">
        <v>2</v>
      </c>
      <c r="B83" s="3"/>
    </row>
    <row r="84" spans="1:28" x14ac:dyDescent="0.25">
      <c r="A84" s="4"/>
      <c r="B84" s="3"/>
      <c r="M84" s="45"/>
    </row>
    <row r="85" spans="1:28" x14ac:dyDescent="0.25">
      <c r="A85" s="4"/>
      <c r="B85" s="3"/>
      <c r="S85" s="45"/>
      <c r="U85" s="45"/>
    </row>
    <row r="86" spans="1:28" x14ac:dyDescent="0.25">
      <c r="A86" s="4"/>
      <c r="B86" s="3"/>
    </row>
    <row r="87" spans="1:28" x14ac:dyDescent="0.25">
      <c r="A87" s="4"/>
      <c r="B87" s="3"/>
    </row>
    <row r="88" spans="1:28" x14ac:dyDescent="0.25">
      <c r="A88" s="4"/>
      <c r="B88" s="3"/>
    </row>
    <row r="89" spans="1:28" x14ac:dyDescent="0.25">
      <c r="A89" s="4"/>
      <c r="B89" s="3"/>
    </row>
    <row r="90" spans="1:28" x14ac:dyDescent="0.25">
      <c r="A90" s="4"/>
      <c r="B90" s="3"/>
    </row>
    <row r="91" spans="1:28" x14ac:dyDescent="0.25">
      <c r="A91" s="4"/>
      <c r="B91" s="3"/>
    </row>
    <row r="92" spans="1:28" x14ac:dyDescent="0.25">
      <c r="A92" s="4"/>
      <c r="B92" s="3"/>
    </row>
    <row r="93" spans="1:28" x14ac:dyDescent="0.25">
      <c r="A93" s="4"/>
      <c r="B93" s="3"/>
    </row>
    <row r="94" spans="1:28" x14ac:dyDescent="0.25">
      <c r="A94" s="4"/>
      <c r="B94" s="3"/>
    </row>
    <row r="95" spans="1:28" x14ac:dyDescent="0.25">
      <c r="A95" s="4"/>
      <c r="B95" s="3"/>
    </row>
    <row r="96" spans="1:28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E82" activePane="bottomRight" state="frozen"/>
      <selection activeCell="H86" sqref="H86"/>
      <selection pane="topRight" activeCell="H86" sqref="H86"/>
      <selection pane="bottomLeft" activeCell="H86" sqref="H86"/>
      <selection pane="bottomRight" activeCell="G86" sqref="G8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'TX-CON-FLSH'!L11</f>
        <v>93303140</v>
      </c>
      <c r="E11" s="66">
        <f>'TX-CON-FLSH'!M11</f>
        <v>214184333</v>
      </c>
      <c r="F11" s="60">
        <f>'TX-CON-GL '!D11</f>
        <v>49651476</v>
      </c>
      <c r="G11" s="38">
        <f>'TX-CON-GL '!E11</f>
        <v>116704243.35000001</v>
      </c>
      <c r="H11" s="60">
        <f>F11-D11</f>
        <v>-43651664</v>
      </c>
      <c r="I11" s="38">
        <f>G11-E11</f>
        <v>-97480089.649999991</v>
      </c>
    </row>
    <row r="12" spans="1:22" x14ac:dyDescent="0.25">
      <c r="A12" s="9">
        <v>2</v>
      </c>
      <c r="B12" s="7"/>
      <c r="C12" s="18" t="s">
        <v>27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-2684221.61</v>
      </c>
      <c r="H12" s="60">
        <f>F12-D12</f>
        <v>0</v>
      </c>
      <c r="I12" s="38">
        <f>G12-E12</f>
        <v>-2684221.61</v>
      </c>
    </row>
    <row r="13" spans="1:22" x14ac:dyDescent="0.25">
      <c r="A13" s="9">
        <v>3</v>
      </c>
      <c r="B13" s="7"/>
      <c r="C13" s="18" t="s">
        <v>28</v>
      </c>
      <c r="D13" s="65">
        <f>'TX-CON-FLSH'!L13</f>
        <v>147181</v>
      </c>
      <c r="E13" s="66">
        <f>'TX-CON-FLSH'!M13</f>
        <v>325643</v>
      </c>
      <c r="F13" s="60">
        <f>'TX-CON-GL '!D13</f>
        <v>2987342</v>
      </c>
      <c r="G13" s="38">
        <f>'TX-CON-GL '!E13</f>
        <v>6773411</v>
      </c>
      <c r="H13" s="60">
        <f t="shared" ref="H13:I15" si="0">F13-D13</f>
        <v>2840161</v>
      </c>
      <c r="I13" s="38">
        <f t="shared" si="0"/>
        <v>6447768</v>
      </c>
    </row>
    <row r="14" spans="1:22" x14ac:dyDescent="0.25">
      <c r="A14" s="9">
        <v>4</v>
      </c>
      <c r="B14" s="7"/>
      <c r="C14" s="18" t="s">
        <v>29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93450321</v>
      </c>
      <c r="E16" s="39">
        <f t="shared" si="1"/>
        <v>214509976</v>
      </c>
      <c r="F16" s="61">
        <f t="shared" si="1"/>
        <v>52638818</v>
      </c>
      <c r="G16" s="39">
        <f t="shared" si="1"/>
        <v>120793432.74000001</v>
      </c>
      <c r="H16" s="61">
        <f t="shared" si="1"/>
        <v>-40811503</v>
      </c>
      <c r="I16" s="39">
        <f t="shared" si="1"/>
        <v>-93716543.25999999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'TX-CON-FLSH'!L19</f>
        <v>-99684784</v>
      </c>
      <c r="E19" s="66">
        <f>'TX-CON-FLSH'!M19</f>
        <v>-226160196</v>
      </c>
      <c r="F19" s="60">
        <f>'TX-CON-GL '!D19</f>
        <v>-48300240</v>
      </c>
      <c r="G19" s="38">
        <f>'TX-CON-GL '!E19</f>
        <v>-107039462.38000001</v>
      </c>
      <c r="H19" s="60">
        <f>F19-D19</f>
        <v>51384544</v>
      </c>
      <c r="I19" s="38">
        <f>G19-E19</f>
        <v>119120733.61999999</v>
      </c>
    </row>
    <row r="20" spans="1:9" x14ac:dyDescent="0.25">
      <c r="A20" s="9">
        <v>7</v>
      </c>
      <c r="B20" s="7"/>
      <c r="C20" s="18" t="s">
        <v>27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-3038018.46</v>
      </c>
      <c r="H20" s="60">
        <f>F20-D20</f>
        <v>0</v>
      </c>
      <c r="I20" s="38">
        <f>G20-E20</f>
        <v>-3038018.46</v>
      </c>
    </row>
    <row r="21" spans="1:9" x14ac:dyDescent="0.25">
      <c r="A21" s="9">
        <v>8</v>
      </c>
      <c r="B21" s="7"/>
      <c r="C21" s="18" t="s">
        <v>28</v>
      </c>
      <c r="D21" s="65">
        <f>'TX-CON-FLSH'!L21</f>
        <v>-1175962</v>
      </c>
      <c r="E21" s="66">
        <f>'TX-CON-FLSH'!M21</f>
        <v>-2634105</v>
      </c>
      <c r="F21" s="60">
        <f>'TX-CON-GL '!D21</f>
        <v>-3320661</v>
      </c>
      <c r="G21" s="38">
        <f>'TX-CON-GL '!E21</f>
        <v>-7525079</v>
      </c>
      <c r="H21" s="60">
        <f t="shared" ref="H21:I23" si="2">F21-D21</f>
        <v>-2144699</v>
      </c>
      <c r="I21" s="38">
        <f t="shared" si="2"/>
        <v>-4890974</v>
      </c>
    </row>
    <row r="22" spans="1:9" x14ac:dyDescent="0.25">
      <c r="A22" s="9">
        <v>9</v>
      </c>
      <c r="B22" s="7"/>
      <c r="C22" s="18" t="s">
        <v>29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'TX-CON-FLSH'!L23</f>
        <v>18941</v>
      </c>
      <c r="E23" s="66">
        <f>'TX-CON-FLSH'!M23</f>
        <v>42931</v>
      </c>
      <c r="F23" s="60">
        <f>'TX-CON-GL '!D23</f>
        <v>3705</v>
      </c>
      <c r="G23" s="38">
        <f>'TX-CON-GL '!E23</f>
        <v>8336.25</v>
      </c>
      <c r="H23" s="60">
        <f t="shared" si="2"/>
        <v>-15236</v>
      </c>
      <c r="I23" s="38">
        <f t="shared" si="2"/>
        <v>-34594.75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-100841805</v>
      </c>
      <c r="E24" s="39">
        <f t="shared" si="3"/>
        <v>-228751370</v>
      </c>
      <c r="F24" s="61">
        <f t="shared" si="3"/>
        <v>-51617196</v>
      </c>
      <c r="G24" s="39">
        <f t="shared" si="3"/>
        <v>-117594223.59</v>
      </c>
      <c r="H24" s="61">
        <f t="shared" si="3"/>
        <v>49224609</v>
      </c>
      <c r="I24" s="39">
        <f t="shared" si="3"/>
        <v>111157146.41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'TX-CON-FLSH'!L27</f>
        <v>13650623</v>
      </c>
      <c r="E27" s="66">
        <f>'TX-CON-FLSH'!M27</f>
        <v>31298698</v>
      </c>
      <c r="F27" s="60">
        <f>'TX-CON-GL '!D27</f>
        <v>11569823</v>
      </c>
      <c r="G27" s="38">
        <f>'TX-CON-GL '!E27</f>
        <v>26616298.0425</v>
      </c>
      <c r="H27" s="60">
        <f>F27-D27</f>
        <v>-2080800</v>
      </c>
      <c r="I27" s="38">
        <f>G27-E27</f>
        <v>-4682399.9574999996</v>
      </c>
    </row>
    <row r="28" spans="1:9" x14ac:dyDescent="0.25">
      <c r="A28" s="9">
        <v>12</v>
      </c>
      <c r="B28" s="7"/>
      <c r="C28" s="18" t="s">
        <v>37</v>
      </c>
      <c r="D28" s="65">
        <f>'TX-CON-FLSH'!L28</f>
        <v>-6147801</v>
      </c>
      <c r="E28" s="66">
        <f>'TX-CON-FLSH'!M28</f>
        <v>-14024872</v>
      </c>
      <c r="F28" s="60">
        <f>'TX-CON-GL '!D28</f>
        <v>-12177167</v>
      </c>
      <c r="G28" s="38">
        <f>'TX-CON-GL '!E28</f>
        <v>-27959260.329999998</v>
      </c>
      <c r="H28" s="60">
        <f>F28-D28</f>
        <v>-6029366</v>
      </c>
      <c r="I28" s="38">
        <f>G28-E28</f>
        <v>-13934388.329999998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-607344</v>
      </c>
      <c r="G29" s="70">
        <f t="shared" si="4"/>
        <v>-1342962.2874999978</v>
      </c>
      <c r="H29" s="69">
        <f t="shared" si="4"/>
        <v>-8110166</v>
      </c>
      <c r="I29" s="70">
        <f t="shared" si="4"/>
        <v>-18616788.287499998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'TX-CON-FLSH'!L32</f>
        <v>0</v>
      </c>
      <c r="E32" s="66">
        <f>'TX-CON-FLSH'!M32</f>
        <v>0</v>
      </c>
      <c r="F32" s="60">
        <f>'TX-CON-GL '!D32</f>
        <v>-305663</v>
      </c>
      <c r="G32" s="38">
        <f>'TX-CON-GL '!E32</f>
        <v>-677209.10600000061</v>
      </c>
      <c r="H32" s="60">
        <f>F32-D32</f>
        <v>-305663</v>
      </c>
      <c r="I32" s="38">
        <f>G32-E32</f>
        <v>-677209.10600000061</v>
      </c>
    </row>
    <row r="33" spans="1:9" x14ac:dyDescent="0.25">
      <c r="A33" s="9">
        <v>14</v>
      </c>
      <c r="B33" s="7"/>
      <c r="C33" s="18" t="s">
        <v>41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-305663</v>
      </c>
      <c r="G36" s="39">
        <f t="shared" si="6"/>
        <v>-677209.0960000006</v>
      </c>
      <c r="H36" s="61">
        <f t="shared" si="6"/>
        <v>-305663</v>
      </c>
      <c r="I36" s="39">
        <f t="shared" si="6"/>
        <v>-677209.0960000006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'TX-CON-FLSH'!L39</f>
        <v>1085437</v>
      </c>
      <c r="E39" s="66">
        <f>'TX-CON-FLSH'!M39</f>
        <v>3049847</v>
      </c>
      <c r="F39" s="60">
        <f>'TX-CON-GL '!D39</f>
        <v>9177878</v>
      </c>
      <c r="G39" s="38">
        <f>'TX-CON-GL '!E39</f>
        <v>23964145.300000001</v>
      </c>
      <c r="H39" s="60">
        <f t="shared" ref="H39:I41" si="7">F39-D39</f>
        <v>8092441</v>
      </c>
      <c r="I39" s="38">
        <f t="shared" si="7"/>
        <v>20914298.300000001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'TX-CON-FLSH'!L40</f>
        <v>-1726749</v>
      </c>
      <c r="E40" s="66">
        <f>'TX-CON-FLSH'!M40</f>
        <v>-4904312</v>
      </c>
      <c r="F40" s="60">
        <f>'TX-CON-GL '!D40</f>
        <v>-9467487</v>
      </c>
      <c r="G40" s="38">
        <f>'TX-CON-GL '!E40</f>
        <v>-24607974.5</v>
      </c>
      <c r="H40" s="60">
        <f t="shared" si="7"/>
        <v>-7740738</v>
      </c>
      <c r="I40" s="38">
        <f t="shared" si="7"/>
        <v>-19703662.5</v>
      </c>
    </row>
    <row r="41" spans="1:9" x14ac:dyDescent="0.25">
      <c r="A41" s="9">
        <v>19</v>
      </c>
      <c r="B41" s="7"/>
      <c r="C41" s="18" t="s">
        <v>48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-564737</v>
      </c>
      <c r="H41" s="60">
        <f t="shared" si="7"/>
        <v>0</v>
      </c>
      <c r="I41" s="38">
        <f t="shared" si="7"/>
        <v>-564737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-1726749</v>
      </c>
      <c r="E42" s="70">
        <f t="shared" si="8"/>
        <v>-4904312</v>
      </c>
      <c r="F42" s="69">
        <f t="shared" si="8"/>
        <v>-9467487</v>
      </c>
      <c r="G42" s="70">
        <f t="shared" si="8"/>
        <v>-25172711.5</v>
      </c>
      <c r="H42" s="69">
        <f t="shared" si="8"/>
        <v>-7740738</v>
      </c>
      <c r="I42" s="70">
        <f t="shared" si="8"/>
        <v>-20268399.5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-641312</v>
      </c>
      <c r="E43" s="39">
        <f t="shared" si="9"/>
        <v>-1854465</v>
      </c>
      <c r="F43" s="61">
        <f t="shared" si="9"/>
        <v>-289609</v>
      </c>
      <c r="G43" s="39">
        <f t="shared" si="9"/>
        <v>-1208566.1999999993</v>
      </c>
      <c r="H43" s="61">
        <f t="shared" si="9"/>
        <v>351703</v>
      </c>
      <c r="I43" s="39">
        <f t="shared" si="9"/>
        <v>645898.80000000075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165834.62</v>
      </c>
      <c r="H47" s="60">
        <f>F47-D47</f>
        <v>0</v>
      </c>
      <c r="I47" s="38">
        <f>G47-E47</f>
        <v>165834.62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'TX-CON-FLSH'!L49</f>
        <v>529974</v>
      </c>
      <c r="E49" s="66">
        <f>'TX-CON-FLSH'!M49</f>
        <v>1148298.1714769402</v>
      </c>
      <c r="F49" s="60">
        <f>'TX-CON-GL '!D49</f>
        <v>180994</v>
      </c>
      <c r="G49" s="38">
        <f>'TX-CON-GL '!E49</f>
        <v>400089</v>
      </c>
      <c r="H49" s="60">
        <f>F49-D49</f>
        <v>-348980</v>
      </c>
      <c r="I49" s="38">
        <f>G49-E49</f>
        <v>-748209.17147694016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-3705</v>
      </c>
      <c r="G51" s="38">
        <f>'TX-CON-GL '!E51</f>
        <v>-8336.25</v>
      </c>
      <c r="H51" s="60">
        <f>F51-D51</f>
        <v>-3705</v>
      </c>
      <c r="I51" s="38">
        <f>G51-E51</f>
        <v>-8336.25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'TX-CON-FLSH'!L54</f>
        <v>0</v>
      </c>
      <c r="E54" s="66">
        <f>'TX-CON-FLSH'!M54</f>
        <v>-1566965.1</v>
      </c>
      <c r="F54" s="60">
        <f>'TX-CON-GL '!D54</f>
        <v>-7873324</v>
      </c>
      <c r="G54" s="38">
        <f>'TX-CON-GL '!E54</f>
        <v>-1182130.7299999997</v>
      </c>
      <c r="H54" s="60">
        <f>F54-D54</f>
        <v>-7873324</v>
      </c>
      <c r="I54" s="38">
        <f>G54-E54</f>
        <v>384834.37000000034</v>
      </c>
    </row>
    <row r="55" spans="1:9" x14ac:dyDescent="0.25">
      <c r="A55" s="9">
        <v>25</v>
      </c>
      <c r="B55" s="7"/>
      <c r="C55" s="18" t="s">
        <v>57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0</v>
      </c>
      <c r="H55" s="60">
        <f>F55-D55</f>
        <v>0</v>
      </c>
      <c r="I55" s="38">
        <f>G55-E55</f>
        <v>15000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-1581965.1</v>
      </c>
      <c r="F56" s="61">
        <f t="shared" si="10"/>
        <v>-7873324</v>
      </c>
      <c r="G56" s="39">
        <f t="shared" si="10"/>
        <v>-1182130.7299999997</v>
      </c>
      <c r="H56" s="61">
        <f t="shared" si="10"/>
        <v>-7873324</v>
      </c>
      <c r="I56" s="39">
        <f t="shared" si="10"/>
        <v>399834.37000000034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'TX-CON-FLSH'!L64</f>
        <v>0</v>
      </c>
      <c r="E64" s="66">
        <f>'TX-CON-FLSH'!M64</f>
        <v>0</v>
      </c>
      <c r="F64" s="60">
        <f>'TX-CON-GL '!D64</f>
        <v>-11478109</v>
      </c>
      <c r="G64" s="38">
        <f>'TX-CON-GL '!E64</f>
        <v>-397096.10000000003</v>
      </c>
      <c r="H64" s="60">
        <f>F64-D64</f>
        <v>-11478109</v>
      </c>
      <c r="I64" s="38">
        <f>G64-E64</f>
        <v>-397096.10000000003</v>
      </c>
    </row>
    <row r="65" spans="1:9" x14ac:dyDescent="0.25">
      <c r="A65" s="9">
        <v>29</v>
      </c>
      <c r="B65" s="11"/>
      <c r="C65" s="18" t="s">
        <v>64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-11478109</v>
      </c>
      <c r="G66" s="39">
        <f t="shared" si="12"/>
        <v>-397096.10000000003</v>
      </c>
      <c r="H66" s="61">
        <f t="shared" si="12"/>
        <v>-11478109</v>
      </c>
      <c r="I66" s="39">
        <f t="shared" si="12"/>
        <v>-397096.10000000003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'TX-CON-FLSH'!L70</f>
        <v>0</v>
      </c>
      <c r="E70" s="66">
        <f>'TX-CON-FLSH'!M70</f>
        <v>768385.66</v>
      </c>
      <c r="F70" s="60">
        <f>'TX-CON-GL '!D70</f>
        <v>0</v>
      </c>
      <c r="G70" s="38">
        <f>'TX-CON-GL '!E70</f>
        <v>768386</v>
      </c>
      <c r="H70" s="60">
        <f>F70-D70</f>
        <v>0</v>
      </c>
      <c r="I70" s="38">
        <f>G70-E70</f>
        <v>0.33999999996740371</v>
      </c>
    </row>
    <row r="71" spans="1:9" x14ac:dyDescent="0.25">
      <c r="A71" s="9">
        <v>31</v>
      </c>
      <c r="B71" s="3"/>
      <c r="C71" s="10" t="s">
        <v>69</v>
      </c>
      <c r="D71" s="65">
        <f>'TX-CON-FLSH'!L71</f>
        <v>0</v>
      </c>
      <c r="E71" s="66">
        <f>'TX-CON-FLSH'!M71</f>
        <v>-722257</v>
      </c>
      <c r="F71" s="60">
        <f>'TX-CON-GL '!D71</f>
        <v>0</v>
      </c>
      <c r="G71" s="38">
        <f>'TX-CON-GL '!E71</f>
        <v>-722249</v>
      </c>
      <c r="H71" s="60">
        <f>F71-D71</f>
        <v>0</v>
      </c>
      <c r="I71" s="38">
        <f>G71-E71</f>
        <v>8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46128.660000000033</v>
      </c>
      <c r="F72" s="69">
        <f t="shared" si="13"/>
        <v>0</v>
      </c>
      <c r="G72" s="70">
        <f t="shared" si="13"/>
        <v>46137</v>
      </c>
      <c r="H72" s="69">
        <f t="shared" si="13"/>
        <v>0</v>
      </c>
      <c r="I72" s="70">
        <f t="shared" si="13"/>
        <v>8.3399999999674037</v>
      </c>
    </row>
    <row r="73" spans="1:9" x14ac:dyDescent="0.25">
      <c r="A73" s="9">
        <v>32</v>
      </c>
      <c r="B73" s="3"/>
      <c r="C73" s="10" t="s">
        <v>71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'TX-CON-FLSH'!L74</f>
        <v>0</v>
      </c>
      <c r="E74" s="66">
        <f>'TX-CON-FLSH'!M74</f>
        <v>568974.31000000006</v>
      </c>
      <c r="F74" s="60">
        <f>'TX-CON-GL '!D74</f>
        <v>0</v>
      </c>
      <c r="G74" s="38">
        <f>'TX-CON-GL '!E74</f>
        <v>278769</v>
      </c>
      <c r="H74" s="60">
        <f t="shared" ref="H74:I79" si="14">F74-D74</f>
        <v>0</v>
      </c>
      <c r="I74" s="38">
        <f t="shared" si="14"/>
        <v>-290205.31000000006</v>
      </c>
    </row>
    <row r="75" spans="1:9" x14ac:dyDescent="0.25">
      <c r="A75" s="9">
        <v>34</v>
      </c>
      <c r="B75" s="3"/>
      <c r="C75" s="10" t="s">
        <v>73</v>
      </c>
      <c r="D75" s="65">
        <f>'TX-CON-FLSH'!L75</f>
        <v>0</v>
      </c>
      <c r="E75" s="66">
        <f>'TX-CON-FLSH'!M75</f>
        <v>56890</v>
      </c>
      <c r="F75" s="60">
        <f>'TX-CON-GL '!D75</f>
        <v>0</v>
      </c>
      <c r="G75" s="38">
        <f>'TX-CON-GL '!E75</f>
        <v>56900</v>
      </c>
      <c r="H75" s="60">
        <f t="shared" si="14"/>
        <v>0</v>
      </c>
      <c r="I75" s="38">
        <f t="shared" si="14"/>
        <v>10</v>
      </c>
    </row>
    <row r="76" spans="1:9" x14ac:dyDescent="0.25">
      <c r="A76" s="9">
        <v>35</v>
      </c>
      <c r="B76" s="3"/>
      <c r="C76" s="10" t="s">
        <v>74</v>
      </c>
      <c r="D76" s="65">
        <f>'TX-CON-FLSH'!L76</f>
        <v>0</v>
      </c>
      <c r="E76" s="66">
        <f>'TX-CON-FLSH'!M76</f>
        <v>-15891</v>
      </c>
      <c r="F76" s="60">
        <f>'TX-CON-GL '!D76</f>
        <v>0</v>
      </c>
      <c r="G76" s="38">
        <f>'TX-CON-GL '!E76</f>
        <v>-3979</v>
      </c>
      <c r="H76" s="60">
        <f t="shared" si="14"/>
        <v>0</v>
      </c>
      <c r="I76" s="38">
        <f t="shared" si="14"/>
        <v>11912</v>
      </c>
    </row>
    <row r="77" spans="1:9" x14ac:dyDescent="0.25">
      <c r="A77" s="9">
        <v>36</v>
      </c>
      <c r="B77" s="3"/>
      <c r="C77" s="10" t="s">
        <v>75</v>
      </c>
      <c r="D77" s="65">
        <f>'TX-CON-FLSH'!L77</f>
        <v>0</v>
      </c>
      <c r="E77" s="66">
        <f>'TX-CON-FLSH'!M77</f>
        <v>-103300</v>
      </c>
      <c r="F77" s="60">
        <f>'TX-CON-GL '!D77</f>
        <v>0</v>
      </c>
      <c r="G77" s="38">
        <f>'TX-CON-GL '!E77</f>
        <v>-15000</v>
      </c>
      <c r="H77" s="60">
        <f t="shared" si="14"/>
        <v>0</v>
      </c>
      <c r="I77" s="38">
        <f t="shared" si="14"/>
        <v>88300</v>
      </c>
    </row>
    <row r="78" spans="1:9" x14ac:dyDescent="0.25">
      <c r="A78" s="9">
        <v>37</v>
      </c>
      <c r="B78" s="3"/>
      <c r="C78" s="10" t="s">
        <v>76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'TX-CON-FLSH'!L81</f>
        <v>0</v>
      </c>
      <c r="E81" s="66">
        <f>'TX-CON-FLSH'!M81</f>
        <v>-134929</v>
      </c>
      <c r="F81" s="60">
        <f>'TX-CON-GL '!D81</f>
        <v>0</v>
      </c>
      <c r="G81" s="38">
        <f>'TX-CON-GL '!E81</f>
        <v>60000</v>
      </c>
      <c r="H81" s="60">
        <f>F81-D81</f>
        <v>0</v>
      </c>
      <c r="I81" s="38">
        <f>G81-E81</f>
        <v>194929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1162173.0414769389</v>
      </c>
      <c r="F82" s="111">
        <f>F16+F24+F29+F36+F43+F45+F47+F49</f>
        <v>0</v>
      </c>
      <c r="G82" s="112">
        <f>SUM(G72:G81)+G16+G24+G29+G36+G43+G45+G47+G49+G51+G56+G61+G66</f>
        <v>-628340.89349999139</v>
      </c>
      <c r="H82" s="111">
        <f>H16+H24+H29+H36+H43+H45+H47+H49</f>
        <v>0</v>
      </c>
      <c r="I82" s="112">
        <f>SUM(I72:I81)+I16+I24+I29+I36+I43+I45+I47+I49+I51+I56+I61+I66</f>
        <v>-1790513.9349769305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170</v>
      </c>
      <c r="B85" s="3"/>
      <c r="F85" s="31"/>
      <c r="G85" s="31"/>
      <c r="H85" s="31"/>
      <c r="I85" s="31"/>
    </row>
    <row r="86" spans="1:63" x14ac:dyDescent="0.25">
      <c r="A86" s="173"/>
      <c r="B86" s="3"/>
      <c r="C86" s="10" t="s">
        <v>173</v>
      </c>
      <c r="D86" s="174">
        <f>'TX-CON-FLSH'!L86</f>
        <v>0</v>
      </c>
      <c r="E86" s="174">
        <f>'TX-CON-FLSH'!M86</f>
        <v>-92073</v>
      </c>
      <c r="F86" s="174">
        <f>'TX-CON-GL '!D86</f>
        <v>0</v>
      </c>
      <c r="G86" s="174">
        <f>'TX-CON-GL '!E86</f>
        <v>746948</v>
      </c>
      <c r="H86" s="174">
        <f t="shared" ref="H86:I88" si="15">F86-D86</f>
        <v>0</v>
      </c>
      <c r="I86" s="174">
        <f t="shared" si="15"/>
        <v>839021</v>
      </c>
    </row>
    <row r="87" spans="1:63" x14ac:dyDescent="0.25">
      <c r="A87" s="173"/>
      <c r="B87" s="3"/>
      <c r="C87" s="10" t="s">
        <v>72</v>
      </c>
      <c r="D87" s="175">
        <f>'TX-CON-FLSH'!L87</f>
        <v>0</v>
      </c>
      <c r="E87" s="175">
        <f>'TX-CON-FLSH'!M87</f>
        <v>0</v>
      </c>
      <c r="F87" s="175">
        <f>'TX-CON-GL '!D87</f>
        <v>0</v>
      </c>
      <c r="G87" s="175">
        <f>'TX-CON-GL '!E87</f>
        <v>0</v>
      </c>
      <c r="H87" s="175">
        <f t="shared" si="15"/>
        <v>0</v>
      </c>
      <c r="I87" s="175">
        <f t="shared" si="15"/>
        <v>0</v>
      </c>
    </row>
    <row r="88" spans="1:63" x14ac:dyDescent="0.25">
      <c r="A88" s="173"/>
      <c r="B88" s="3"/>
      <c r="C88" s="10" t="s">
        <v>73</v>
      </c>
      <c r="D88" s="176">
        <f>'TX-CON-FLSH'!L88</f>
        <v>0</v>
      </c>
      <c r="E88" s="176">
        <f>'TX-CON-FLSH'!M88</f>
        <v>0</v>
      </c>
      <c r="F88" s="176">
        <f>'TX-CON-GL '!D88</f>
        <v>0</v>
      </c>
      <c r="G88" s="176">
        <f>'TX-CON-GL '!E88</f>
        <v>-692800</v>
      </c>
      <c r="H88" s="176">
        <f t="shared" si="15"/>
        <v>0</v>
      </c>
      <c r="I88" s="176">
        <f t="shared" si="15"/>
        <v>-692800</v>
      </c>
    </row>
    <row r="89" spans="1:63" ht="15" x14ac:dyDescent="0.25">
      <c r="A89" s="180"/>
      <c r="B89" s="181"/>
      <c r="C89" s="186" t="s">
        <v>176</v>
      </c>
      <c r="D89" s="184">
        <f t="shared" ref="D89:I89" si="16">SUM(D86:D88)</f>
        <v>0</v>
      </c>
      <c r="E89" s="184">
        <f t="shared" si="16"/>
        <v>-92073</v>
      </c>
      <c r="F89" s="184">
        <f t="shared" si="16"/>
        <v>0</v>
      </c>
      <c r="G89" s="184">
        <f t="shared" si="16"/>
        <v>54148</v>
      </c>
      <c r="H89" s="184">
        <f t="shared" si="16"/>
        <v>0</v>
      </c>
      <c r="I89" s="184">
        <f t="shared" si="16"/>
        <v>146221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80"/>
      <c r="B91" s="181"/>
      <c r="C91" s="186" t="s">
        <v>179</v>
      </c>
      <c r="D91" s="184">
        <f t="shared" ref="D91:I91" si="17">+D82+D89</f>
        <v>0</v>
      </c>
      <c r="E91" s="184">
        <f t="shared" si="17"/>
        <v>1070100.0414769389</v>
      </c>
      <c r="F91" s="184">
        <f t="shared" si="17"/>
        <v>0</v>
      </c>
      <c r="G91" s="184">
        <f t="shared" si="17"/>
        <v>-574192.89349999139</v>
      </c>
      <c r="H91" s="184">
        <f t="shared" si="17"/>
        <v>0</v>
      </c>
      <c r="I91" s="184">
        <f t="shared" si="17"/>
        <v>-1644292.9349769305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D70" sqref="D7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'WE-FLSH'!L11</f>
        <v>32342727</v>
      </c>
      <c r="E11" s="66">
        <f>'WE-FLSH'!M11</f>
        <v>69312647</v>
      </c>
      <c r="F11" s="60">
        <f>'WE-GL '!D11</f>
        <v>32204536</v>
      </c>
      <c r="G11" s="38">
        <f>'WE-GL '!E11</f>
        <v>67587512.489999995</v>
      </c>
      <c r="H11" s="60">
        <f>F11-D11</f>
        <v>-138191</v>
      </c>
      <c r="I11" s="38">
        <f>G11-E11</f>
        <v>-1725134.5100000054</v>
      </c>
    </row>
    <row r="12" spans="1:22" x14ac:dyDescent="0.25">
      <c r="A12" s="9">
        <v>2</v>
      </c>
      <c r="B12" s="7"/>
      <c r="C12" s="18" t="s">
        <v>27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872446.48</v>
      </c>
      <c r="H12" s="60">
        <f>F12-D12</f>
        <v>0</v>
      </c>
      <c r="I12" s="38">
        <f>G12-E12</f>
        <v>872446.48</v>
      </c>
    </row>
    <row r="13" spans="1:22" x14ac:dyDescent="0.25">
      <c r="A13" s="9">
        <v>3</v>
      </c>
      <c r="B13" s="7"/>
      <c r="C13" s="18" t="s">
        <v>28</v>
      </c>
      <c r="D13" s="65">
        <f>'WE-FLSH'!L13</f>
        <v>21139267</v>
      </c>
      <c r="E13" s="66">
        <f>'WE-FLSH'!M13</f>
        <v>45804400</v>
      </c>
      <c r="F13" s="60">
        <f>'WE-GL '!D13</f>
        <v>21125414</v>
      </c>
      <c r="G13" s="38">
        <f>'WE-GL '!E13</f>
        <v>45777214</v>
      </c>
      <c r="H13" s="60">
        <f t="shared" ref="H13:I15" si="0">F13-D13</f>
        <v>-13853</v>
      </c>
      <c r="I13" s="38">
        <f t="shared" si="0"/>
        <v>-27186</v>
      </c>
    </row>
    <row r="14" spans="1:22" x14ac:dyDescent="0.25">
      <c r="A14" s="9">
        <v>4</v>
      </c>
      <c r="B14" s="7"/>
      <c r="C14" s="18" t="s">
        <v>29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462162</v>
      </c>
      <c r="H15" s="60">
        <f t="shared" si="0"/>
        <v>0</v>
      </c>
      <c r="I15" s="38">
        <f t="shared" si="0"/>
        <v>462162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53481994</v>
      </c>
      <c r="E16" s="39">
        <f t="shared" si="1"/>
        <v>115117047</v>
      </c>
      <c r="F16" s="61">
        <f t="shared" si="1"/>
        <v>53329950</v>
      </c>
      <c r="G16" s="39">
        <f t="shared" si="1"/>
        <v>114699334.97</v>
      </c>
      <c r="H16" s="61">
        <f t="shared" si="1"/>
        <v>-152044</v>
      </c>
      <c r="I16" s="39">
        <f t="shared" si="1"/>
        <v>-417712.03000000538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'WE-FLSH'!L19</f>
        <v>-30998801</v>
      </c>
      <c r="E19" s="66">
        <f>'WE-FLSH'!M19</f>
        <v>-64763316</v>
      </c>
      <c r="F19" s="60">
        <f>'WE-GL '!D19</f>
        <v>-33577171</v>
      </c>
      <c r="G19" s="38">
        <f>'WE-GL '!E19</f>
        <v>-69632456.070000008</v>
      </c>
      <c r="H19" s="60">
        <f>F19-D19</f>
        <v>-2578370</v>
      </c>
      <c r="I19" s="38">
        <f>G19-E19</f>
        <v>-4869140.0700000077</v>
      </c>
    </row>
    <row r="20" spans="1:9" x14ac:dyDescent="0.25">
      <c r="A20" s="9">
        <v>7</v>
      </c>
      <c r="B20" s="7"/>
      <c r="C20" s="18" t="s">
        <v>27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-699173.8</v>
      </c>
      <c r="H20" s="60">
        <f>F20-D20</f>
        <v>0</v>
      </c>
      <c r="I20" s="38">
        <f>G20-E20</f>
        <v>-699173.8</v>
      </c>
    </row>
    <row r="21" spans="1:9" x14ac:dyDescent="0.25">
      <c r="A21" s="9">
        <v>8</v>
      </c>
      <c r="B21" s="7"/>
      <c r="C21" s="18" t="s">
        <v>28</v>
      </c>
      <c r="D21" s="65">
        <f>'WE-FLSH'!L21</f>
        <v>-22756694</v>
      </c>
      <c r="E21" s="66">
        <f>'WE-FLSH'!M21</f>
        <v>-49167379</v>
      </c>
      <c r="F21" s="60">
        <f>'WE-GL '!D21</f>
        <v>-19578861</v>
      </c>
      <c r="G21" s="38">
        <f>'WE-GL '!E21</f>
        <v>-42385438</v>
      </c>
      <c r="H21" s="60">
        <f t="shared" ref="H21:I23" si="2">F21-D21</f>
        <v>3177833</v>
      </c>
      <c r="I21" s="38">
        <f t="shared" si="2"/>
        <v>6781941</v>
      </c>
    </row>
    <row r="22" spans="1:9" x14ac:dyDescent="0.25">
      <c r="A22" s="9">
        <v>9</v>
      </c>
      <c r="B22" s="7"/>
      <c r="C22" s="18" t="s">
        <v>29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'WE-FLSH'!L23</f>
        <v>278223</v>
      </c>
      <c r="E23" s="66">
        <f>'WE-FLSH'!M23</f>
        <v>563822</v>
      </c>
      <c r="F23" s="60">
        <f>'WE-GL '!D23</f>
        <v>275486</v>
      </c>
      <c r="G23" s="38">
        <f>'WE-GL '!E23</f>
        <v>574939.28600000008</v>
      </c>
      <c r="H23" s="60">
        <f t="shared" si="2"/>
        <v>-2737</v>
      </c>
      <c r="I23" s="38">
        <f t="shared" si="2"/>
        <v>11117.28600000008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-53477272</v>
      </c>
      <c r="E24" s="39">
        <f t="shared" si="3"/>
        <v>-113366873</v>
      </c>
      <c r="F24" s="61">
        <f t="shared" si="3"/>
        <v>-52880546</v>
      </c>
      <c r="G24" s="39">
        <f t="shared" si="3"/>
        <v>-112142128.58400001</v>
      </c>
      <c r="H24" s="61">
        <f t="shared" si="3"/>
        <v>596726</v>
      </c>
      <c r="I24" s="39">
        <f t="shared" si="3"/>
        <v>1224744.4159999925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37</v>
      </c>
      <c r="D28" s="65">
        <f>'WE-FLSH'!L28</f>
        <v>0</v>
      </c>
      <c r="E28" s="66">
        <f>'WE-FLSH'!M28</f>
        <v>0</v>
      </c>
      <c r="F28" s="60">
        <f>'WE-GL '!D28</f>
        <v>-95049</v>
      </c>
      <c r="G28" s="38">
        <f>'WE-GL '!E28</f>
        <v>-208203</v>
      </c>
      <c r="H28" s="60">
        <f>F28-D28</f>
        <v>-95049</v>
      </c>
      <c r="I28" s="38">
        <f>G28-E28</f>
        <v>-208203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-95049</v>
      </c>
      <c r="G29" s="70">
        <f t="shared" si="4"/>
        <v>-208203</v>
      </c>
      <c r="H29" s="69">
        <f t="shared" si="4"/>
        <v>-95049</v>
      </c>
      <c r="I29" s="70">
        <f t="shared" si="4"/>
        <v>-208203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'WE-FLSH'!L32</f>
        <v>-37334</v>
      </c>
      <c r="E32" s="66">
        <f>'WE-FLSH'!M32</f>
        <v>-107909</v>
      </c>
      <c r="F32" s="60">
        <f>'WE-GL '!D32</f>
        <v>13783</v>
      </c>
      <c r="G32" s="38">
        <f>'WE-GL '!E32</f>
        <v>28116.976000000024</v>
      </c>
      <c r="H32" s="60">
        <f>F32-D32</f>
        <v>51117</v>
      </c>
      <c r="I32" s="38">
        <f>G32-E32</f>
        <v>136025.97600000002</v>
      </c>
    </row>
    <row r="33" spans="1:9" x14ac:dyDescent="0.25">
      <c r="A33" s="9">
        <v>14</v>
      </c>
      <c r="B33" s="7"/>
      <c r="C33" s="18" t="s">
        <v>41</v>
      </c>
      <c r="D33" s="65">
        <f>'WE-FLSH'!L33</f>
        <v>0</v>
      </c>
      <c r="E33" s="66">
        <f>'WE-FLSH'!M33</f>
        <v>0</v>
      </c>
      <c r="F33" s="60">
        <f>'WE-GL '!D33</f>
        <v>-1324</v>
      </c>
      <c r="G33" s="38">
        <f>'WE-GL '!E33</f>
        <v>-2734.04</v>
      </c>
      <c r="H33" s="60">
        <f t="shared" ref="H33:I35" si="5">F33-D33</f>
        <v>-1324</v>
      </c>
      <c r="I33" s="38">
        <f t="shared" si="5"/>
        <v>-2734.04</v>
      </c>
    </row>
    <row r="34" spans="1:9" x14ac:dyDescent="0.25">
      <c r="A34" s="9">
        <v>15</v>
      </c>
      <c r="B34" s="7"/>
      <c r="C34" s="18" t="s">
        <v>42</v>
      </c>
      <c r="D34" s="65">
        <f>'WE-FLSH'!L34</f>
        <v>0</v>
      </c>
      <c r="E34" s="66">
        <f>'WE-FLSH'!M34</f>
        <v>0</v>
      </c>
      <c r="F34" s="60">
        <f>'WE-GL '!D34</f>
        <v>15</v>
      </c>
      <c r="G34" s="38">
        <f>'WE-GL '!E34</f>
        <v>29.55</v>
      </c>
      <c r="H34" s="60">
        <f t="shared" si="5"/>
        <v>15</v>
      </c>
      <c r="I34" s="38">
        <f t="shared" si="5"/>
        <v>29.55</v>
      </c>
    </row>
    <row r="35" spans="1:9" x14ac:dyDescent="0.25">
      <c r="A35" s="9">
        <v>16</v>
      </c>
      <c r="B35" s="7"/>
      <c r="C35" s="18" t="s">
        <v>43</v>
      </c>
      <c r="D35" s="65">
        <f>'WE-FLSH'!L35</f>
        <v>50948</v>
      </c>
      <c r="E35" s="66">
        <f>'WE-FLSH'!M35</f>
        <v>130305</v>
      </c>
      <c r="F35" s="60">
        <f>'WE-GL '!D35</f>
        <v>-299580</v>
      </c>
      <c r="G35" s="38">
        <f>'WE-GL '!E35</f>
        <v>-625222.99</v>
      </c>
      <c r="H35" s="60">
        <f t="shared" si="5"/>
        <v>-350528</v>
      </c>
      <c r="I35" s="38">
        <f t="shared" si="5"/>
        <v>-755527.99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13614</v>
      </c>
      <c r="E36" s="39">
        <f t="shared" si="6"/>
        <v>22396</v>
      </c>
      <c r="F36" s="61">
        <f t="shared" si="6"/>
        <v>-287106</v>
      </c>
      <c r="G36" s="39">
        <f t="shared" si="6"/>
        <v>-599810.50399999996</v>
      </c>
      <c r="H36" s="61">
        <f t="shared" si="6"/>
        <v>-300720</v>
      </c>
      <c r="I36" s="39">
        <f t="shared" si="6"/>
        <v>-622206.50399999996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'WE-FLSH'!L39</f>
        <v>18826</v>
      </c>
      <c r="E39" s="66">
        <f>'WE-FLSH'!M39</f>
        <v>36154</v>
      </c>
      <c r="F39" s="60">
        <f>'WE-GL '!D39</f>
        <v>0</v>
      </c>
      <c r="G39" s="38">
        <f>'WE-GL '!E39</f>
        <v>0</v>
      </c>
      <c r="H39" s="60">
        <f t="shared" ref="H39:I41" si="7">F39-D39</f>
        <v>-18826</v>
      </c>
      <c r="I39" s="38">
        <f t="shared" si="7"/>
        <v>-36154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'WE-FLSH'!L40</f>
        <v>-69727</v>
      </c>
      <c r="E40" s="66">
        <f>'WE-FLSH'!M40</f>
        <v>-129724</v>
      </c>
      <c r="F40" s="60">
        <f>'WE-GL '!D40</f>
        <v>0</v>
      </c>
      <c r="G40" s="38">
        <f>'WE-GL '!E40</f>
        <v>0</v>
      </c>
      <c r="H40" s="60">
        <f t="shared" si="7"/>
        <v>69727</v>
      </c>
      <c r="I40" s="38">
        <f t="shared" si="7"/>
        <v>129724</v>
      </c>
    </row>
    <row r="41" spans="1:9" x14ac:dyDescent="0.25">
      <c r="A41" s="9">
        <v>19</v>
      </c>
      <c r="B41" s="7"/>
      <c r="C41" s="18" t="s">
        <v>48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1">
        <f t="shared" ref="D42:I42" si="8">SUM(D40:D41)</f>
        <v>-69727</v>
      </c>
      <c r="E42" s="39">
        <f t="shared" si="8"/>
        <v>-129724</v>
      </c>
      <c r="F42" s="61">
        <f t="shared" si="8"/>
        <v>0</v>
      </c>
      <c r="G42" s="39">
        <f t="shared" si="8"/>
        <v>0</v>
      </c>
      <c r="H42" s="61">
        <f t="shared" si="8"/>
        <v>69727</v>
      </c>
      <c r="I42" s="39">
        <f t="shared" si="8"/>
        <v>129724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-50901</v>
      </c>
      <c r="E43" s="39">
        <f t="shared" si="9"/>
        <v>-93570</v>
      </c>
      <c r="F43" s="61">
        <f t="shared" si="9"/>
        <v>0</v>
      </c>
      <c r="G43" s="39">
        <f t="shared" si="9"/>
        <v>0</v>
      </c>
      <c r="H43" s="61">
        <f t="shared" si="9"/>
        <v>50901</v>
      </c>
      <c r="I43" s="39">
        <f t="shared" si="9"/>
        <v>93570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'WE-FLSH'!L49</f>
        <v>32565</v>
      </c>
      <c r="E49" s="66">
        <f>'WE-FLSH'!M49</f>
        <v>67967.512630615573</v>
      </c>
      <c r="F49" s="60">
        <f>'WE-GL '!D49</f>
        <v>-67249</v>
      </c>
      <c r="G49" s="38">
        <f>'WE-GL '!E49</f>
        <v>-140348.66300000018</v>
      </c>
      <c r="H49" s="60">
        <f>F49-D49</f>
        <v>-99814</v>
      </c>
      <c r="I49" s="38">
        <f>G49-E49</f>
        <v>-208316.17563061573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'WE-FLSH'!L51</f>
        <v>-278223</v>
      </c>
      <c r="E51" s="66">
        <f>'WE-FLSH'!M51</f>
        <v>-563822</v>
      </c>
      <c r="F51" s="60">
        <f>'WE-GL '!D51</f>
        <v>-275486</v>
      </c>
      <c r="G51" s="38">
        <f>'WE-GL '!E51</f>
        <v>-574939.28600000008</v>
      </c>
      <c r="H51" s="60">
        <f>F51-D51</f>
        <v>2737</v>
      </c>
      <c r="I51" s="38">
        <f>G51-E51</f>
        <v>-11117.28600000008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'WE-FLSH'!L54</f>
        <v>0</v>
      </c>
      <c r="E54" s="66">
        <f>'WE-FLSH'!M54</f>
        <v>-328269.08</v>
      </c>
      <c r="F54" s="60">
        <f>'WE-GL '!D54</f>
        <v>-11727563</v>
      </c>
      <c r="G54" s="38">
        <f>'WE-GL '!E54</f>
        <v>-108143.48999999999</v>
      </c>
      <c r="H54" s="60">
        <f>F54-D54</f>
        <v>-11727563</v>
      </c>
      <c r="I54" s="38">
        <f>G54-E54</f>
        <v>220125.59000000003</v>
      </c>
    </row>
    <row r="55" spans="1:9" x14ac:dyDescent="0.25">
      <c r="A55" s="9">
        <v>25</v>
      </c>
      <c r="B55" s="7"/>
      <c r="C55" s="18" t="s">
        <v>57</v>
      </c>
      <c r="D55" s="65">
        <f>'WE-FLSH'!L55</f>
        <v>0</v>
      </c>
      <c r="E55" s="66">
        <f>'WE-FLSH'!M55</f>
        <v>-1381591.6439499999</v>
      </c>
      <c r="F55" s="60">
        <f>'WE-GL '!D55</f>
        <v>23032</v>
      </c>
      <c r="G55" s="38">
        <f>'WE-GL '!E55</f>
        <v>-2187783.38</v>
      </c>
      <c r="H55" s="60">
        <f>F55-D55</f>
        <v>23032</v>
      </c>
      <c r="I55" s="38">
        <f>G55-E55</f>
        <v>-806191.73604999995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-1709860.72395</v>
      </c>
      <c r="F56" s="61">
        <f t="shared" si="10"/>
        <v>-11704531</v>
      </c>
      <c r="G56" s="39">
        <f t="shared" si="10"/>
        <v>-2295926.87</v>
      </c>
      <c r="H56" s="61">
        <f t="shared" si="10"/>
        <v>-11704531</v>
      </c>
      <c r="I56" s="39">
        <f t="shared" si="10"/>
        <v>-586066.14604999986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63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'WE-FLSH'!L70</f>
        <v>0</v>
      </c>
      <c r="E70" s="66">
        <f>'WE-FLSH'!M70</f>
        <v>4213356.8099999996</v>
      </c>
      <c r="F70" s="60">
        <f>'WE-GL '!D70</f>
        <v>0</v>
      </c>
      <c r="G70" s="38">
        <f>'WE-GL '!E70</f>
        <v>4213356.8099999996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69</v>
      </c>
      <c r="D71" s="65">
        <f>'WE-FLSH'!L71</f>
        <v>0</v>
      </c>
      <c r="E71" s="66">
        <f>'WE-FLSH'!M71</f>
        <v>-2029682</v>
      </c>
      <c r="F71" s="60">
        <f>'WE-GL '!D71</f>
        <v>0</v>
      </c>
      <c r="G71" s="38">
        <f>'WE-GL '!E71</f>
        <v>-2029682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1">
        <f t="shared" ref="D72:I72" si="13">SUM(D70:D71)</f>
        <v>0</v>
      </c>
      <c r="E72" s="39">
        <f t="shared" si="13"/>
        <v>2183674.8099999996</v>
      </c>
      <c r="F72" s="61">
        <f t="shared" si="13"/>
        <v>0</v>
      </c>
      <c r="G72" s="39">
        <f t="shared" si="13"/>
        <v>2183674.8099999996</v>
      </c>
      <c r="H72" s="61">
        <f t="shared" si="13"/>
        <v>0</v>
      </c>
      <c r="I72" s="39">
        <f t="shared" si="13"/>
        <v>0</v>
      </c>
    </row>
    <row r="73" spans="1:9" x14ac:dyDescent="0.25">
      <c r="A73" s="9">
        <v>32</v>
      </c>
      <c r="B73" s="3"/>
      <c r="C73" s="10" t="s">
        <v>71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'WE-FLSH'!L74</f>
        <v>0</v>
      </c>
      <c r="E74" s="66">
        <f>'WE-FLSH'!M74</f>
        <v>-435409.37</v>
      </c>
      <c r="F74" s="60">
        <f>'WE-GL '!D74</f>
        <v>0</v>
      </c>
      <c r="G74" s="38">
        <f>'WE-GL '!E74</f>
        <v>-811482</v>
      </c>
      <c r="H74" s="60">
        <f t="shared" ref="H74:I79" si="14">F74-D74</f>
        <v>0</v>
      </c>
      <c r="I74" s="38">
        <f t="shared" si="14"/>
        <v>-376072.63</v>
      </c>
    </row>
    <row r="75" spans="1:9" x14ac:dyDescent="0.25">
      <c r="A75" s="9">
        <v>34</v>
      </c>
      <c r="B75" s="3"/>
      <c r="C75" s="10" t="s">
        <v>73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'WE-FLSH'!L76</f>
        <v>0</v>
      </c>
      <c r="E76" s="66">
        <f>'WE-FLSH'!M76</f>
        <v>-23158</v>
      </c>
      <c r="F76" s="60">
        <f>'WE-GL '!D76</f>
        <v>0</v>
      </c>
      <c r="G76" s="38">
        <f>'WE-GL '!E76</f>
        <v>-18863.54</v>
      </c>
      <c r="H76" s="60">
        <f t="shared" si="14"/>
        <v>0</v>
      </c>
      <c r="I76" s="38">
        <f t="shared" si="14"/>
        <v>4294.4599999999991</v>
      </c>
    </row>
    <row r="77" spans="1:9" x14ac:dyDescent="0.25">
      <c r="A77" s="9">
        <v>36</v>
      </c>
      <c r="B77" s="3"/>
      <c r="C77" s="10" t="s">
        <v>75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'WE-FLSH'!L81</f>
        <v>0</v>
      </c>
      <c r="E81" s="66">
        <f>'WE-FLSH'!M81</f>
        <v>8921</v>
      </c>
      <c r="F81" s="60">
        <f>'WE-GL '!D81</f>
        <v>0</v>
      </c>
      <c r="G81" s="38">
        <f>'WE-GL '!E81</f>
        <v>56433.84</v>
      </c>
      <c r="H81" s="60">
        <f>F81-D81</f>
        <v>0</v>
      </c>
      <c r="I81" s="38">
        <f>G81-E81</f>
        <v>47512.84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1207313.228680613</v>
      </c>
      <c r="F82" s="111">
        <f>F16+F24+F29+F36+F43+F45+F47+F49</f>
        <v>0</v>
      </c>
      <c r="G82" s="112">
        <f>SUM(G72:G81)+G16+G24+G29+G36+G43+G45+G47+G49+G51+G56+G61+G66</f>
        <v>147741.17299999204</v>
      </c>
      <c r="H82" s="111">
        <f>H16+H24+H29+H36+H43+H45+H47+H49</f>
        <v>0</v>
      </c>
      <c r="I82" s="112">
        <f>SUM(I72:I81)+I16+I24+I29+I36+I43+I45+I47+I49+I51+I56+I61+I66</f>
        <v>-1059572.0556806284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27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-77918</v>
      </c>
      <c r="H12" s="60">
        <f>F12-D12</f>
        <v>0</v>
      </c>
      <c r="I12" s="38">
        <f>G12-E12</f>
        <v>-77918</v>
      </c>
    </row>
    <row r="13" spans="1:22" x14ac:dyDescent="0.25">
      <c r="A13" s="9">
        <v>3</v>
      </c>
      <c r="B13" s="7"/>
      <c r="C13" s="18" t="s">
        <v>28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1396062</v>
      </c>
      <c r="H13" s="60">
        <f t="shared" ref="H13:I15" si="0">F13-D13</f>
        <v>0</v>
      </c>
      <c r="I13" s="38">
        <f t="shared" si="0"/>
        <v>1396062</v>
      </c>
    </row>
    <row r="14" spans="1:22" x14ac:dyDescent="0.25">
      <c r="A14" s="9">
        <v>4</v>
      </c>
      <c r="B14" s="7"/>
      <c r="C14" s="18" t="s">
        <v>29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1318144</v>
      </c>
      <c r="H16" s="61">
        <f t="shared" si="1"/>
        <v>0</v>
      </c>
      <c r="I16" s="39">
        <f t="shared" si="1"/>
        <v>1318144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27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28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29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37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41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48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564737</v>
      </c>
      <c r="H41" s="60">
        <f t="shared" si="7"/>
        <v>0</v>
      </c>
      <c r="I41" s="38">
        <f t="shared" si="7"/>
        <v>564737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564737</v>
      </c>
      <c r="H42" s="69">
        <f t="shared" si="8"/>
        <v>0</v>
      </c>
      <c r="I42" s="70">
        <f t="shared" si="8"/>
        <v>564737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564737</v>
      </c>
      <c r="H43" s="61">
        <f t="shared" si="9"/>
        <v>0</v>
      </c>
      <c r="I43" s="39">
        <f t="shared" si="9"/>
        <v>564737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-43915</v>
      </c>
      <c r="H51" s="60">
        <f>F51-D51</f>
        <v>0</v>
      </c>
      <c r="I51" s="38">
        <f>G51-E51</f>
        <v>-43915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57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STG_FLSH!L70</f>
        <v>0</v>
      </c>
      <c r="E70" s="66">
        <f>STG_FLSH!M70</f>
        <v>5957659</v>
      </c>
      <c r="F70" s="60">
        <f>STG_GL!D70</f>
        <v>0</v>
      </c>
      <c r="G70" s="38">
        <f>STG_GL!E70</f>
        <v>4111298</v>
      </c>
      <c r="H70" s="60">
        <f>F70-D70</f>
        <v>0</v>
      </c>
      <c r="I70" s="38">
        <f>G70-E70</f>
        <v>-1846361</v>
      </c>
    </row>
    <row r="71" spans="1:9" x14ac:dyDescent="0.25">
      <c r="A71" s="9">
        <v>31</v>
      </c>
      <c r="B71" s="3"/>
      <c r="C71" s="10" t="s">
        <v>69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5957659</v>
      </c>
      <c r="F72" s="69">
        <f t="shared" si="13"/>
        <v>0</v>
      </c>
      <c r="G72" s="70">
        <f t="shared" si="13"/>
        <v>4111298</v>
      </c>
      <c r="H72" s="69">
        <f t="shared" si="13"/>
        <v>0</v>
      </c>
      <c r="I72" s="70">
        <f t="shared" si="13"/>
        <v>-1846361</v>
      </c>
    </row>
    <row r="73" spans="1:9" x14ac:dyDescent="0.25">
      <c r="A73" s="9">
        <v>32</v>
      </c>
      <c r="B73" s="3"/>
      <c r="C73" s="10" t="s">
        <v>71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-1710933.76</v>
      </c>
      <c r="H74" s="60">
        <f t="shared" ref="H74:I79" si="14">F74-D74</f>
        <v>0</v>
      </c>
      <c r="I74" s="38">
        <f t="shared" si="14"/>
        <v>-1710933.76</v>
      </c>
    </row>
    <row r="75" spans="1:9" x14ac:dyDescent="0.25">
      <c r="A75" s="9">
        <v>34</v>
      </c>
      <c r="B75" s="3"/>
      <c r="C75" s="10" t="s">
        <v>73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5">
      <c r="A78" s="9">
        <v>37</v>
      </c>
      <c r="B78" s="3"/>
      <c r="C78" s="10" t="s">
        <v>76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STG_FLSH!L81</f>
        <v>0</v>
      </c>
      <c r="E81" s="66">
        <f>STG_FLSH!M81</f>
        <v>-4665659</v>
      </c>
      <c r="F81" s="60">
        <f>STG_GL!D81</f>
        <v>0</v>
      </c>
      <c r="G81" s="38">
        <f>STG_GL!E81</f>
        <v>-107654</v>
      </c>
      <c r="H81" s="60">
        <f>F81-D81</f>
        <v>0</v>
      </c>
      <c r="I81" s="38">
        <f>G81-E81</f>
        <v>4558005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1292000</v>
      </c>
      <c r="F82" s="111">
        <f>F16+F24+F29+F36+F43+F45+F47+F49</f>
        <v>0</v>
      </c>
      <c r="G82" s="112">
        <f>SUM(G72:G81)+G16+G24+G29+G36+G43+G45+G47+G49+G51+G56+G61+G66</f>
        <v>3878355.24</v>
      </c>
      <c r="H82" s="111">
        <f>H16+H24+H29+H36+H43+H45+H47+H49</f>
        <v>0</v>
      </c>
      <c r="I82" s="112">
        <f>SUM(I72:I81)+I16+I24+I29+I36+I43+I45+I47+I49+I51+I56+I61+I66</f>
        <v>2586355.2400000002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E69" sqref="E69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166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ONT_FLSH!L11</f>
        <v>11934458</v>
      </c>
      <c r="E11" s="66">
        <f>ONT_FLSH!M11</f>
        <v>27364164</v>
      </c>
      <c r="F11" s="60">
        <f>'ONT_GL '!D11</f>
        <v>12144231</v>
      </c>
      <c r="G11" s="38">
        <f>'ONT_GL '!E11</f>
        <v>27553781</v>
      </c>
      <c r="H11" s="60">
        <f>F11-D11</f>
        <v>209773</v>
      </c>
      <c r="I11" s="38">
        <f>G11-E11</f>
        <v>189617</v>
      </c>
    </row>
    <row r="12" spans="1:22" x14ac:dyDescent="0.25">
      <c r="A12" s="9">
        <v>2</v>
      </c>
      <c r="B12" s="7"/>
      <c r="C12" s="18" t="s">
        <v>27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-82803.83</v>
      </c>
      <c r="H12" s="60">
        <f>F12-D12</f>
        <v>0</v>
      </c>
      <c r="I12" s="38">
        <f>G12-E12</f>
        <v>-82803.83</v>
      </c>
    </row>
    <row r="13" spans="1:22" x14ac:dyDescent="0.25">
      <c r="A13" s="9">
        <v>3</v>
      </c>
      <c r="B13" s="7"/>
      <c r="C13" s="18" t="s">
        <v>28</v>
      </c>
      <c r="D13" s="65">
        <f>ONT_FLSH!L13</f>
        <v>4092265</v>
      </c>
      <c r="E13" s="66">
        <f>ONT_FLSH!M13</f>
        <v>9421115</v>
      </c>
      <c r="F13" s="60">
        <f>'ONT_GL '!D13</f>
        <v>3846962</v>
      </c>
      <c r="G13" s="38">
        <f>'ONT_GL '!E13</f>
        <v>8853966</v>
      </c>
      <c r="H13" s="60">
        <f t="shared" ref="H13:I15" si="0">F13-D13</f>
        <v>-245303</v>
      </c>
      <c r="I13" s="38">
        <f t="shared" si="0"/>
        <v>-567149</v>
      </c>
    </row>
    <row r="14" spans="1:22" x14ac:dyDescent="0.25">
      <c r="A14" s="9">
        <v>4</v>
      </c>
      <c r="B14" s="7"/>
      <c r="C14" s="18" t="s">
        <v>29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16026723</v>
      </c>
      <c r="E16" s="39">
        <f t="shared" si="1"/>
        <v>36785279</v>
      </c>
      <c r="F16" s="61">
        <f t="shared" si="1"/>
        <v>15991193</v>
      </c>
      <c r="G16" s="39">
        <f t="shared" si="1"/>
        <v>36324943.170000002</v>
      </c>
      <c r="H16" s="61">
        <f t="shared" si="1"/>
        <v>-35530</v>
      </c>
      <c r="I16" s="39">
        <f t="shared" si="1"/>
        <v>-460335.83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ONT_FLSH!L19</f>
        <v>-11941111</v>
      </c>
      <c r="E19" s="66">
        <f>ONT_FLSH!M19</f>
        <v>-27369207</v>
      </c>
      <c r="F19" s="60">
        <f>'ONT_GL '!D19</f>
        <v>-15858602</v>
      </c>
      <c r="G19" s="38">
        <f>'ONT_GL '!E19</f>
        <v>-35366285.780000001</v>
      </c>
      <c r="H19" s="60">
        <f>F19-D19</f>
        <v>-3917491</v>
      </c>
      <c r="I19" s="38">
        <f>G19-E19</f>
        <v>-7997078.7800000012</v>
      </c>
    </row>
    <row r="20" spans="1:9" x14ac:dyDescent="0.25">
      <c r="A20" s="9">
        <v>7</v>
      </c>
      <c r="B20" s="7"/>
      <c r="C20" s="18" t="s">
        <v>27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100849.46</v>
      </c>
      <c r="H20" s="60">
        <f>F20-D20</f>
        <v>0</v>
      </c>
      <c r="I20" s="38">
        <f>G20-E20</f>
        <v>100849.46</v>
      </c>
    </row>
    <row r="21" spans="1:9" x14ac:dyDescent="0.25">
      <c r="A21" s="9">
        <v>8</v>
      </c>
      <c r="B21" s="7"/>
      <c r="C21" s="18" t="s">
        <v>28</v>
      </c>
      <c r="D21" s="65">
        <f>ONT_FLSH!L21</f>
        <v>-4094437</v>
      </c>
      <c r="E21" s="66">
        <f>ONT_FLSH!M21</f>
        <v>-9482021</v>
      </c>
      <c r="F21" s="60">
        <f>'ONT_GL '!D21</f>
        <v>0</v>
      </c>
      <c r="G21" s="38">
        <f>'ONT_GL '!E21</f>
        <v>0</v>
      </c>
      <c r="H21" s="60">
        <f t="shared" ref="H21:I23" si="2">F21-D21</f>
        <v>4094437</v>
      </c>
      <c r="I21" s="38">
        <f t="shared" si="2"/>
        <v>9482021</v>
      </c>
    </row>
    <row r="22" spans="1:9" x14ac:dyDescent="0.25">
      <c r="A22" s="9">
        <v>9</v>
      </c>
      <c r="B22" s="7"/>
      <c r="C22" s="18" t="s">
        <v>29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-16035548</v>
      </c>
      <c r="E24" s="39">
        <f t="shared" si="3"/>
        <v>-36851228</v>
      </c>
      <c r="F24" s="61">
        <f t="shared" si="3"/>
        <v>-15858602</v>
      </c>
      <c r="G24" s="39">
        <f t="shared" si="3"/>
        <v>-35265436.32</v>
      </c>
      <c r="H24" s="61">
        <f t="shared" si="3"/>
        <v>176946</v>
      </c>
      <c r="I24" s="39">
        <f t="shared" si="3"/>
        <v>1585791.6799999988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37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ONT_FLSH!L32</f>
        <v>0</v>
      </c>
      <c r="E32" s="66">
        <f>ONT_FLSH!M32</f>
        <v>0</v>
      </c>
      <c r="F32" s="60">
        <f>'ONT_GL '!D32</f>
        <v>-473130</v>
      </c>
      <c r="G32" s="38">
        <f>'ONT_GL '!E32</f>
        <v>0</v>
      </c>
      <c r="H32" s="60">
        <f>F32-D32</f>
        <v>-473130</v>
      </c>
      <c r="I32" s="38">
        <f>G32-E32</f>
        <v>0</v>
      </c>
    </row>
    <row r="33" spans="1:9" x14ac:dyDescent="0.25">
      <c r="A33" s="9">
        <v>14</v>
      </c>
      <c r="B33" s="7"/>
      <c r="C33" s="18" t="s">
        <v>41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-933471</v>
      </c>
      <c r="H35" s="60">
        <f t="shared" si="5"/>
        <v>0</v>
      </c>
      <c r="I35" s="38">
        <f t="shared" si="5"/>
        <v>-933471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-473130</v>
      </c>
      <c r="G36" s="39">
        <f t="shared" si="6"/>
        <v>-933471</v>
      </c>
      <c r="H36" s="61">
        <f t="shared" si="6"/>
        <v>-473130</v>
      </c>
      <c r="I36" s="39">
        <f t="shared" si="6"/>
        <v>-933471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48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ONT_FLSH!L49</f>
        <v>8825</v>
      </c>
      <c r="E49" s="66">
        <f>ONT_FLSH!M49</f>
        <v>23033.25</v>
      </c>
      <c r="F49" s="60">
        <f>'ONT_GL '!D49</f>
        <v>340539</v>
      </c>
      <c r="G49" s="38">
        <f>'ONT_GL '!E49</f>
        <v>888808</v>
      </c>
      <c r="H49" s="60">
        <f>F49-D49</f>
        <v>331714</v>
      </c>
      <c r="I49" s="38">
        <f>G49-E49</f>
        <v>865774.75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57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-26233</v>
      </c>
      <c r="H55" s="60">
        <f>F55-D55</f>
        <v>0</v>
      </c>
      <c r="I55" s="38">
        <f>G55-E55</f>
        <v>-26233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-26233</v>
      </c>
      <c r="H56" s="61">
        <f t="shared" si="10"/>
        <v>0</v>
      </c>
      <c r="I56" s="39">
        <f t="shared" si="10"/>
        <v>-26233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ONT_FLSH!L70</f>
        <v>0</v>
      </c>
      <c r="E70" s="66">
        <f>ONT_FLSH!M70</f>
        <v>-1156439.7147876816</v>
      </c>
      <c r="F70" s="60">
        <f>'ONT_GL '!D70</f>
        <v>0</v>
      </c>
      <c r="G70" s="38">
        <f>'ONT_GL '!E70</f>
        <v>-1156439.71</v>
      </c>
      <c r="H70" s="60">
        <f>F70-D70</f>
        <v>0</v>
      </c>
      <c r="I70" s="38">
        <f>G70-E70</f>
        <v>4.7876816242933273E-3</v>
      </c>
    </row>
    <row r="71" spans="1:9" x14ac:dyDescent="0.25">
      <c r="A71" s="9">
        <v>31</v>
      </c>
      <c r="B71" s="3"/>
      <c r="C71" s="10" t="s">
        <v>69</v>
      </c>
      <c r="D71" s="65">
        <f>ONT_FLSH!L71</f>
        <v>0</v>
      </c>
      <c r="E71" s="66">
        <f>ONT_FLSH!M71</f>
        <v>1203656</v>
      </c>
      <c r="F71" s="60">
        <f>'ONT_GL '!D71</f>
        <v>0</v>
      </c>
      <c r="G71" s="38">
        <f>'ONT_GL '!E71</f>
        <v>832910</v>
      </c>
      <c r="H71" s="60">
        <f>F71-D71</f>
        <v>0</v>
      </c>
      <c r="I71" s="38">
        <f>G71-E71</f>
        <v>-370746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47216.285212318413</v>
      </c>
      <c r="F72" s="69">
        <f t="shared" si="13"/>
        <v>0</v>
      </c>
      <c r="G72" s="70">
        <f t="shared" si="13"/>
        <v>-323529.70999999996</v>
      </c>
      <c r="H72" s="69">
        <f t="shared" si="13"/>
        <v>0</v>
      </c>
      <c r="I72" s="70">
        <f t="shared" si="13"/>
        <v>-370745.99521231838</v>
      </c>
    </row>
    <row r="73" spans="1:9" x14ac:dyDescent="0.25">
      <c r="A73" s="9">
        <v>32</v>
      </c>
      <c r="B73" s="3"/>
      <c r="C73" s="10" t="s">
        <v>71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ONT_FLSH!L74</f>
        <v>0</v>
      </c>
      <c r="E74" s="66">
        <f>ONT_FLSH!M74</f>
        <v>464350</v>
      </c>
      <c r="F74" s="60">
        <f>'ONT_GL '!D74</f>
        <v>0</v>
      </c>
      <c r="G74" s="38">
        <f>'ONT_GL '!E74</f>
        <v>299425</v>
      </c>
      <c r="H74" s="60">
        <f t="shared" ref="H74:I79" si="14">F74-D74</f>
        <v>0</v>
      </c>
      <c r="I74" s="38">
        <f t="shared" si="14"/>
        <v>-164925</v>
      </c>
    </row>
    <row r="75" spans="1:9" x14ac:dyDescent="0.25">
      <c r="A75" s="9">
        <v>34</v>
      </c>
      <c r="B75" s="3"/>
      <c r="C75" s="10" t="s">
        <v>73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ONT_FLSH!L76</f>
        <v>0</v>
      </c>
      <c r="E76" s="66">
        <f>ONT_FLSH!M76</f>
        <v>-440</v>
      </c>
      <c r="F76" s="60">
        <f>'ONT_GL '!D76</f>
        <v>0</v>
      </c>
      <c r="G76" s="38">
        <f>'ONT_GL '!E76</f>
        <v>-440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ONT_FLSH!L81</f>
        <v>0</v>
      </c>
      <c r="E81" s="66">
        <f>ONT_FLSH!M81</f>
        <v>-23960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23960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444250.53521231562</v>
      </c>
      <c r="F82" s="111">
        <f>F16+F24+F29+F36+F43+F45+F47+F49</f>
        <v>0</v>
      </c>
      <c r="G82" s="112">
        <f>SUM(G72:G81)+G16+G24+G29+G36+G43+G45+G47+G49+G51+G56+G61+G66</f>
        <v>964066.1400000006</v>
      </c>
      <c r="H82" s="111">
        <f>H16+H24+H29+H36+H43+H45+H47+H49</f>
        <v>0</v>
      </c>
      <c r="I82" s="112">
        <f>SUM(I72:I81)+I16+I24+I29+I36+I43+I45+I47+I49+I51+I56+I61+I66</f>
        <v>519815.60478768032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170</v>
      </c>
      <c r="B85" s="3"/>
      <c r="F85" s="31"/>
      <c r="G85" s="31"/>
      <c r="H85" s="31"/>
      <c r="I85" s="31"/>
    </row>
    <row r="86" spans="1:63" x14ac:dyDescent="0.25">
      <c r="A86" s="173"/>
      <c r="B86" s="3"/>
      <c r="C86" s="10" t="s">
        <v>173</v>
      </c>
      <c r="D86" s="174">
        <f>ONT_FLSH!L86</f>
        <v>0</v>
      </c>
      <c r="E86" s="174">
        <f>ONT_FLSH!M86</f>
        <v>109108</v>
      </c>
      <c r="F86" s="174">
        <f>'ONT_GL '!D86</f>
        <v>0</v>
      </c>
      <c r="G86" s="174">
        <f>'ONT_GL '!E86</f>
        <v>119317</v>
      </c>
      <c r="H86" s="174">
        <f t="shared" ref="H86:I88" si="15">F86-D86</f>
        <v>0</v>
      </c>
      <c r="I86" s="174">
        <f t="shared" si="15"/>
        <v>10209</v>
      </c>
    </row>
    <row r="87" spans="1:63" x14ac:dyDescent="0.25">
      <c r="A87" s="173"/>
      <c r="B87" s="3"/>
      <c r="C87" s="10" t="s">
        <v>72</v>
      </c>
      <c r="D87" s="175">
        <f>ONT_FLSH!L87</f>
        <v>0</v>
      </c>
      <c r="E87" s="175">
        <f>ONT_FLSH!M87</f>
        <v>0</v>
      </c>
      <c r="F87" s="175">
        <f>'ONT_GL '!D87</f>
        <v>0</v>
      </c>
      <c r="G87" s="175">
        <f>'ONT_GL '!E87</f>
        <v>0</v>
      </c>
      <c r="H87" s="175">
        <f t="shared" si="15"/>
        <v>0</v>
      </c>
      <c r="I87" s="175">
        <f t="shared" si="15"/>
        <v>0</v>
      </c>
    </row>
    <row r="88" spans="1:63" x14ac:dyDescent="0.25">
      <c r="A88" s="173"/>
      <c r="B88" s="3"/>
      <c r="C88" s="10" t="s">
        <v>73</v>
      </c>
      <c r="D88" s="176">
        <f>ONT_FLSH!L88</f>
        <v>0</v>
      </c>
      <c r="E88" s="176">
        <f>ONT_FLSH!M88</f>
        <v>0</v>
      </c>
      <c r="F88" s="176">
        <f>'ONT_GL '!D88</f>
        <v>0</v>
      </c>
      <c r="G88" s="176">
        <f>'ONT_GL '!E88</f>
        <v>-10208.76</v>
      </c>
      <c r="H88" s="176">
        <f t="shared" si="15"/>
        <v>0</v>
      </c>
      <c r="I88" s="176">
        <f t="shared" si="15"/>
        <v>-10208.76</v>
      </c>
    </row>
    <row r="89" spans="1:63" s="145" customFormat="1" x14ac:dyDescent="0.25">
      <c r="A89" s="187"/>
      <c r="B89" s="188"/>
      <c r="C89" s="186" t="s">
        <v>176</v>
      </c>
      <c r="D89" s="189">
        <f t="shared" ref="D89:I89" si="16">SUM(D86:D88)</f>
        <v>0</v>
      </c>
      <c r="E89" s="189">
        <f t="shared" si="16"/>
        <v>109108</v>
      </c>
      <c r="F89" s="189">
        <f t="shared" si="16"/>
        <v>0</v>
      </c>
      <c r="G89" s="189">
        <f t="shared" si="16"/>
        <v>109108.24</v>
      </c>
      <c r="H89" s="189">
        <f t="shared" si="16"/>
        <v>0</v>
      </c>
      <c r="I89" s="189">
        <f t="shared" si="16"/>
        <v>0.23999999999978172</v>
      </c>
    </row>
    <row r="90" spans="1:63" s="145" customFormat="1" x14ac:dyDescent="0.25">
      <c r="A90" s="191"/>
      <c r="B90" s="188"/>
      <c r="D90" s="192"/>
      <c r="E90" s="192"/>
      <c r="F90" s="192"/>
      <c r="G90" s="192"/>
      <c r="H90" s="192"/>
      <c r="I90" s="192"/>
    </row>
    <row r="91" spans="1:63" s="145" customFormat="1" x14ac:dyDescent="0.25">
      <c r="A91" s="187"/>
      <c r="B91" s="188"/>
      <c r="C91" s="186" t="s">
        <v>179</v>
      </c>
      <c r="D91" s="189">
        <f t="shared" ref="D91:I91" si="17">+D82+D89</f>
        <v>0</v>
      </c>
      <c r="E91" s="189">
        <f t="shared" si="17"/>
        <v>553358.53521231562</v>
      </c>
      <c r="F91" s="189">
        <f t="shared" si="17"/>
        <v>0</v>
      </c>
      <c r="G91" s="189">
        <f t="shared" si="17"/>
        <v>1073174.3800000006</v>
      </c>
      <c r="H91" s="189">
        <f t="shared" si="17"/>
        <v>0</v>
      </c>
      <c r="I91" s="189">
        <f t="shared" si="17"/>
        <v>519815.84478768031</v>
      </c>
    </row>
    <row r="92" spans="1:63" s="145" customFormat="1" x14ac:dyDescent="0.25">
      <c r="A92" s="191"/>
      <c r="B92" s="188"/>
      <c r="D92" s="192"/>
      <c r="E92" s="192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BUG_FLSH!D11</f>
        <v>9346810</v>
      </c>
      <c r="E11" s="66">
        <f>BUG_FLSH!E11</f>
        <v>21772141</v>
      </c>
      <c r="F11" s="60">
        <f>BUG_GL!D11</f>
        <v>9281040</v>
      </c>
      <c r="G11" s="38">
        <f>BUG_GL!E11</f>
        <v>21434744.010000002</v>
      </c>
      <c r="H11" s="60">
        <f>F11-D11</f>
        <v>-65770</v>
      </c>
      <c r="I11" s="38">
        <f>G11-E11</f>
        <v>-337396.98999999836</v>
      </c>
    </row>
    <row r="12" spans="1:22" x14ac:dyDescent="0.25">
      <c r="A12" s="9">
        <v>2</v>
      </c>
      <c r="B12" s="7"/>
      <c r="C12" s="18" t="s">
        <v>27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-0.2000000000007276</v>
      </c>
      <c r="H12" s="60">
        <f>F12-D12</f>
        <v>0</v>
      </c>
      <c r="I12" s="38">
        <f>G12-E12</f>
        <v>-0.2000000000007276</v>
      </c>
    </row>
    <row r="13" spans="1:22" x14ac:dyDescent="0.25">
      <c r="A13" s="9">
        <v>3</v>
      </c>
      <c r="B13" s="7"/>
      <c r="C13" s="18" t="s">
        <v>28</v>
      </c>
      <c r="D13" s="65">
        <f>BUG_FLSH!D13</f>
        <v>16101572</v>
      </c>
      <c r="E13" s="66">
        <f>BUG_FLSH!E13</f>
        <v>41121828</v>
      </c>
      <c r="F13" s="60">
        <f>BUG_GL!D13</f>
        <v>16101572</v>
      </c>
      <c r="G13" s="38">
        <f>BUG_GL!E13</f>
        <v>41121828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29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10337771</v>
      </c>
      <c r="H15" s="60">
        <f t="shared" si="0"/>
        <v>0</v>
      </c>
      <c r="I15" s="38">
        <f t="shared" si="0"/>
        <v>10337771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25448382</v>
      </c>
      <c r="E16" s="39">
        <f t="shared" si="1"/>
        <v>62893969</v>
      </c>
      <c r="F16" s="61">
        <f t="shared" si="1"/>
        <v>25382612</v>
      </c>
      <c r="G16" s="39">
        <f t="shared" si="1"/>
        <v>72894342.810000002</v>
      </c>
      <c r="H16" s="61">
        <f t="shared" si="1"/>
        <v>-65770</v>
      </c>
      <c r="I16" s="39">
        <f t="shared" si="1"/>
        <v>10000373.810000002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BUG_FLSH!D19</f>
        <v>-6719000</v>
      </c>
      <c r="E19" s="66">
        <f>BUG_FLSH!E19</f>
        <v>-13748694</v>
      </c>
      <c r="F19" s="60">
        <f>BUG_GL!D19</f>
        <v>-6696382</v>
      </c>
      <c r="G19" s="38">
        <f>BUG_GL!E19</f>
        <v>-12746453.6</v>
      </c>
      <c r="H19" s="60">
        <f>F19-D19</f>
        <v>22618</v>
      </c>
      <c r="I19" s="38">
        <f>G19-E19</f>
        <v>1002240.4000000004</v>
      </c>
    </row>
    <row r="20" spans="1:9" x14ac:dyDescent="0.25">
      <c r="A20" s="9">
        <v>7</v>
      </c>
      <c r="B20" s="7"/>
      <c r="C20" s="18" t="s">
        <v>27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28</v>
      </c>
      <c r="D21" s="65">
        <f>BUG_FLSH!D21</f>
        <v>-21579459</v>
      </c>
      <c r="E21" s="66">
        <f>BUG_FLSH!E21</f>
        <v>-53470940</v>
      </c>
      <c r="F21" s="60">
        <f>BUG_GL!D21</f>
        <v>-21579459</v>
      </c>
      <c r="G21" s="38">
        <f>BUG_GL!E21</f>
        <v>-53470940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29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BUG_FLSH!D23</f>
        <v>433218</v>
      </c>
      <c r="E23" s="66">
        <f>BUG_FLSH!E23</f>
        <v>1012453</v>
      </c>
      <c r="F23" s="60">
        <f>BUG_GL!D23</f>
        <v>433218</v>
      </c>
      <c r="G23" s="38">
        <f>BUG_GL!E23</f>
        <v>0</v>
      </c>
      <c r="H23" s="60">
        <f t="shared" si="2"/>
        <v>0</v>
      </c>
      <c r="I23" s="38">
        <f t="shared" si="2"/>
        <v>-1012453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-27865241</v>
      </c>
      <c r="E24" s="39">
        <f t="shared" si="3"/>
        <v>-66207181</v>
      </c>
      <c r="F24" s="61">
        <f t="shared" si="3"/>
        <v>-27842623</v>
      </c>
      <c r="G24" s="39">
        <f t="shared" si="3"/>
        <v>-66217393.600000001</v>
      </c>
      <c r="H24" s="61">
        <f t="shared" si="3"/>
        <v>22618</v>
      </c>
      <c r="I24" s="39">
        <f t="shared" si="3"/>
        <v>-10212.599999999627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BUG_FLSH!D27</f>
        <v>0</v>
      </c>
      <c r="E27" s="66">
        <f>BUG_FLSH!E27</f>
        <v>0</v>
      </c>
      <c r="F27" s="60">
        <f>BUG_GL!D27</f>
        <v>319487</v>
      </c>
      <c r="G27" s="38">
        <f>BUG_GL!E27</f>
        <v>808319</v>
      </c>
      <c r="H27" s="60">
        <f>F27-D27</f>
        <v>319487</v>
      </c>
      <c r="I27" s="38">
        <f>G27-E27</f>
        <v>808319</v>
      </c>
    </row>
    <row r="28" spans="1:9" x14ac:dyDescent="0.25">
      <c r="A28" s="9">
        <v>12</v>
      </c>
      <c r="B28" s="7"/>
      <c r="C28" s="18" t="s">
        <v>37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319487</v>
      </c>
      <c r="G29" s="70">
        <f t="shared" si="4"/>
        <v>808319</v>
      </c>
      <c r="H29" s="69">
        <f t="shared" si="4"/>
        <v>319487</v>
      </c>
      <c r="I29" s="70">
        <f t="shared" si="4"/>
        <v>808319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BUG_FLSH!D32</f>
        <v>13702</v>
      </c>
      <c r="E32" s="66">
        <f>BUG_FLSH!E32</f>
        <v>32748</v>
      </c>
      <c r="F32" s="60">
        <f>BUG_GL!D32</f>
        <v>0</v>
      </c>
      <c r="G32" s="38">
        <f>BUG_GL!E32</f>
        <v>0</v>
      </c>
      <c r="H32" s="60">
        <f>F32-D32</f>
        <v>-13702</v>
      </c>
      <c r="I32" s="38">
        <f>G32-E32</f>
        <v>-32748</v>
      </c>
    </row>
    <row r="33" spans="1:9" x14ac:dyDescent="0.25">
      <c r="A33" s="9">
        <v>14</v>
      </c>
      <c r="B33" s="7"/>
      <c r="C33" s="18" t="s">
        <v>41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BUG_FLSH!D34</f>
        <v>-33900</v>
      </c>
      <c r="E34" s="66">
        <f>BUG_FLSH!E34</f>
        <v>-98290</v>
      </c>
      <c r="F34" s="60">
        <f>BUG_GL!D34</f>
        <v>0</v>
      </c>
      <c r="G34" s="38">
        <f>BUG_GL!E34</f>
        <v>0</v>
      </c>
      <c r="H34" s="60">
        <f t="shared" si="5"/>
        <v>33900</v>
      </c>
      <c r="I34" s="38">
        <f t="shared" si="5"/>
        <v>98290</v>
      </c>
    </row>
    <row r="35" spans="1:9" x14ac:dyDescent="0.25">
      <c r="A35" s="9">
        <v>16</v>
      </c>
      <c r="B35" s="7"/>
      <c r="C35" s="18" t="s">
        <v>43</v>
      </c>
      <c r="D35" s="65">
        <f>BUG_FLSH!D35</f>
        <v>0</v>
      </c>
      <c r="E35" s="66">
        <f>BUG_FLSH!E35</f>
        <v>-2077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2077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-20198</v>
      </c>
      <c r="E36" s="39">
        <f t="shared" si="6"/>
        <v>-67619</v>
      </c>
      <c r="F36" s="61">
        <f t="shared" si="6"/>
        <v>0</v>
      </c>
      <c r="G36" s="39">
        <f t="shared" si="6"/>
        <v>0</v>
      </c>
      <c r="H36" s="61">
        <f t="shared" si="6"/>
        <v>20198</v>
      </c>
      <c r="I36" s="39">
        <f t="shared" si="6"/>
        <v>67619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BUG_FLSH!D39</f>
        <v>2371256</v>
      </c>
      <c r="E39" s="66">
        <f>BUG_FLSH!E39</f>
        <v>5979653</v>
      </c>
      <c r="F39" s="60">
        <f>BUG_GL!D39</f>
        <v>1519503</v>
      </c>
      <c r="G39" s="38">
        <f>BUG_GL!E39</f>
        <v>3822445.7</v>
      </c>
      <c r="H39" s="60">
        <f t="shared" ref="H39:I41" si="7">F39-D39</f>
        <v>-851753</v>
      </c>
      <c r="I39" s="38">
        <f t="shared" si="7"/>
        <v>-2157207.2999999998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BUG_FLSH!D40</f>
        <v>0</v>
      </c>
      <c r="E40" s="66">
        <f>BUG_FLSH!E40</f>
        <v>0</v>
      </c>
      <c r="F40" s="60">
        <f>BUG_GL!D40</f>
        <v>-352692</v>
      </c>
      <c r="G40" s="38">
        <f>BUG_GL!E40</f>
        <v>-935931.3</v>
      </c>
      <c r="H40" s="60">
        <f t="shared" si="7"/>
        <v>-352692</v>
      </c>
      <c r="I40" s="38">
        <f t="shared" si="7"/>
        <v>-935931.3</v>
      </c>
    </row>
    <row r="41" spans="1:9" x14ac:dyDescent="0.25">
      <c r="A41" s="9">
        <v>19</v>
      </c>
      <c r="B41" s="7"/>
      <c r="C41" s="18" t="s">
        <v>48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-352692</v>
      </c>
      <c r="G42" s="70">
        <f t="shared" si="8"/>
        <v>-935931.3</v>
      </c>
      <c r="H42" s="69">
        <f t="shared" si="8"/>
        <v>-352692</v>
      </c>
      <c r="I42" s="70">
        <f t="shared" si="8"/>
        <v>-935931.3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2371256</v>
      </c>
      <c r="E43" s="39">
        <f t="shared" si="9"/>
        <v>5979653</v>
      </c>
      <c r="F43" s="61">
        <f t="shared" si="9"/>
        <v>1166811</v>
      </c>
      <c r="G43" s="39">
        <f t="shared" si="9"/>
        <v>2886514.4000000004</v>
      </c>
      <c r="H43" s="61">
        <f t="shared" si="9"/>
        <v>-1204445</v>
      </c>
      <c r="I43" s="39">
        <f t="shared" si="9"/>
        <v>-3093138.5999999996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BUG_FLSH!D49</f>
        <v>65801</v>
      </c>
      <c r="E49" s="66">
        <f>BUG_FLSH!E49</f>
        <v>149039.26500000001</v>
      </c>
      <c r="F49" s="60">
        <f>BUG_GL!D49</f>
        <v>973713</v>
      </c>
      <c r="G49" s="38">
        <f>BUG_GL!E49</f>
        <v>2205459.9649999999</v>
      </c>
      <c r="H49" s="60">
        <f>F49-D49</f>
        <v>907912</v>
      </c>
      <c r="I49" s="38">
        <f>G49-E49</f>
        <v>2056420.6999999997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BUG_FLSH!D51</f>
        <v>-433218</v>
      </c>
      <c r="E51" s="66">
        <f>BUG_FLSH!E51</f>
        <v>-1012453</v>
      </c>
      <c r="F51" s="60">
        <f>BUG_GL!D51</f>
        <v>0</v>
      </c>
      <c r="G51" s="38">
        <f>BUG_GL!E51</f>
        <v>0</v>
      </c>
      <c r="H51" s="60">
        <f>F51-D51</f>
        <v>433218</v>
      </c>
      <c r="I51" s="38">
        <f>G51-E51</f>
        <v>1012453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BUG_FLSH!D54</f>
        <v>0</v>
      </c>
      <c r="E54" s="66">
        <f>BUG_FLSH!E54</f>
        <v>-512941</v>
      </c>
      <c r="F54" s="60">
        <f>BUG_GL!D54</f>
        <v>-13890079</v>
      </c>
      <c r="G54" s="38">
        <f>BUG_GL!E54</f>
        <v>-518118.01999999996</v>
      </c>
      <c r="H54" s="60">
        <f>F54-D54</f>
        <v>-13890079</v>
      </c>
      <c r="I54" s="38">
        <f>G54-E54</f>
        <v>-5177.0199999999604</v>
      </c>
    </row>
    <row r="55" spans="1:9" x14ac:dyDescent="0.25">
      <c r="A55" s="9">
        <v>25</v>
      </c>
      <c r="B55" s="7"/>
      <c r="C55" s="18" t="s">
        <v>57</v>
      </c>
      <c r="D55" s="65">
        <f>BUG_FLSH!D55</f>
        <v>0</v>
      </c>
      <c r="E55" s="66">
        <f>BUG_FLSH!E55</f>
        <v>186651</v>
      </c>
      <c r="F55" s="60">
        <f>BUG_GL!D55</f>
        <v>0</v>
      </c>
      <c r="G55" s="38">
        <f>BUG_GL!E55</f>
        <v>-10044794.630000001</v>
      </c>
      <c r="H55" s="60">
        <f>F55-D55</f>
        <v>0</v>
      </c>
      <c r="I55" s="38">
        <f>G55-E55</f>
        <v>-10231445.630000001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-326290</v>
      </c>
      <c r="F56" s="61">
        <f t="shared" si="10"/>
        <v>-13890079</v>
      </c>
      <c r="G56" s="39">
        <f t="shared" si="10"/>
        <v>-10562912.65</v>
      </c>
      <c r="H56" s="61">
        <f t="shared" si="10"/>
        <v>-13890079</v>
      </c>
      <c r="I56" s="39">
        <f t="shared" si="10"/>
        <v>-10236622.65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-1</v>
      </c>
      <c r="H59" s="60">
        <f>F59-D59</f>
        <v>0</v>
      </c>
      <c r="I59" s="38">
        <f>G59-E59</f>
        <v>-1</v>
      </c>
    </row>
    <row r="60" spans="1:9" x14ac:dyDescent="0.25">
      <c r="A60" s="9">
        <v>27</v>
      </c>
      <c r="B60" s="11"/>
      <c r="C60" s="18" t="s">
        <v>61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-1</v>
      </c>
      <c r="H61" s="69">
        <f t="shared" si="11"/>
        <v>0</v>
      </c>
      <c r="I61" s="70">
        <f t="shared" si="11"/>
        <v>-1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BUG_FLSH!D70</f>
        <v>0</v>
      </c>
      <c r="E70" s="66">
        <f>BUG_FLSH!E70</f>
        <v>6564288.6324007958</v>
      </c>
      <c r="F70" s="60">
        <f>BUG_GL!D70</f>
        <v>0</v>
      </c>
      <c r="G70" s="38">
        <f>BUG_GL!E70</f>
        <v>6564288.6299999999</v>
      </c>
      <c r="H70" s="60">
        <f>F70-D70</f>
        <v>0</v>
      </c>
      <c r="I70" s="38">
        <f>G70-E70</f>
        <v>-2.4007959291338921E-3</v>
      </c>
    </row>
    <row r="71" spans="1:9" x14ac:dyDescent="0.25">
      <c r="A71" s="9">
        <v>31</v>
      </c>
      <c r="B71" s="3"/>
      <c r="C71" s="10" t="s">
        <v>69</v>
      </c>
      <c r="D71" s="65">
        <f>BUG_FLSH!D71</f>
        <v>0</v>
      </c>
      <c r="E71" s="66">
        <f>BUG_FLSH!E71</f>
        <v>-6075073</v>
      </c>
      <c r="F71" s="60">
        <f>BUG_GL!D71</f>
        <v>0</v>
      </c>
      <c r="G71" s="38">
        <f>BUG_GL!E71</f>
        <v>-6075072.7400000002</v>
      </c>
      <c r="H71" s="60">
        <f>F71-D71</f>
        <v>0</v>
      </c>
      <c r="I71" s="38">
        <f>G71-E71</f>
        <v>0.25999999977648258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489215.63240079582</v>
      </c>
      <c r="F72" s="69">
        <f t="shared" si="13"/>
        <v>0</v>
      </c>
      <c r="G72" s="70">
        <f t="shared" si="13"/>
        <v>489215.88999999966</v>
      </c>
      <c r="H72" s="69">
        <f t="shared" si="13"/>
        <v>0</v>
      </c>
      <c r="I72" s="70">
        <f t="shared" si="13"/>
        <v>0.25759920384734869</v>
      </c>
    </row>
    <row r="73" spans="1:9" x14ac:dyDescent="0.25">
      <c r="A73" s="9">
        <v>32</v>
      </c>
      <c r="B73" s="3"/>
      <c r="C73" s="10" t="s">
        <v>71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BUG_FLSH!D74</f>
        <v>0</v>
      </c>
      <c r="E74" s="66">
        <f>BUG_FLSH!E74</f>
        <v>-567594</v>
      </c>
      <c r="F74" s="60">
        <f>BUG_GL!D74</f>
        <v>0</v>
      </c>
      <c r="G74" s="38">
        <f>BUG_GL!E74</f>
        <v>-577141</v>
      </c>
      <c r="H74" s="60">
        <f t="shared" ref="H74:I79" si="14">F74-D74</f>
        <v>0</v>
      </c>
      <c r="I74" s="38">
        <f t="shared" si="14"/>
        <v>-9547</v>
      </c>
    </row>
    <row r="75" spans="1:9" x14ac:dyDescent="0.25">
      <c r="A75" s="9">
        <v>34</v>
      </c>
      <c r="B75" s="3"/>
      <c r="C75" s="10" t="s">
        <v>73</v>
      </c>
      <c r="D75" s="65">
        <f>BUG_FLSH!D75</f>
        <v>0</v>
      </c>
      <c r="E75" s="66">
        <f>BUG_FLSH!E75</f>
        <v>130708</v>
      </c>
      <c r="F75" s="60">
        <f>BUG_GL!D75</f>
        <v>0</v>
      </c>
      <c r="G75" s="38">
        <f>BUG_GL!E75</f>
        <v>130700</v>
      </c>
      <c r="H75" s="60">
        <f t="shared" si="14"/>
        <v>0</v>
      </c>
      <c r="I75" s="38">
        <f t="shared" si="14"/>
        <v>-8</v>
      </c>
    </row>
    <row r="76" spans="1:9" x14ac:dyDescent="0.25">
      <c r="A76" s="9">
        <v>35</v>
      </c>
      <c r="B76" s="3"/>
      <c r="C76" s="10" t="s">
        <v>74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1461447.8974007959</v>
      </c>
      <c r="F82" s="111">
        <f>F16+F24+F29+F36+F43+F45+F47+F49</f>
        <v>0</v>
      </c>
      <c r="G82" s="112">
        <f>SUM(G72:G81)+G16+G24+G29+G36+G43+G45+G47+G49+G51+G56+G61+G66</f>
        <v>2057103.8150000013</v>
      </c>
      <c r="H82" s="111">
        <f>H16+H24+H29+H36+H43+H45+H47+H49</f>
        <v>0</v>
      </c>
      <c r="I82" s="112">
        <f>SUM(I72:I81)+I16+I24+I29+I36+I43+I45+I47+I49+I51+I56+I61+I66</f>
        <v>595655.91759920679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6"/>
  <sheetViews>
    <sheetView workbookViewId="0">
      <pane xSplit="4" ySplit="3" topLeftCell="U636" activePane="bottomRight" state="frozen"/>
      <selection pane="topRight" activeCell="E1" sqref="E1"/>
      <selection pane="bottomLeft" activeCell="A4" sqref="A4"/>
      <selection pane="bottomRight" activeCell="Y647" sqref="Y647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style="123" customWidth="1"/>
    <col min="8" max="8" width="12.33203125" customWidth="1"/>
    <col min="9" max="9" width="11.6640625" style="123" customWidth="1"/>
    <col min="10" max="10" width="11.33203125" customWidth="1"/>
    <col min="11" max="11" width="12" customWidth="1"/>
    <col min="12" max="13" width="11.6640625" customWidth="1"/>
    <col min="14" max="14" width="12.44140625" customWidth="1"/>
    <col min="15" max="15" width="12.109375" customWidth="1"/>
    <col min="16" max="16" width="12.33203125" customWidth="1"/>
    <col min="17" max="17" width="10.6640625" customWidth="1"/>
    <col min="20" max="20" width="11.5546875" bestFit="1" customWidth="1"/>
    <col min="21" max="21" width="14.109375" customWidth="1"/>
  </cols>
  <sheetData>
    <row r="1" spans="1:118" ht="28.5" customHeight="1" x14ac:dyDescent="0.25">
      <c r="E1" s="212">
        <v>36342</v>
      </c>
      <c r="F1" s="212"/>
      <c r="G1" s="213">
        <f>+E1+31</f>
        <v>36373</v>
      </c>
      <c r="H1" s="213"/>
      <c r="I1" s="213">
        <f>+G1+31</f>
        <v>36404</v>
      </c>
      <c r="J1" s="213"/>
      <c r="K1" s="214">
        <f>+I1+31</f>
        <v>36435</v>
      </c>
      <c r="L1" s="214"/>
      <c r="M1" s="214">
        <f>+K1+31</f>
        <v>36466</v>
      </c>
      <c r="N1" s="214"/>
      <c r="O1" s="214">
        <f>+M1+30</f>
        <v>36496</v>
      </c>
      <c r="P1" s="214"/>
      <c r="Q1" s="214">
        <f>+O1+31</f>
        <v>36527</v>
      </c>
      <c r="R1" s="214"/>
      <c r="S1" s="214">
        <f>+Q1+31</f>
        <v>36558</v>
      </c>
      <c r="T1" s="214"/>
      <c r="U1" s="214">
        <f>+S1+31</f>
        <v>36589</v>
      </c>
      <c r="V1" s="214"/>
      <c r="W1" s="214">
        <f>+U1+31</f>
        <v>36620</v>
      </c>
      <c r="X1" s="214"/>
      <c r="Y1" s="214">
        <f>+W1+31</f>
        <v>36651</v>
      </c>
      <c r="Z1" s="214"/>
      <c r="AA1" s="214">
        <f>+Y1+31</f>
        <v>36682</v>
      </c>
      <c r="AB1" s="214"/>
      <c r="AC1" s="214">
        <f>+AA1+31</f>
        <v>36713</v>
      </c>
      <c r="AD1" s="214"/>
      <c r="AE1" s="214">
        <f>+AC1+31</f>
        <v>36744</v>
      </c>
      <c r="AF1" s="214"/>
      <c r="AG1" s="214"/>
      <c r="AH1" s="214"/>
    </row>
    <row r="2" spans="1:118" x14ac:dyDescent="0.25">
      <c r="A2" s="113" t="s">
        <v>116</v>
      </c>
      <c r="B2" s="113" t="s">
        <v>117</v>
      </c>
      <c r="C2" s="113" t="s">
        <v>118</v>
      </c>
      <c r="D2" s="113" t="s">
        <v>119</v>
      </c>
      <c r="E2" s="114" t="s">
        <v>120</v>
      </c>
      <c r="F2" s="114" t="s">
        <v>121</v>
      </c>
      <c r="G2" s="123" t="s">
        <v>122</v>
      </c>
    </row>
    <row r="3" spans="1:118" s="117" customFormat="1" x14ac:dyDescent="0.25">
      <c r="A3" s="115" t="s">
        <v>123</v>
      </c>
      <c r="B3" s="115" t="s">
        <v>117</v>
      </c>
      <c r="C3" s="115" t="s">
        <v>118</v>
      </c>
      <c r="D3" s="115" t="s">
        <v>119</v>
      </c>
      <c r="E3" s="116" t="s">
        <v>185</v>
      </c>
      <c r="F3" s="117" t="s">
        <v>186</v>
      </c>
      <c r="G3" s="116" t="s">
        <v>185</v>
      </c>
      <c r="H3" s="117" t="s">
        <v>186</v>
      </c>
      <c r="I3" s="169" t="s">
        <v>185</v>
      </c>
      <c r="J3" s="117" t="s">
        <v>186</v>
      </c>
      <c r="K3" s="116" t="s">
        <v>185</v>
      </c>
      <c r="L3" s="117" t="s">
        <v>186</v>
      </c>
      <c r="M3" s="116" t="s">
        <v>185</v>
      </c>
      <c r="N3" s="117" t="s">
        <v>186</v>
      </c>
      <c r="O3" s="116" t="s">
        <v>185</v>
      </c>
      <c r="P3" s="117" t="s">
        <v>186</v>
      </c>
      <c r="Q3" s="116" t="s">
        <v>185</v>
      </c>
      <c r="R3" s="117" t="s">
        <v>186</v>
      </c>
      <c r="S3" s="116" t="s">
        <v>185</v>
      </c>
      <c r="T3" s="117" t="s">
        <v>186</v>
      </c>
      <c r="U3" s="116" t="s">
        <v>185</v>
      </c>
      <c r="V3" s="117" t="s">
        <v>186</v>
      </c>
      <c r="W3" s="116" t="s">
        <v>185</v>
      </c>
      <c r="X3" s="117" t="s">
        <v>186</v>
      </c>
      <c r="Y3" s="116" t="s">
        <v>124</v>
      </c>
      <c r="AA3" s="116" t="s">
        <v>124</v>
      </c>
      <c r="AC3" s="116" t="s">
        <v>124</v>
      </c>
      <c r="AE3" s="116" t="s">
        <v>124</v>
      </c>
    </row>
    <row r="4" spans="1:118" x14ac:dyDescent="0.25">
      <c r="A4" s="118" t="s">
        <v>125</v>
      </c>
      <c r="B4" s="118" t="s">
        <v>126</v>
      </c>
      <c r="C4" s="119">
        <v>1</v>
      </c>
      <c r="D4" s="118" t="s">
        <v>26</v>
      </c>
      <c r="E4" s="120">
        <v>682365</v>
      </c>
      <c r="F4" s="120">
        <v>1430368.19</v>
      </c>
      <c r="G4" s="124">
        <v>17577</v>
      </c>
      <c r="H4" s="121">
        <v>100328.37</v>
      </c>
      <c r="I4" s="124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5">
      <c r="A5" s="118" t="s">
        <v>125</v>
      </c>
      <c r="B5" s="118" t="s">
        <v>126</v>
      </c>
      <c r="C5" s="119">
        <v>2</v>
      </c>
      <c r="D5" s="118" t="s">
        <v>27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5">
      <c r="A6" s="118" t="s">
        <v>125</v>
      </c>
      <c r="B6" s="118" t="s">
        <v>126</v>
      </c>
      <c r="C6" s="119">
        <v>3</v>
      </c>
      <c r="D6" s="118" t="s">
        <v>28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5">
      <c r="A7" s="118" t="s">
        <v>125</v>
      </c>
      <c r="B7" s="118" t="s">
        <v>126</v>
      </c>
      <c r="C7" s="119">
        <v>4</v>
      </c>
      <c r="D7" s="118" t="s">
        <v>29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5">
      <c r="A8" s="118" t="s">
        <v>125</v>
      </c>
      <c r="B8" s="118" t="s">
        <v>126</v>
      </c>
      <c r="C8" s="119">
        <v>5</v>
      </c>
      <c r="D8" s="118" t="s">
        <v>127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5">
      <c r="A9" s="118" t="s">
        <v>125</v>
      </c>
      <c r="B9" s="118" t="s">
        <v>126</v>
      </c>
      <c r="C9" s="119">
        <v>6</v>
      </c>
      <c r="D9" s="118" t="s">
        <v>26</v>
      </c>
      <c r="E9" s="120">
        <v>-681024</v>
      </c>
      <c r="F9" s="120">
        <v>-1530133.98</v>
      </c>
      <c r="G9" s="124">
        <v>247024</v>
      </c>
      <c r="H9" s="121">
        <v>555804</v>
      </c>
      <c r="I9" s="124">
        <v>0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5">
      <c r="A10" s="118" t="s">
        <v>125</v>
      </c>
      <c r="B10" s="118" t="s">
        <v>126</v>
      </c>
      <c r="C10" s="119">
        <v>7</v>
      </c>
      <c r="D10" s="118" t="s">
        <v>27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5">
      <c r="A11" s="118" t="s">
        <v>125</v>
      </c>
      <c r="B11" s="118" t="s">
        <v>126</v>
      </c>
      <c r="C11" s="119">
        <v>8</v>
      </c>
      <c r="D11" s="118" t="s">
        <v>28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5">
      <c r="A12" s="118" t="s">
        <v>125</v>
      </c>
      <c r="B12" s="118" t="s">
        <v>126</v>
      </c>
      <c r="C12" s="119">
        <v>9</v>
      </c>
      <c r="D12" s="118" t="s">
        <v>29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5">
      <c r="A13" s="118" t="s">
        <v>125</v>
      </c>
      <c r="B13" s="118" t="s">
        <v>126</v>
      </c>
      <c r="C13" s="119">
        <v>10</v>
      </c>
      <c r="D13" s="118" t="s">
        <v>33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5">
      <c r="A14" s="118" t="s">
        <v>125</v>
      </c>
      <c r="B14" s="118" t="s">
        <v>126</v>
      </c>
      <c r="C14" s="119">
        <v>11</v>
      </c>
      <c r="D14" s="118" t="s">
        <v>36</v>
      </c>
      <c r="E14" s="120">
        <v>0</v>
      </c>
      <c r="F14" s="120">
        <v>0</v>
      </c>
      <c r="G14" s="124">
        <v>-249632</v>
      </c>
      <c r="H14" s="121">
        <v>-554608.68770000001</v>
      </c>
      <c r="I14" s="124">
        <v>-18205</v>
      </c>
      <c r="J14" s="121">
        <v>-40446.1414</v>
      </c>
      <c r="K14" s="121">
        <v>8157</v>
      </c>
      <c r="L14" s="121">
        <v>18315.2569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744</v>
      </c>
      <c r="X14" s="121">
        <v>1670.5346999999999</v>
      </c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5">
      <c r="A15" s="118" t="s">
        <v>125</v>
      </c>
      <c r="B15" s="118" t="s">
        <v>126</v>
      </c>
      <c r="C15" s="119">
        <v>12</v>
      </c>
      <c r="D15" s="118" t="s">
        <v>37</v>
      </c>
      <c r="E15" s="120">
        <v>-1341</v>
      </c>
      <c r="F15" s="120">
        <v>-3016.43</v>
      </c>
      <c r="G15" s="124">
        <v>-4921</v>
      </c>
      <c r="H15" s="121">
        <v>-11192.47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-744</v>
      </c>
      <c r="X15" s="121">
        <v>-1690.59</v>
      </c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5">
      <c r="A16" s="118" t="s">
        <v>125</v>
      </c>
      <c r="B16" s="118" t="s">
        <v>126</v>
      </c>
      <c r="C16" s="119">
        <v>13</v>
      </c>
      <c r="D16" s="118" t="s">
        <v>40</v>
      </c>
      <c r="E16" s="120">
        <v>0</v>
      </c>
      <c r="F16" s="120">
        <v>0</v>
      </c>
      <c r="G16" s="124">
        <v>-10048</v>
      </c>
      <c r="H16" s="121">
        <v>-22608</v>
      </c>
      <c r="I16" s="124">
        <v>18205</v>
      </c>
      <c r="J16" s="121">
        <v>43710.159</v>
      </c>
      <c r="K16" s="121">
        <v>-8157</v>
      </c>
      <c r="L16" s="121">
        <v>-21102.159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5">
      <c r="A17" s="118" t="s">
        <v>125</v>
      </c>
      <c r="B17" s="118" t="s">
        <v>126</v>
      </c>
      <c r="C17" s="119">
        <v>14</v>
      </c>
      <c r="D17" s="118" t="s">
        <v>41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5">
      <c r="A18" s="118" t="s">
        <v>125</v>
      </c>
      <c r="B18" s="118" t="s">
        <v>126</v>
      </c>
      <c r="C18" s="119">
        <v>15</v>
      </c>
      <c r="D18" s="118" t="s">
        <v>42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5">
      <c r="A19" s="118" t="s">
        <v>125</v>
      </c>
      <c r="B19" s="118" t="s">
        <v>126</v>
      </c>
      <c r="C19" s="119">
        <v>16</v>
      </c>
      <c r="D19" s="118" t="s">
        <v>43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5">
      <c r="A20" s="118" t="s">
        <v>125</v>
      </c>
      <c r="B20" s="118" t="s">
        <v>126</v>
      </c>
      <c r="C20" s="119">
        <v>17</v>
      </c>
      <c r="D20" s="118" t="s">
        <v>128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5">
      <c r="A21" s="118" t="s">
        <v>125</v>
      </c>
      <c r="B21" s="118" t="s">
        <v>126</v>
      </c>
      <c r="C21" s="119">
        <v>18</v>
      </c>
      <c r="D21" s="118" t="s">
        <v>129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5">
      <c r="A22" s="118" t="s">
        <v>125</v>
      </c>
      <c r="B22" s="118" t="s">
        <v>126</v>
      </c>
      <c r="C22" s="119">
        <v>19</v>
      </c>
      <c r="D22" s="118" t="s">
        <v>48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5">
      <c r="A23" s="118" t="s">
        <v>125</v>
      </c>
      <c r="B23" s="118" t="s">
        <v>126</v>
      </c>
      <c r="C23" s="119">
        <v>20</v>
      </c>
      <c r="D23" s="118" t="s">
        <v>130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5">
      <c r="A24" s="118" t="s">
        <v>125</v>
      </c>
      <c r="B24" s="118" t="s">
        <v>126</v>
      </c>
      <c r="C24" s="119">
        <v>21</v>
      </c>
      <c r="D24" s="118" t="s">
        <v>131</v>
      </c>
      <c r="E24" s="120">
        <v>0</v>
      </c>
      <c r="F24" s="120">
        <v>0</v>
      </c>
      <c r="G24" s="124">
        <v>0</v>
      </c>
      <c r="H24" s="121">
        <v>157430</v>
      </c>
      <c r="I24" s="124">
        <v>0</v>
      </c>
      <c r="J24" s="121">
        <v>9717.56</v>
      </c>
      <c r="K24" s="121">
        <v>0</v>
      </c>
      <c r="L24" s="121">
        <v>8405.06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5">
      <c r="A25" s="118" t="s">
        <v>125</v>
      </c>
      <c r="B25" s="118" t="s">
        <v>126</v>
      </c>
      <c r="C25" s="119">
        <v>22</v>
      </c>
      <c r="D25" s="118" t="s">
        <v>132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5">
      <c r="A26" s="118" t="s">
        <v>125</v>
      </c>
      <c r="B26" s="118" t="s">
        <v>126</v>
      </c>
      <c r="C26" s="119">
        <v>23</v>
      </c>
      <c r="D26" s="118" t="s">
        <v>133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5">
      <c r="A27" s="118" t="s">
        <v>125</v>
      </c>
      <c r="B27" s="118" t="s">
        <v>126</v>
      </c>
      <c r="C27" s="119">
        <v>24</v>
      </c>
      <c r="D27" s="118" t="s">
        <v>56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5">
      <c r="A28" s="118" t="s">
        <v>125</v>
      </c>
      <c r="B28" s="118" t="s">
        <v>126</v>
      </c>
      <c r="C28" s="119">
        <v>25</v>
      </c>
      <c r="D28" s="118" t="s">
        <v>57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5">
      <c r="A29" s="118" t="s">
        <v>125</v>
      </c>
      <c r="B29" s="118" t="s">
        <v>126</v>
      </c>
      <c r="C29" s="119">
        <v>26</v>
      </c>
      <c r="D29" s="118" t="s">
        <v>134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0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5">
      <c r="A30" s="118" t="s">
        <v>125</v>
      </c>
      <c r="B30" s="118" t="s">
        <v>126</v>
      </c>
      <c r="C30" s="119">
        <v>27</v>
      </c>
      <c r="D30" s="118" t="s">
        <v>135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5">
      <c r="A31" s="118" t="s">
        <v>125</v>
      </c>
      <c r="B31" s="118" t="s">
        <v>126</v>
      </c>
      <c r="C31" s="119">
        <v>28</v>
      </c>
      <c r="D31" s="118" t="s">
        <v>136</v>
      </c>
      <c r="E31" s="120">
        <v>-1284</v>
      </c>
      <c r="F31" s="120">
        <v>-26668.75</v>
      </c>
      <c r="G31" s="124">
        <v>-272507</v>
      </c>
      <c r="H31" s="121">
        <v>-11931.06</v>
      </c>
      <c r="I31" s="124">
        <v>16006</v>
      </c>
      <c r="J31" s="121">
        <v>846.07</v>
      </c>
      <c r="K31" s="121">
        <v>-8157</v>
      </c>
      <c r="L31" s="121">
        <v>0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>
        <v>-744</v>
      </c>
      <c r="T31" s="121">
        <v>-148.80000000000001</v>
      </c>
      <c r="U31" s="121">
        <v>0</v>
      </c>
      <c r="V31" s="121">
        <v>13.8</v>
      </c>
      <c r="W31" s="121">
        <v>744</v>
      </c>
      <c r="X31" s="121">
        <v>0</v>
      </c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5">
      <c r="A32" s="118" t="s">
        <v>125</v>
      </c>
      <c r="B32" s="118" t="s">
        <v>126</v>
      </c>
      <c r="C32" s="119">
        <v>29</v>
      </c>
      <c r="D32" s="118" t="s">
        <v>137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5">
      <c r="A33" s="118" t="s">
        <v>125</v>
      </c>
      <c r="B33" s="118" t="s">
        <v>126</v>
      </c>
      <c r="C33" s="119">
        <v>30</v>
      </c>
      <c r="D33" s="118" t="s">
        <v>138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5">
      <c r="A34" s="118" t="s">
        <v>125</v>
      </c>
      <c r="B34" s="118" t="s">
        <v>126</v>
      </c>
      <c r="C34" s="119">
        <v>31</v>
      </c>
      <c r="D34" s="118" t="s">
        <v>139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5">
      <c r="A35" s="118" t="s">
        <v>125</v>
      </c>
      <c r="B35" s="118" t="s">
        <v>126</v>
      </c>
      <c r="C35" s="119">
        <v>32</v>
      </c>
      <c r="D35" s="118" t="s">
        <v>71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5">
      <c r="A36" s="118" t="s">
        <v>125</v>
      </c>
      <c r="B36" s="118" t="s">
        <v>126</v>
      </c>
      <c r="C36" s="119">
        <v>33</v>
      </c>
      <c r="D36" s="118" t="s">
        <v>72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5">
      <c r="A37" s="118" t="s">
        <v>125</v>
      </c>
      <c r="B37" s="118" t="s">
        <v>126</v>
      </c>
      <c r="C37" s="119">
        <v>34</v>
      </c>
      <c r="D37" s="118" t="s">
        <v>73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5">
      <c r="A38" s="118" t="s">
        <v>125</v>
      </c>
      <c r="B38" s="118" t="s">
        <v>126</v>
      </c>
      <c r="C38" s="119">
        <v>35</v>
      </c>
      <c r="D38" s="118" t="s">
        <v>74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5">
      <c r="A39" s="118" t="s">
        <v>125</v>
      </c>
      <c r="B39" s="118" t="s">
        <v>126</v>
      </c>
      <c r="C39" s="119">
        <v>36</v>
      </c>
      <c r="D39" s="118" t="s">
        <v>75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5">
      <c r="A40" s="118" t="s">
        <v>125</v>
      </c>
      <c r="B40" s="118" t="s">
        <v>126</v>
      </c>
      <c r="C40" s="119">
        <v>37</v>
      </c>
      <c r="D40" s="118" t="s">
        <v>76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5">
      <c r="A41" s="118" t="s">
        <v>125</v>
      </c>
      <c r="B41" s="118" t="s">
        <v>126</v>
      </c>
      <c r="C41" s="119">
        <v>38</v>
      </c>
      <c r="D41" s="118" t="s">
        <v>77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5">
      <c r="A42" s="118" t="s">
        <v>125</v>
      </c>
      <c r="B42" s="118" t="s">
        <v>126</v>
      </c>
      <c r="C42" s="119">
        <v>39</v>
      </c>
      <c r="D42" s="118" t="s">
        <v>78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5">
      <c r="A43" s="118" t="s">
        <v>125</v>
      </c>
      <c r="B43" s="118" t="s">
        <v>126</v>
      </c>
      <c r="C43" s="119">
        <v>40</v>
      </c>
      <c r="D43" s="118" t="s">
        <v>79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5">
      <c r="A44" t="s">
        <v>140</v>
      </c>
      <c r="B44" t="s">
        <v>141</v>
      </c>
      <c r="C44">
        <v>1</v>
      </c>
      <c r="D44" t="s">
        <v>26</v>
      </c>
      <c r="E44" s="14">
        <v>7522160</v>
      </c>
      <c r="F44" s="14">
        <v>17688225.700000003</v>
      </c>
      <c r="G44" s="124">
        <v>-113961</v>
      </c>
      <c r="H44" s="121">
        <v>-478597.72</v>
      </c>
      <c r="I44" s="124">
        <v>63612</v>
      </c>
      <c r="J44" s="121">
        <v>145567.41</v>
      </c>
      <c r="K44" s="121">
        <v>0</v>
      </c>
      <c r="L44" s="121">
        <v>0</v>
      </c>
      <c r="M44" s="121">
        <v>0</v>
      </c>
      <c r="N44" s="121">
        <v>0</v>
      </c>
      <c r="O44" s="121">
        <v>0</v>
      </c>
      <c r="P44" s="121">
        <v>-5714.85</v>
      </c>
      <c r="Q44" s="121">
        <v>0</v>
      </c>
      <c r="R44" s="121">
        <v>0</v>
      </c>
      <c r="S44" s="121">
        <v>0</v>
      </c>
      <c r="T44" s="121">
        <v>0</v>
      </c>
      <c r="U44" s="121">
        <v>0</v>
      </c>
      <c r="V44" s="121">
        <v>0</v>
      </c>
      <c r="W44" s="121">
        <v>0</v>
      </c>
      <c r="X44" s="121">
        <v>0</v>
      </c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5">
      <c r="A45" t="s">
        <v>140</v>
      </c>
      <c r="B45" t="s">
        <v>141</v>
      </c>
      <c r="C45">
        <v>2</v>
      </c>
      <c r="D45" t="s">
        <v>27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5">
      <c r="A46" t="s">
        <v>140</v>
      </c>
      <c r="B46" t="s">
        <v>141</v>
      </c>
      <c r="C46">
        <v>3</v>
      </c>
      <c r="D46" t="s">
        <v>28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5">
      <c r="A47" t="s">
        <v>140</v>
      </c>
      <c r="B47" t="s">
        <v>141</v>
      </c>
      <c r="C47">
        <v>4</v>
      </c>
      <c r="D47" t="s">
        <v>29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5">
      <c r="A48" t="s">
        <v>140</v>
      </c>
      <c r="B48" t="s">
        <v>141</v>
      </c>
      <c r="C48">
        <v>5</v>
      </c>
      <c r="D48" t="s">
        <v>127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5">
      <c r="A49" t="s">
        <v>140</v>
      </c>
      <c r="B49" t="s">
        <v>141</v>
      </c>
      <c r="C49">
        <v>6</v>
      </c>
      <c r="D49" t="s">
        <v>26</v>
      </c>
      <c r="E49" s="14">
        <v>-1152736</v>
      </c>
      <c r="F49" s="14">
        <v>-2581453.0299999998</v>
      </c>
      <c r="G49" s="124">
        <v>197396</v>
      </c>
      <c r="H49" s="121">
        <v>446259.79</v>
      </c>
      <c r="I49" s="124">
        <v>389</v>
      </c>
      <c r="J49" s="121">
        <v>1119.3800000000001</v>
      </c>
      <c r="K49" s="121">
        <v>0</v>
      </c>
      <c r="L49" s="121">
        <v>0</v>
      </c>
      <c r="M49" s="121">
        <v>0</v>
      </c>
      <c r="N49" s="121">
        <v>81.849999999999994</v>
      </c>
      <c r="O49" s="121">
        <v>0</v>
      </c>
      <c r="P49" s="121">
        <v>0</v>
      </c>
      <c r="Q49" s="121">
        <v>0</v>
      </c>
      <c r="R49" s="121">
        <v>-7.36</v>
      </c>
      <c r="S49" s="121">
        <v>0</v>
      </c>
      <c r="T49" s="121">
        <v>0</v>
      </c>
      <c r="U49" s="121">
        <v>0</v>
      </c>
      <c r="V49" s="121">
        <v>0</v>
      </c>
      <c r="W49" s="121">
        <v>0</v>
      </c>
      <c r="X49" s="121">
        <v>0</v>
      </c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5">
      <c r="A50" t="s">
        <v>140</v>
      </c>
      <c r="B50" t="s">
        <v>141</v>
      </c>
      <c r="C50">
        <v>7</v>
      </c>
      <c r="D50" t="s">
        <v>27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5">
      <c r="A51" t="s">
        <v>140</v>
      </c>
      <c r="B51" t="s">
        <v>141</v>
      </c>
      <c r="C51">
        <v>8</v>
      </c>
      <c r="D51" t="s">
        <v>28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5">
      <c r="A52" t="s">
        <v>140</v>
      </c>
      <c r="B52" t="s">
        <v>141</v>
      </c>
      <c r="C52">
        <v>9</v>
      </c>
      <c r="D52" t="s">
        <v>29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5">
      <c r="A53" t="s">
        <v>140</v>
      </c>
      <c r="B53" t="s">
        <v>141</v>
      </c>
      <c r="C53">
        <v>10</v>
      </c>
      <c r="D53" t="s">
        <v>33</v>
      </c>
      <c r="E53" s="14">
        <v>0</v>
      </c>
      <c r="F53" s="14">
        <v>0</v>
      </c>
      <c r="G53" s="124">
        <v>18735</v>
      </c>
      <c r="H53" s="121">
        <v>42668.21</v>
      </c>
      <c r="I53" s="124">
        <v>0</v>
      </c>
      <c r="J53" s="121">
        <v>0</v>
      </c>
      <c r="K53" s="121">
        <v>-921</v>
      </c>
      <c r="L53" s="121">
        <v>-1755.93</v>
      </c>
      <c r="M53" s="121">
        <v>0</v>
      </c>
      <c r="N53" s="121">
        <v>0</v>
      </c>
      <c r="O53" s="121">
        <v>0</v>
      </c>
      <c r="P53" s="121">
        <v>0</v>
      </c>
      <c r="Q53" s="121">
        <v>0</v>
      </c>
      <c r="R53" s="121">
        <v>0</v>
      </c>
      <c r="S53" s="121">
        <v>0</v>
      </c>
      <c r="T53" s="121">
        <v>0</v>
      </c>
      <c r="U53" s="121">
        <v>-22360</v>
      </c>
      <c r="V53" s="121">
        <v>-49862.8</v>
      </c>
      <c r="W53" s="121">
        <v>0</v>
      </c>
      <c r="X53" s="121">
        <v>0</v>
      </c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5">
      <c r="A54" t="s">
        <v>140</v>
      </c>
      <c r="B54" t="s">
        <v>141</v>
      </c>
      <c r="C54">
        <v>11</v>
      </c>
      <c r="D54" t="s">
        <v>36</v>
      </c>
      <c r="E54" s="14">
        <v>2505721</v>
      </c>
      <c r="F54" s="14">
        <v>5680484.79</v>
      </c>
      <c r="G54" s="124">
        <v>-7716</v>
      </c>
      <c r="H54" s="121">
        <v>20175.07</v>
      </c>
      <c r="I54" s="124">
        <v>-219615</v>
      </c>
      <c r="J54" s="121">
        <v>-494155.74</v>
      </c>
      <c r="K54" s="121">
        <v>-8515</v>
      </c>
      <c r="L54" s="121">
        <v>-14777.4</v>
      </c>
      <c r="M54" s="121">
        <v>-136215</v>
      </c>
      <c r="N54" s="121">
        <v>-291542.62</v>
      </c>
      <c r="O54" s="121">
        <v>37736</v>
      </c>
      <c r="P54" s="121">
        <v>91753.37</v>
      </c>
      <c r="Q54" s="121">
        <v>31975</v>
      </c>
      <c r="R54" s="121">
        <v>60288.92</v>
      </c>
      <c r="S54" s="121">
        <v>6963</v>
      </c>
      <c r="T54" s="121">
        <v>-80476.28</v>
      </c>
      <c r="U54" s="121">
        <v>-29050</v>
      </c>
      <c r="V54" s="121">
        <v>4534.6700000000128</v>
      </c>
      <c r="W54" s="121">
        <v>-6963</v>
      </c>
      <c r="X54" s="121">
        <v>-4534.6700000000128</v>
      </c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5">
      <c r="A55" t="s">
        <v>140</v>
      </c>
      <c r="B55" t="s">
        <v>141</v>
      </c>
      <c r="C55">
        <v>12</v>
      </c>
      <c r="D55" t="s">
        <v>37</v>
      </c>
      <c r="E55" s="14">
        <v>-9017917</v>
      </c>
      <c r="F55" s="14">
        <v>-20598518.289999999</v>
      </c>
      <c r="G55" s="124">
        <v>222885</v>
      </c>
      <c r="H55" s="121">
        <v>885966.07</v>
      </c>
      <c r="I55" s="124">
        <v>180556</v>
      </c>
      <c r="J55" s="121">
        <v>79199.460000000006</v>
      </c>
      <c r="K55" s="121">
        <v>-42074</v>
      </c>
      <c r="L55" s="121">
        <v>-117884.01</v>
      </c>
      <c r="M55" s="121">
        <v>78278</v>
      </c>
      <c r="N55" s="121">
        <v>162395.25</v>
      </c>
      <c r="O55" s="121">
        <v>31272</v>
      </c>
      <c r="P55" s="121">
        <v>66539.98</v>
      </c>
      <c r="Q55" s="121">
        <v>-6963</v>
      </c>
      <c r="R55" s="121">
        <v>-4534.6700000000128</v>
      </c>
      <c r="S55" s="121">
        <v>-6963</v>
      </c>
      <c r="T55" s="121">
        <v>-4534.8599999999997</v>
      </c>
      <c r="U55" s="121">
        <v>-6963</v>
      </c>
      <c r="V55" s="121">
        <v>-4534.6700000000128</v>
      </c>
      <c r="W55" s="121">
        <v>6963</v>
      </c>
      <c r="X55" s="121">
        <v>4534.6700000000128</v>
      </c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5">
      <c r="A56" t="s">
        <v>140</v>
      </c>
      <c r="B56" t="s">
        <v>141</v>
      </c>
      <c r="C56">
        <v>13</v>
      </c>
      <c r="D56" t="s">
        <v>40</v>
      </c>
      <c r="E56" s="14">
        <v>0</v>
      </c>
      <c r="F56" s="14">
        <v>0</v>
      </c>
      <c r="G56" s="124">
        <v>66731</v>
      </c>
      <c r="H56" s="121">
        <v>151145.715</v>
      </c>
      <c r="I56" s="124">
        <v>-127605</v>
      </c>
      <c r="J56" s="121">
        <v>-310270.35100000002</v>
      </c>
      <c r="K56" s="121">
        <v>2106</v>
      </c>
      <c r="L56" s="121">
        <v>-11185.028</v>
      </c>
      <c r="M56" s="121">
        <v>0</v>
      </c>
      <c r="N56" s="121">
        <v>37200.144</v>
      </c>
      <c r="O56" s="121">
        <v>-910</v>
      </c>
      <c r="P56" s="121">
        <v>-2061.15</v>
      </c>
      <c r="Q56" s="121">
        <v>0</v>
      </c>
      <c r="R56" s="121">
        <v>0</v>
      </c>
      <c r="S56" s="121">
        <v>102514</v>
      </c>
      <c r="T56" s="121">
        <v>232194.21</v>
      </c>
      <c r="U56" s="121">
        <v>22360</v>
      </c>
      <c r="V56" s="121">
        <v>50645.4</v>
      </c>
      <c r="W56" s="121">
        <v>0</v>
      </c>
      <c r="X56" s="121">
        <v>0</v>
      </c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5">
      <c r="A57" t="s">
        <v>140</v>
      </c>
      <c r="B57" t="s">
        <v>141</v>
      </c>
      <c r="C57">
        <v>14</v>
      </c>
      <c r="D57" t="s">
        <v>41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5">
      <c r="A58" t="s">
        <v>140</v>
      </c>
      <c r="B58" t="s">
        <v>141</v>
      </c>
      <c r="C58">
        <v>15</v>
      </c>
      <c r="D58" t="s">
        <v>42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5">
      <c r="A59" t="s">
        <v>140</v>
      </c>
      <c r="B59" t="s">
        <v>141</v>
      </c>
      <c r="C59">
        <v>16</v>
      </c>
      <c r="D59" t="s">
        <v>43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5">
      <c r="A60" t="s">
        <v>140</v>
      </c>
      <c r="B60" t="s">
        <v>141</v>
      </c>
      <c r="C60">
        <v>17</v>
      </c>
      <c r="D60" t="s">
        <v>128</v>
      </c>
      <c r="E60" s="14">
        <v>0</v>
      </c>
      <c r="F60" s="14">
        <v>0</v>
      </c>
      <c r="G60" s="124">
        <v>698906</v>
      </c>
      <c r="H60" s="121">
        <v>1381317.82</v>
      </c>
      <c r="I60" s="124">
        <v>0</v>
      </c>
      <c r="J60" s="121">
        <v>0</v>
      </c>
      <c r="K60" s="121">
        <v>0</v>
      </c>
      <c r="L60" s="121">
        <v>0</v>
      </c>
      <c r="M60" s="121">
        <v>-23411</v>
      </c>
      <c r="N60" s="121">
        <v>-46269.5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5">
      <c r="A61" t="s">
        <v>140</v>
      </c>
      <c r="B61" t="s">
        <v>141</v>
      </c>
      <c r="C61">
        <v>18</v>
      </c>
      <c r="D61" t="s">
        <v>129</v>
      </c>
      <c r="E61" s="14">
        <v>0</v>
      </c>
      <c r="F61" s="14">
        <v>0</v>
      </c>
      <c r="G61" s="124">
        <v>-1030700</v>
      </c>
      <c r="H61" s="121">
        <v>-2037075.48</v>
      </c>
      <c r="I61" s="124">
        <v>0</v>
      </c>
      <c r="J61" s="121">
        <v>0</v>
      </c>
      <c r="K61" s="121">
        <v>0</v>
      </c>
      <c r="L61" s="121">
        <v>0</v>
      </c>
      <c r="M61" s="121">
        <v>75777</v>
      </c>
      <c r="N61" s="121">
        <v>149765.66</v>
      </c>
      <c r="O61" s="121">
        <v>-36083</v>
      </c>
      <c r="P61" s="121">
        <v>-71314.44</v>
      </c>
      <c r="Q61" s="121">
        <v>0</v>
      </c>
      <c r="R61" s="121">
        <v>0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5">
      <c r="A62" t="s">
        <v>140</v>
      </c>
      <c r="B62" t="s">
        <v>141</v>
      </c>
      <c r="C62">
        <v>19</v>
      </c>
      <c r="D62" t="s">
        <v>48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5">
      <c r="A63" t="s">
        <v>140</v>
      </c>
      <c r="B63" t="s">
        <v>141</v>
      </c>
      <c r="C63">
        <v>20</v>
      </c>
      <c r="D63" t="s">
        <v>130</v>
      </c>
      <c r="E63" s="14">
        <v>0</v>
      </c>
      <c r="F63" s="14">
        <v>0</v>
      </c>
      <c r="G63" s="124">
        <v>11351</v>
      </c>
      <c r="H63" s="121">
        <v>21907.43</v>
      </c>
      <c r="I63" s="124">
        <v>0</v>
      </c>
      <c r="J63" s="121">
        <v>0</v>
      </c>
      <c r="K63" s="121">
        <v>29409</v>
      </c>
      <c r="L63" s="121">
        <v>67746.58</v>
      </c>
      <c r="M63" s="121">
        <v>0</v>
      </c>
      <c r="N63" s="121">
        <v>0</v>
      </c>
      <c r="O63" s="121">
        <v>0</v>
      </c>
      <c r="P63" s="121">
        <v>0</v>
      </c>
      <c r="Q63" s="121">
        <v>-29409</v>
      </c>
      <c r="R63" s="121">
        <v>-66773.3</v>
      </c>
      <c r="S63" s="121">
        <v>-29409</v>
      </c>
      <c r="T63" s="121">
        <v>-66773.11</v>
      </c>
      <c r="U63" s="121">
        <v>-29409</v>
      </c>
      <c r="V63" s="121">
        <v>-66773.11</v>
      </c>
      <c r="W63" s="121">
        <v>29409</v>
      </c>
      <c r="X63" s="121">
        <v>66773.11</v>
      </c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5">
      <c r="A64" t="s">
        <v>140</v>
      </c>
      <c r="B64" t="s">
        <v>141</v>
      </c>
      <c r="C64">
        <v>21</v>
      </c>
      <c r="D64" t="s">
        <v>131</v>
      </c>
      <c r="E64" s="14">
        <v>0</v>
      </c>
      <c r="F64" s="14">
        <v>0</v>
      </c>
      <c r="G64" s="124">
        <v>63199</v>
      </c>
      <c r="H64" s="121">
        <v>144093.72</v>
      </c>
      <c r="I64" s="124">
        <v>-63199</v>
      </c>
      <c r="J64" s="121">
        <v>-144093.72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5">
      <c r="A65" t="s">
        <v>140</v>
      </c>
      <c r="B65" t="s">
        <v>141</v>
      </c>
      <c r="C65">
        <v>22</v>
      </c>
      <c r="D65" t="s">
        <v>132</v>
      </c>
      <c r="E65" s="14">
        <v>142772</v>
      </c>
      <c r="F65" s="14">
        <v>323378.58</v>
      </c>
      <c r="G65" s="124">
        <v>-126826</v>
      </c>
      <c r="H65" s="121">
        <v>-287260.89</v>
      </c>
      <c r="I65" s="124">
        <v>165862</v>
      </c>
      <c r="J65" s="121">
        <v>375677.43</v>
      </c>
      <c r="K65" s="121">
        <v>19995</v>
      </c>
      <c r="L65" s="121">
        <v>45288.675000000003</v>
      </c>
      <c r="M65" s="121">
        <v>5571</v>
      </c>
      <c r="N65" s="121">
        <v>12618.315000000001</v>
      </c>
      <c r="O65" s="121">
        <v>-32015</v>
      </c>
      <c r="P65" s="121">
        <v>-72513.975000000006</v>
      </c>
      <c r="Q65" s="121">
        <v>4397</v>
      </c>
      <c r="R65" s="121">
        <v>9959.2049999999999</v>
      </c>
      <c r="S65" s="121">
        <v>-73105</v>
      </c>
      <c r="T65" s="121">
        <v>-165582.82500000001</v>
      </c>
      <c r="U65" s="121">
        <v>65422</v>
      </c>
      <c r="V65" s="121">
        <v>148180.82999999999</v>
      </c>
      <c r="W65" s="121">
        <v>-29409</v>
      </c>
      <c r="X65" s="121">
        <v>-66611.384999999995</v>
      </c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5">
      <c r="A66" t="s">
        <v>140</v>
      </c>
      <c r="B66" t="s">
        <v>141</v>
      </c>
      <c r="C66">
        <v>23</v>
      </c>
      <c r="D66" t="s">
        <v>133</v>
      </c>
      <c r="E66" s="14">
        <v>0</v>
      </c>
      <c r="F66" s="14">
        <v>0</v>
      </c>
      <c r="G66" s="124">
        <v>-17814</v>
      </c>
      <c r="H66" s="121">
        <v>-40570.67</v>
      </c>
      <c r="I66" s="124">
        <v>0</v>
      </c>
      <c r="J66" s="121">
        <v>0</v>
      </c>
      <c r="K66" s="121">
        <v>0</v>
      </c>
      <c r="L66" s="121">
        <v>-341.61</v>
      </c>
      <c r="M66" s="121">
        <v>0</v>
      </c>
      <c r="N66" s="121">
        <v>0</v>
      </c>
      <c r="O66" s="121">
        <v>0</v>
      </c>
      <c r="P66" s="121">
        <v>0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5">
      <c r="A67" t="s">
        <v>140</v>
      </c>
      <c r="B67" t="s">
        <v>141</v>
      </c>
      <c r="C67">
        <v>24</v>
      </c>
      <c r="D67" t="s">
        <v>56</v>
      </c>
      <c r="E67" s="14">
        <v>0</v>
      </c>
      <c r="F67" s="14">
        <v>0</v>
      </c>
      <c r="G67" s="124">
        <v>0</v>
      </c>
      <c r="H67" s="121">
        <v>0</v>
      </c>
      <c r="I67" s="124">
        <v>0</v>
      </c>
      <c r="J67" s="121">
        <v>5000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-187712</v>
      </c>
      <c r="X67" s="121">
        <v>-5631.36</v>
      </c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5">
      <c r="A68" t="s">
        <v>140</v>
      </c>
      <c r="B68" t="s">
        <v>141</v>
      </c>
      <c r="C68">
        <v>25</v>
      </c>
      <c r="D68" t="s">
        <v>57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5">
      <c r="A69" t="s">
        <v>140</v>
      </c>
      <c r="B69" t="s">
        <v>141</v>
      </c>
      <c r="C69">
        <v>26</v>
      </c>
      <c r="D69" t="s">
        <v>134</v>
      </c>
      <c r="E69" s="14">
        <v>2415039</v>
      </c>
      <c r="F69" s="14">
        <v>34690.53</v>
      </c>
      <c r="G69" s="124">
        <v>25233</v>
      </c>
      <c r="H69" s="121">
        <v>9964.24</v>
      </c>
      <c r="I69" s="124">
        <v>0</v>
      </c>
      <c r="J69" s="121">
        <v>0</v>
      </c>
      <c r="K69" s="121">
        <v>0</v>
      </c>
      <c r="L69" s="121">
        <v>61.12</v>
      </c>
      <c r="M69" s="121">
        <v>0</v>
      </c>
      <c r="N69" s="121">
        <v>0</v>
      </c>
      <c r="O69" s="121">
        <v>1285</v>
      </c>
      <c r="P69" s="121">
        <v>0</v>
      </c>
      <c r="Q69" s="121">
        <v>0</v>
      </c>
      <c r="R69" s="121">
        <v>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5">
      <c r="A70" t="s">
        <v>140</v>
      </c>
      <c r="B70" t="s">
        <v>141</v>
      </c>
      <c r="C70">
        <v>27</v>
      </c>
      <c r="D70" t="s">
        <v>135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5">
      <c r="A71" t="s">
        <v>140</v>
      </c>
      <c r="B71" t="s">
        <v>141</v>
      </c>
      <c r="C71">
        <v>28</v>
      </c>
      <c r="D71" t="s">
        <v>136</v>
      </c>
      <c r="E71" s="14">
        <v>-11169425</v>
      </c>
      <c r="F71" s="14">
        <v>-1985165.81</v>
      </c>
      <c r="G71" s="124">
        <v>-6621163</v>
      </c>
      <c r="H71" s="121">
        <v>-194511.12</v>
      </c>
      <c r="I71" s="124">
        <v>-17014</v>
      </c>
      <c r="J71" s="121">
        <v>-1189.3599999999999</v>
      </c>
      <c r="K71" s="121">
        <v>0</v>
      </c>
      <c r="L71" s="121">
        <v>895969.67</v>
      </c>
      <c r="M71" s="121">
        <v>112429</v>
      </c>
      <c r="N71" s="121">
        <v>-885145.74</v>
      </c>
      <c r="O71" s="121">
        <v>17014</v>
      </c>
      <c r="P71" s="121">
        <v>1955.66</v>
      </c>
      <c r="Q71" s="121">
        <v>0</v>
      </c>
      <c r="R71" s="121">
        <v>0</v>
      </c>
      <c r="S71" s="121">
        <v>0</v>
      </c>
      <c r="T71" s="121">
        <v>0</v>
      </c>
      <c r="U71" s="121">
        <v>0</v>
      </c>
      <c r="V71" s="121">
        <v>0.01</v>
      </c>
      <c r="W71" s="121">
        <v>0</v>
      </c>
      <c r="X71" s="121">
        <v>0</v>
      </c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5">
      <c r="A72" t="s">
        <v>140</v>
      </c>
      <c r="B72" t="s">
        <v>141</v>
      </c>
      <c r="C72">
        <v>29</v>
      </c>
      <c r="D72" t="s">
        <v>137</v>
      </c>
      <c r="E72" s="14">
        <v>10643386</v>
      </c>
      <c r="F72" s="14">
        <v>1543681.48</v>
      </c>
      <c r="G72" s="124">
        <v>6448296</v>
      </c>
      <c r="H72" s="121">
        <v>185995.47</v>
      </c>
      <c r="I72" s="124">
        <v>17014</v>
      </c>
      <c r="J72" s="121">
        <v>1189.3399999999999</v>
      </c>
      <c r="K72" s="121">
        <v>0</v>
      </c>
      <c r="L72" s="121">
        <v>-895969.67</v>
      </c>
      <c r="M72" s="121">
        <v>-89018</v>
      </c>
      <c r="N72" s="121">
        <v>885145.75</v>
      </c>
      <c r="O72" s="121">
        <v>-17014</v>
      </c>
      <c r="P72" s="121">
        <v>-1701.39</v>
      </c>
      <c r="Q72" s="121">
        <v>0</v>
      </c>
      <c r="R72" s="121">
        <v>-0.01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5">
      <c r="A73" t="s">
        <v>140</v>
      </c>
      <c r="B73" t="s">
        <v>141</v>
      </c>
      <c r="C73">
        <v>30</v>
      </c>
      <c r="D73" t="s">
        <v>138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5">
      <c r="A74" t="s">
        <v>140</v>
      </c>
      <c r="B74" t="s">
        <v>141</v>
      </c>
      <c r="C74">
        <v>31</v>
      </c>
      <c r="D74" t="s">
        <v>139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5">
      <c r="A75" t="s">
        <v>140</v>
      </c>
      <c r="B75" t="s">
        <v>141</v>
      </c>
      <c r="C75">
        <v>32</v>
      </c>
      <c r="D75" t="s">
        <v>71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5">
      <c r="A76" t="s">
        <v>140</v>
      </c>
      <c r="B76" t="s">
        <v>141</v>
      </c>
      <c r="C76">
        <v>33</v>
      </c>
      <c r="D76" t="s">
        <v>72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5">
      <c r="A77" t="s">
        <v>140</v>
      </c>
      <c r="B77" t="s">
        <v>141</v>
      </c>
      <c r="C77">
        <v>34</v>
      </c>
      <c r="D77" t="s">
        <v>73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5">
      <c r="A78" t="s">
        <v>140</v>
      </c>
      <c r="B78" t="s">
        <v>141</v>
      </c>
      <c r="C78">
        <v>35</v>
      </c>
      <c r="D78" t="s">
        <v>74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5">
      <c r="A79" t="s">
        <v>140</v>
      </c>
      <c r="B79" t="s">
        <v>141</v>
      </c>
      <c r="C79">
        <v>36</v>
      </c>
      <c r="D79" t="s">
        <v>75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5">
      <c r="A80" t="s">
        <v>140</v>
      </c>
      <c r="B80" t="s">
        <v>141</v>
      </c>
      <c r="C80">
        <v>37</v>
      </c>
      <c r="D80" t="s">
        <v>76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5">
      <c r="A81" t="s">
        <v>140</v>
      </c>
      <c r="B81" t="s">
        <v>141</v>
      </c>
      <c r="C81">
        <v>38</v>
      </c>
      <c r="D81" t="s">
        <v>77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5">
      <c r="A82" t="s">
        <v>140</v>
      </c>
      <c r="B82" t="s">
        <v>141</v>
      </c>
      <c r="C82">
        <v>39</v>
      </c>
      <c r="D82" t="s">
        <v>78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5">
      <c r="A83" t="s">
        <v>140</v>
      </c>
      <c r="B83" t="s">
        <v>141</v>
      </c>
      <c r="C83">
        <v>40</v>
      </c>
      <c r="D83" t="s">
        <v>79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5">
      <c r="A84" t="s">
        <v>142</v>
      </c>
      <c r="B84" t="s">
        <v>115</v>
      </c>
      <c r="C84">
        <v>1</v>
      </c>
      <c r="D84" t="s">
        <v>26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5">
      <c r="A85" t="s">
        <v>142</v>
      </c>
      <c r="B85" t="s">
        <v>115</v>
      </c>
      <c r="C85">
        <v>2</v>
      </c>
      <c r="D85" t="s">
        <v>27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5">
      <c r="A86" t="s">
        <v>142</v>
      </c>
      <c r="B86" t="s">
        <v>115</v>
      </c>
      <c r="C86">
        <v>3</v>
      </c>
      <c r="D86" t="s">
        <v>28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5">
      <c r="A87" t="s">
        <v>142</v>
      </c>
      <c r="B87" t="s">
        <v>115</v>
      </c>
      <c r="C87">
        <v>4</v>
      </c>
      <c r="D87" t="s">
        <v>29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5">
      <c r="A88" t="s">
        <v>142</v>
      </c>
      <c r="B88" t="s">
        <v>115</v>
      </c>
      <c r="C88">
        <v>5</v>
      </c>
      <c r="D88" t="s">
        <v>127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5">
      <c r="A89" t="s">
        <v>142</v>
      </c>
      <c r="B89" t="s">
        <v>115</v>
      </c>
      <c r="C89">
        <v>6</v>
      </c>
      <c r="D89" t="s">
        <v>26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5">
      <c r="A90" t="s">
        <v>142</v>
      </c>
      <c r="B90" t="s">
        <v>115</v>
      </c>
      <c r="C90">
        <v>7</v>
      </c>
      <c r="D90" t="s">
        <v>27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5">
      <c r="A91" t="s">
        <v>142</v>
      </c>
      <c r="B91" t="s">
        <v>115</v>
      </c>
      <c r="C91">
        <v>8</v>
      </c>
      <c r="D91" t="s">
        <v>28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5">
      <c r="A92" t="s">
        <v>142</v>
      </c>
      <c r="B92" t="s">
        <v>115</v>
      </c>
      <c r="C92">
        <v>9</v>
      </c>
      <c r="D92" t="s">
        <v>29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5">
      <c r="A93" t="s">
        <v>142</v>
      </c>
      <c r="B93" t="s">
        <v>115</v>
      </c>
      <c r="C93">
        <v>10</v>
      </c>
      <c r="D93" t="s">
        <v>33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5">
      <c r="A94" t="s">
        <v>142</v>
      </c>
      <c r="B94" t="s">
        <v>115</v>
      </c>
      <c r="C94">
        <v>11</v>
      </c>
      <c r="D94" t="s">
        <v>36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5">
      <c r="A95" t="s">
        <v>142</v>
      </c>
      <c r="B95" t="s">
        <v>115</v>
      </c>
      <c r="C95">
        <v>12</v>
      </c>
      <c r="D95" t="s">
        <v>37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5">
      <c r="A96" t="s">
        <v>142</v>
      </c>
      <c r="B96" t="s">
        <v>115</v>
      </c>
      <c r="C96">
        <v>13</v>
      </c>
      <c r="D96" t="s">
        <v>40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5">
      <c r="A97" t="s">
        <v>142</v>
      </c>
      <c r="B97" t="s">
        <v>115</v>
      </c>
      <c r="C97">
        <v>14</v>
      </c>
      <c r="D97" t="s">
        <v>41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5">
      <c r="A98" t="s">
        <v>142</v>
      </c>
      <c r="B98" t="s">
        <v>115</v>
      </c>
      <c r="C98">
        <v>15</v>
      </c>
      <c r="D98" t="s">
        <v>42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5">
      <c r="A99" t="s">
        <v>142</v>
      </c>
      <c r="B99" t="s">
        <v>115</v>
      </c>
      <c r="C99">
        <v>16</v>
      </c>
      <c r="D99" t="s">
        <v>43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5">
      <c r="A100" t="s">
        <v>142</v>
      </c>
      <c r="B100" t="s">
        <v>115</v>
      </c>
      <c r="C100">
        <v>17</v>
      </c>
      <c r="D100" t="s">
        <v>128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5">
      <c r="A101" t="s">
        <v>142</v>
      </c>
      <c r="B101" t="s">
        <v>115</v>
      </c>
      <c r="C101">
        <v>18</v>
      </c>
      <c r="D101" t="s">
        <v>129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5">
      <c r="A102" t="s">
        <v>142</v>
      </c>
      <c r="B102" t="s">
        <v>115</v>
      </c>
      <c r="C102">
        <v>19</v>
      </c>
      <c r="D102" t="s">
        <v>48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5">
      <c r="A103" t="s">
        <v>142</v>
      </c>
      <c r="B103" t="s">
        <v>115</v>
      </c>
      <c r="C103">
        <v>20</v>
      </c>
      <c r="D103" t="s">
        <v>130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5">
      <c r="A104" t="s">
        <v>142</v>
      </c>
      <c r="B104" t="s">
        <v>115</v>
      </c>
      <c r="C104">
        <v>21</v>
      </c>
      <c r="D104" t="s">
        <v>131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5">
      <c r="A105" t="s">
        <v>142</v>
      </c>
      <c r="B105" t="s">
        <v>115</v>
      </c>
      <c r="C105">
        <v>22</v>
      </c>
      <c r="D105" t="s">
        <v>132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5">
      <c r="A106" t="s">
        <v>142</v>
      </c>
      <c r="B106" t="s">
        <v>115</v>
      </c>
      <c r="C106">
        <v>23</v>
      </c>
      <c r="D106" t="s">
        <v>133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5">
      <c r="A107" t="s">
        <v>142</v>
      </c>
      <c r="B107" t="s">
        <v>115</v>
      </c>
      <c r="C107">
        <v>24</v>
      </c>
      <c r="D107" t="s">
        <v>56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5">
      <c r="A108" t="s">
        <v>142</v>
      </c>
      <c r="B108" t="s">
        <v>115</v>
      </c>
      <c r="C108">
        <v>25</v>
      </c>
      <c r="D108" t="s">
        <v>57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5">
      <c r="A109" t="s">
        <v>142</v>
      </c>
      <c r="B109" t="s">
        <v>115</v>
      </c>
      <c r="C109">
        <v>26</v>
      </c>
      <c r="D109" t="s">
        <v>134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5">
      <c r="A110" t="s">
        <v>142</v>
      </c>
      <c r="B110" t="s">
        <v>115</v>
      </c>
      <c r="C110">
        <v>27</v>
      </c>
      <c r="D110" t="s">
        <v>135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5">
      <c r="A111" t="s">
        <v>142</v>
      </c>
      <c r="B111" t="s">
        <v>115</v>
      </c>
      <c r="C111">
        <v>28</v>
      </c>
      <c r="D111" t="s">
        <v>136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5">
      <c r="A112" t="s">
        <v>142</v>
      </c>
      <c r="B112" t="s">
        <v>115</v>
      </c>
      <c r="C112">
        <v>29</v>
      </c>
      <c r="D112" t="s">
        <v>137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5">
      <c r="A113" t="s">
        <v>142</v>
      </c>
      <c r="B113" t="s">
        <v>115</v>
      </c>
      <c r="C113">
        <v>30</v>
      </c>
      <c r="D113" t="s">
        <v>138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5">
      <c r="A114" t="s">
        <v>142</v>
      </c>
      <c r="B114" t="s">
        <v>115</v>
      </c>
      <c r="C114">
        <v>31</v>
      </c>
      <c r="D114" t="s">
        <v>139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5">
      <c r="A115" t="s">
        <v>142</v>
      </c>
      <c r="B115" t="s">
        <v>115</v>
      </c>
      <c r="C115">
        <v>32</v>
      </c>
      <c r="D115" t="s">
        <v>71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/>
      <c r="Z115" s="121"/>
      <c r="AA115" s="121"/>
      <c r="AB115" s="121"/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5">
      <c r="A116" t="s">
        <v>142</v>
      </c>
      <c r="B116" t="s">
        <v>115</v>
      </c>
      <c r="C116">
        <v>33</v>
      </c>
      <c r="D116" t="s">
        <v>72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/>
      <c r="Z116" s="121"/>
      <c r="AA116" s="121"/>
      <c r="AB116" s="121"/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5">
      <c r="A117" t="s">
        <v>142</v>
      </c>
      <c r="B117" t="s">
        <v>115</v>
      </c>
      <c r="C117">
        <v>34</v>
      </c>
      <c r="D117" t="s">
        <v>73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/>
      <c r="Z117" s="121"/>
      <c r="AA117" s="121"/>
      <c r="AB117" s="121"/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5">
      <c r="A118" t="s">
        <v>142</v>
      </c>
      <c r="B118" t="s">
        <v>115</v>
      </c>
      <c r="C118">
        <v>35</v>
      </c>
      <c r="D118" t="s">
        <v>74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5">
      <c r="A119" t="s">
        <v>142</v>
      </c>
      <c r="B119" t="s">
        <v>115</v>
      </c>
      <c r="C119">
        <v>36</v>
      </c>
      <c r="D119" t="s">
        <v>75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/>
      <c r="Z119" s="121"/>
      <c r="AA119" s="121"/>
      <c r="AB119" s="121"/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5">
      <c r="A120" t="s">
        <v>142</v>
      </c>
      <c r="B120" t="s">
        <v>115</v>
      </c>
      <c r="C120">
        <v>37</v>
      </c>
      <c r="D120" t="s">
        <v>76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5">
      <c r="A121" t="s">
        <v>142</v>
      </c>
      <c r="B121" t="s">
        <v>115</v>
      </c>
      <c r="C121">
        <v>38</v>
      </c>
      <c r="D121" t="s">
        <v>77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5">
      <c r="A122" t="s">
        <v>142</v>
      </c>
      <c r="B122" t="s">
        <v>115</v>
      </c>
      <c r="C122">
        <v>39</v>
      </c>
      <c r="D122" t="s">
        <v>78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5">
      <c r="A123" t="s">
        <v>142</v>
      </c>
      <c r="B123" t="s">
        <v>115</v>
      </c>
      <c r="C123">
        <v>40</v>
      </c>
      <c r="D123" t="s">
        <v>79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5">
      <c r="A124" t="s">
        <v>142</v>
      </c>
      <c r="B124" t="s">
        <v>143</v>
      </c>
      <c r="C124">
        <v>1</v>
      </c>
      <c r="D124" t="s">
        <v>26</v>
      </c>
      <c r="E124" s="14">
        <v>58757878</v>
      </c>
      <c r="F124" s="14">
        <v>139353476.34999999</v>
      </c>
      <c r="G124" s="124">
        <v>100358</v>
      </c>
      <c r="H124" s="121">
        <v>1004292.87</v>
      </c>
      <c r="I124" s="124">
        <v>228234</v>
      </c>
      <c r="J124" s="121">
        <v>507326.35</v>
      </c>
      <c r="K124" s="121">
        <v>-1</v>
      </c>
      <c r="L124" s="121">
        <v>-3182.29</v>
      </c>
      <c r="M124" s="121">
        <v>12791</v>
      </c>
      <c r="N124" s="121">
        <v>27928.29</v>
      </c>
      <c r="O124" s="121">
        <v>0</v>
      </c>
      <c r="P124" s="121">
        <v>-375.43</v>
      </c>
      <c r="Q124" s="121">
        <v>-1746</v>
      </c>
      <c r="R124" s="121">
        <v>-4272.99</v>
      </c>
      <c r="S124" s="121">
        <v>0</v>
      </c>
      <c r="T124" s="121">
        <v>0</v>
      </c>
      <c r="U124" s="121">
        <v>0</v>
      </c>
      <c r="V124" s="121">
        <v>0</v>
      </c>
      <c r="W124" s="121">
        <v>0</v>
      </c>
      <c r="X124" s="121">
        <v>0</v>
      </c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5">
      <c r="A125" t="s">
        <v>142</v>
      </c>
      <c r="B125" t="s">
        <v>143</v>
      </c>
      <c r="C125">
        <v>2</v>
      </c>
      <c r="D125" t="s">
        <v>27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5">
      <c r="A126" t="s">
        <v>142</v>
      </c>
      <c r="B126" t="s">
        <v>143</v>
      </c>
      <c r="C126">
        <v>3</v>
      </c>
      <c r="D126" t="s">
        <v>28</v>
      </c>
      <c r="E126" s="14">
        <v>17180581</v>
      </c>
      <c r="F126" s="14">
        <v>39293378</v>
      </c>
      <c r="G126" s="124">
        <v>-206997</v>
      </c>
      <c r="H126" s="121">
        <v>-443417</v>
      </c>
      <c r="I126" s="124">
        <v>0</v>
      </c>
      <c r="J126" s="121">
        <v>0</v>
      </c>
      <c r="K126" s="121">
        <v>1417617</v>
      </c>
      <c r="L126" s="121">
        <v>3236201</v>
      </c>
      <c r="M126" s="121">
        <v>1417449</v>
      </c>
      <c r="N126" s="121">
        <v>3235832</v>
      </c>
      <c r="O126" s="121">
        <v>-2628069</v>
      </c>
      <c r="P126" s="121">
        <v>-6028616</v>
      </c>
      <c r="Q126" s="121">
        <v>3892223</v>
      </c>
      <c r="R126" s="121">
        <v>9388679</v>
      </c>
      <c r="S126" s="121">
        <v>0</v>
      </c>
      <c r="T126" s="121">
        <v>0</v>
      </c>
      <c r="U126" s="121">
        <v>-3892223</v>
      </c>
      <c r="V126" s="121">
        <v>-9388679</v>
      </c>
      <c r="W126" s="121">
        <v>0</v>
      </c>
      <c r="X126" s="121">
        <v>0</v>
      </c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5">
      <c r="A127" t="s">
        <v>142</v>
      </c>
      <c r="B127" t="s">
        <v>143</v>
      </c>
      <c r="C127">
        <v>4</v>
      </c>
      <c r="D127" t="s">
        <v>29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5">
      <c r="A128" t="s">
        <v>142</v>
      </c>
      <c r="B128" t="s">
        <v>143</v>
      </c>
      <c r="C128">
        <v>5</v>
      </c>
      <c r="D128" t="s">
        <v>127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23</v>
      </c>
      <c r="U128" s="121">
        <v>0</v>
      </c>
      <c r="V128" s="121">
        <v>0</v>
      </c>
      <c r="W128" s="121">
        <v>0</v>
      </c>
      <c r="X128" s="121">
        <v>0</v>
      </c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5">
      <c r="A129" t="s">
        <v>142</v>
      </c>
      <c r="B129" t="s">
        <v>143</v>
      </c>
      <c r="C129">
        <v>6</v>
      </c>
      <c r="D129" t="s">
        <v>26</v>
      </c>
      <c r="E129" s="14">
        <v>-55181382</v>
      </c>
      <c r="F129" s="14">
        <v>-124370115</v>
      </c>
      <c r="G129" s="124">
        <v>-1187474</v>
      </c>
      <c r="H129" s="121">
        <v>-1315061.78</v>
      </c>
      <c r="I129" s="124">
        <v>189496</v>
      </c>
      <c r="J129" s="121">
        <v>543074.74</v>
      </c>
      <c r="K129" s="121">
        <v>591953</v>
      </c>
      <c r="L129" s="121">
        <v>19285.400000000001</v>
      </c>
      <c r="M129" s="121">
        <v>-201125</v>
      </c>
      <c r="N129" s="121">
        <v>-440099.9</v>
      </c>
      <c r="O129" s="121">
        <v>0</v>
      </c>
      <c r="P129" s="121">
        <v>271877.53999999998</v>
      </c>
      <c r="Q129" s="121">
        <v>0</v>
      </c>
      <c r="R129" s="121">
        <v>36.4</v>
      </c>
      <c r="S129" s="121">
        <v>0</v>
      </c>
      <c r="T129" s="121">
        <v>1</v>
      </c>
      <c r="U129" s="121">
        <v>0</v>
      </c>
      <c r="V129" s="121">
        <v>0</v>
      </c>
      <c r="W129" s="121">
        <v>0</v>
      </c>
      <c r="X129" s="121">
        <v>0</v>
      </c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5">
      <c r="A130" t="s">
        <v>142</v>
      </c>
      <c r="B130" t="s">
        <v>143</v>
      </c>
      <c r="C130">
        <v>7</v>
      </c>
      <c r="D130" t="s">
        <v>27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5">
      <c r="A131" t="s">
        <v>142</v>
      </c>
      <c r="B131" t="s">
        <v>143</v>
      </c>
      <c r="C131">
        <v>8</v>
      </c>
      <c r="D131" t="s">
        <v>28</v>
      </c>
      <c r="E131" s="14">
        <v>-20775482</v>
      </c>
      <c r="F131" s="14">
        <v>-47417327</v>
      </c>
      <c r="G131" s="124">
        <v>4297569</v>
      </c>
      <c r="H131" s="121">
        <v>9754291</v>
      </c>
      <c r="I131" s="124">
        <v>0</v>
      </c>
      <c r="J131" s="121">
        <v>0</v>
      </c>
      <c r="K131" s="121">
        <v>-1417617</v>
      </c>
      <c r="L131" s="121">
        <v>-3236201</v>
      </c>
      <c r="M131" s="121">
        <v>-1417449</v>
      </c>
      <c r="N131" s="121">
        <v>-3235832</v>
      </c>
      <c r="O131" s="121">
        <v>-1462503</v>
      </c>
      <c r="P131" s="121">
        <v>-3282258</v>
      </c>
      <c r="Q131" s="121">
        <v>-3877280</v>
      </c>
      <c r="R131" s="121">
        <v>-9353008</v>
      </c>
      <c r="S131" s="121">
        <v>0</v>
      </c>
      <c r="T131" s="121">
        <v>0</v>
      </c>
      <c r="U131" s="121">
        <v>3877280</v>
      </c>
      <c r="V131" s="121">
        <v>9353008</v>
      </c>
      <c r="W131" s="121">
        <v>0</v>
      </c>
      <c r="X131" s="121">
        <v>0</v>
      </c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5">
      <c r="A132" t="s">
        <v>142</v>
      </c>
      <c r="B132" t="s">
        <v>143</v>
      </c>
      <c r="C132">
        <v>9</v>
      </c>
      <c r="D132" t="s">
        <v>29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5">
      <c r="A133" t="s">
        <v>142</v>
      </c>
      <c r="B133" t="s">
        <v>143</v>
      </c>
      <c r="C133">
        <v>10</v>
      </c>
      <c r="D133" t="s">
        <v>33</v>
      </c>
      <c r="E133" s="14">
        <v>409806</v>
      </c>
      <c r="F133" s="14">
        <v>912228.16</v>
      </c>
      <c r="G133" s="124">
        <v>17214</v>
      </c>
      <c r="H133" s="121">
        <v>38318.364000000001</v>
      </c>
      <c r="I133" s="124">
        <v>0</v>
      </c>
      <c r="J133" s="121">
        <v>0</v>
      </c>
      <c r="K133" s="121">
        <v>7</v>
      </c>
      <c r="L133" s="121">
        <v>15.582000000000001</v>
      </c>
      <c r="M133" s="121">
        <v>171</v>
      </c>
      <c r="N133" s="121">
        <v>380.64600000000002</v>
      </c>
      <c r="O133" s="121">
        <v>0</v>
      </c>
      <c r="P133" s="121">
        <v>0</v>
      </c>
      <c r="Q133" s="121">
        <v>0</v>
      </c>
      <c r="R133" s="121">
        <v>0</v>
      </c>
      <c r="S133" s="121">
        <v>433218</v>
      </c>
      <c r="T133" s="121">
        <v>0</v>
      </c>
      <c r="U133" s="121">
        <v>0</v>
      </c>
      <c r="V133" s="121">
        <v>0</v>
      </c>
      <c r="W133" s="121">
        <v>0</v>
      </c>
      <c r="X133" s="121">
        <v>0</v>
      </c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5">
      <c r="A134" t="s">
        <v>142</v>
      </c>
      <c r="B134" t="s">
        <v>143</v>
      </c>
      <c r="C134">
        <v>11</v>
      </c>
      <c r="D134" t="s">
        <v>36</v>
      </c>
      <c r="E134" s="14">
        <v>382550</v>
      </c>
      <c r="F134" s="14">
        <v>853500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5">
      <c r="A135" t="s">
        <v>142</v>
      </c>
      <c r="B135" t="s">
        <v>143</v>
      </c>
      <c r="C135">
        <v>12</v>
      </c>
      <c r="D135" t="s">
        <v>37</v>
      </c>
      <c r="E135" s="14">
        <v>-31</v>
      </c>
      <c r="F135" s="14">
        <v>-69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5">
      <c r="A136" t="s">
        <v>142</v>
      </c>
      <c r="B136" t="s">
        <v>143</v>
      </c>
      <c r="C136">
        <v>13</v>
      </c>
      <c r="D136" t="s">
        <v>40</v>
      </c>
      <c r="E136" s="14">
        <v>1644</v>
      </c>
      <c r="F136" s="14">
        <v>-526436.93999999994</v>
      </c>
      <c r="G136" s="124">
        <v>109728</v>
      </c>
      <c r="H136" s="121">
        <v>892657.728</v>
      </c>
      <c r="I136" s="124">
        <v>-237792</v>
      </c>
      <c r="J136" s="121">
        <v>-690487.84</v>
      </c>
      <c r="K136" s="121">
        <v>630697</v>
      </c>
      <c r="L136" s="121">
        <v>393600.53</v>
      </c>
      <c r="M136" s="121">
        <v>-313872</v>
      </c>
      <c r="N136" s="121">
        <v>-698679.07</v>
      </c>
      <c r="O136" s="121">
        <v>0</v>
      </c>
      <c r="P136" s="121">
        <v>0</v>
      </c>
      <c r="Q136" s="121">
        <v>0</v>
      </c>
      <c r="R136" s="121">
        <v>0</v>
      </c>
      <c r="S136" s="121">
        <v>0</v>
      </c>
      <c r="T136" s="121">
        <v>0</v>
      </c>
      <c r="U136" s="121">
        <v>0</v>
      </c>
      <c r="V136" s="121">
        <v>0</v>
      </c>
      <c r="W136" s="121">
        <v>0</v>
      </c>
      <c r="X136" s="121">
        <v>0</v>
      </c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5">
      <c r="A137" t="s">
        <v>142</v>
      </c>
      <c r="B137" t="s">
        <v>143</v>
      </c>
      <c r="C137">
        <v>14</v>
      </c>
      <c r="D137" t="s">
        <v>41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-6895</v>
      </c>
      <c r="L137" s="121">
        <v>-14958.02</v>
      </c>
      <c r="M137" s="121">
        <v>-16</v>
      </c>
      <c r="N137" s="121">
        <v>-34.94</v>
      </c>
      <c r="O137" s="121">
        <v>-3639</v>
      </c>
      <c r="P137" s="121">
        <v>-7947.58</v>
      </c>
      <c r="Q137" s="121">
        <v>0</v>
      </c>
      <c r="R137" s="121">
        <v>0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5">
      <c r="A138" t="s">
        <v>142</v>
      </c>
      <c r="B138" t="s">
        <v>143</v>
      </c>
      <c r="C138">
        <v>15</v>
      </c>
      <c r="D138" t="s">
        <v>42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1364</v>
      </c>
      <c r="L138" s="121">
        <v>1802.25</v>
      </c>
      <c r="M138" s="121">
        <v>0</v>
      </c>
      <c r="N138" s="121">
        <v>0</v>
      </c>
      <c r="O138" s="121">
        <v>3639</v>
      </c>
      <c r="P138" s="121">
        <v>7947.58</v>
      </c>
      <c r="Q138" s="121">
        <v>0</v>
      </c>
      <c r="R138" s="121">
        <v>0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5">
      <c r="A139" t="s">
        <v>142</v>
      </c>
      <c r="B139" t="s">
        <v>143</v>
      </c>
      <c r="C139">
        <v>16</v>
      </c>
      <c r="D139" t="s">
        <v>43</v>
      </c>
      <c r="E139" s="14">
        <v>0</v>
      </c>
      <c r="F139" s="14">
        <v>-0.01</v>
      </c>
      <c r="G139" s="124">
        <v>0</v>
      </c>
      <c r="H139" s="121">
        <v>0</v>
      </c>
      <c r="I139" s="124">
        <v>-473130</v>
      </c>
      <c r="J139" s="121">
        <v>0</v>
      </c>
      <c r="K139" s="121">
        <v>0</v>
      </c>
      <c r="L139" s="121">
        <v>0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5">
      <c r="A140" t="s">
        <v>142</v>
      </c>
      <c r="B140" t="s">
        <v>143</v>
      </c>
      <c r="C140">
        <v>17</v>
      </c>
      <c r="D140" t="s">
        <v>128</v>
      </c>
      <c r="E140" s="14">
        <v>188</v>
      </c>
      <c r="F140" s="14">
        <v>418.49</v>
      </c>
      <c r="G140" s="124">
        <v>1</v>
      </c>
      <c r="H140" s="121">
        <v>2.23</v>
      </c>
      <c r="I140" s="124">
        <v>0</v>
      </c>
      <c r="J140" s="121">
        <v>0</v>
      </c>
      <c r="K140" s="121">
        <v>0</v>
      </c>
      <c r="L140" s="121">
        <v>0</v>
      </c>
      <c r="M140" s="121">
        <v>0</v>
      </c>
      <c r="N140" s="121">
        <v>0</v>
      </c>
      <c r="O140" s="121">
        <v>0</v>
      </c>
      <c r="P140" s="121">
        <v>0</v>
      </c>
      <c r="Q140" s="121">
        <v>75195</v>
      </c>
      <c r="R140" s="121">
        <v>184387.71</v>
      </c>
      <c r="S140" s="121">
        <v>-27829</v>
      </c>
      <c r="T140" s="121">
        <v>-60111.19</v>
      </c>
      <c r="U140" s="121">
        <v>-2527</v>
      </c>
      <c r="V140" s="121">
        <v>-6347.82</v>
      </c>
      <c r="W140" s="121">
        <v>0</v>
      </c>
      <c r="X140" s="121">
        <v>0</v>
      </c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5">
      <c r="A141" t="s">
        <v>142</v>
      </c>
      <c r="B141" t="s">
        <v>143</v>
      </c>
      <c r="C141">
        <v>18</v>
      </c>
      <c r="D141" t="s">
        <v>129</v>
      </c>
      <c r="E141" s="14">
        <v>-279956</v>
      </c>
      <c r="F141" s="14">
        <v>-623182.05000000005</v>
      </c>
      <c r="G141" s="124">
        <v>1573</v>
      </c>
      <c r="H141" s="121">
        <v>3501.5</v>
      </c>
      <c r="I141" s="124">
        <v>-60</v>
      </c>
      <c r="J141" s="121">
        <v>-136.19999999999999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-353036</v>
      </c>
      <c r="T141" s="121">
        <v>-936844.17</v>
      </c>
      <c r="U141" s="121">
        <v>0</v>
      </c>
      <c r="V141" s="121">
        <v>0</v>
      </c>
      <c r="W141" s="121">
        <v>344</v>
      </c>
      <c r="X141" s="121">
        <v>912.87</v>
      </c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5">
      <c r="A142" t="s">
        <v>142</v>
      </c>
      <c r="B142" t="s">
        <v>143</v>
      </c>
      <c r="C142">
        <v>19</v>
      </c>
      <c r="D142" t="s">
        <v>48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5">
      <c r="A143" t="s">
        <v>142</v>
      </c>
      <c r="B143" t="s">
        <v>143</v>
      </c>
      <c r="C143">
        <v>20</v>
      </c>
      <c r="D143" t="s">
        <v>130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5">
      <c r="A144" t="s">
        <v>142</v>
      </c>
      <c r="B144" t="s">
        <v>143</v>
      </c>
      <c r="C144">
        <v>21</v>
      </c>
      <c r="D144" t="s">
        <v>131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5">
      <c r="A145" t="s">
        <v>142</v>
      </c>
      <c r="B145" t="s">
        <v>143</v>
      </c>
      <c r="C145">
        <v>22</v>
      </c>
      <c r="D145" t="s">
        <v>132</v>
      </c>
      <c r="E145" s="14">
        <v>-495796</v>
      </c>
      <c r="F145" s="14">
        <v>-1103641.8959999999</v>
      </c>
      <c r="G145" s="124">
        <v>-3131972</v>
      </c>
      <c r="H145" s="121">
        <v>-6971769.6720000003</v>
      </c>
      <c r="I145" s="124">
        <v>293252</v>
      </c>
      <c r="J145" s="121">
        <v>652778.95200000005</v>
      </c>
      <c r="K145" s="121">
        <v>-1217125</v>
      </c>
      <c r="L145" s="121">
        <v>-2709320.25</v>
      </c>
      <c r="M145" s="121">
        <v>502051</v>
      </c>
      <c r="N145" s="121">
        <v>1117565.5260000001</v>
      </c>
      <c r="O145" s="121">
        <v>4090572</v>
      </c>
      <c r="P145" s="121">
        <v>9105613.2719999999</v>
      </c>
      <c r="Q145" s="121">
        <v>-88392</v>
      </c>
      <c r="R145" s="121">
        <v>-200207.88</v>
      </c>
      <c r="S145" s="121">
        <v>-52353</v>
      </c>
      <c r="T145" s="121">
        <v>-118579.545</v>
      </c>
      <c r="U145" s="121">
        <v>17470</v>
      </c>
      <c r="V145" s="121">
        <v>39569.550000000003</v>
      </c>
      <c r="W145" s="121">
        <v>-344</v>
      </c>
      <c r="X145" s="121">
        <v>-779.16</v>
      </c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5">
      <c r="A146" t="s">
        <v>142</v>
      </c>
      <c r="B146" t="s">
        <v>143</v>
      </c>
      <c r="C146">
        <v>23</v>
      </c>
      <c r="D146" t="s">
        <v>133</v>
      </c>
      <c r="E146" s="14">
        <v>-409806</v>
      </c>
      <c r="F146" s="14">
        <v>-912228.16</v>
      </c>
      <c r="G146" s="124">
        <v>-17214</v>
      </c>
      <c r="H146" s="121">
        <v>-38318.364000000001</v>
      </c>
      <c r="I146" s="124">
        <v>0</v>
      </c>
      <c r="J146" s="121">
        <v>0</v>
      </c>
      <c r="K146" s="121">
        <v>-7</v>
      </c>
      <c r="L146" s="121">
        <v>-15.582000000000001</v>
      </c>
      <c r="M146" s="121">
        <v>-171</v>
      </c>
      <c r="N146" s="121">
        <v>-380.64600000000002</v>
      </c>
      <c r="O146" s="121">
        <v>0</v>
      </c>
      <c r="P146" s="121">
        <v>0</v>
      </c>
      <c r="Q146" s="121">
        <v>0</v>
      </c>
      <c r="R146" s="121">
        <v>0</v>
      </c>
      <c r="S146" s="121">
        <v>0</v>
      </c>
      <c r="T146" s="121">
        <v>0</v>
      </c>
      <c r="U146" s="121">
        <v>0</v>
      </c>
      <c r="V146" s="121">
        <v>0</v>
      </c>
      <c r="W146" s="121">
        <v>0</v>
      </c>
      <c r="X146" s="121">
        <v>0</v>
      </c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5">
      <c r="A147" t="s">
        <v>142</v>
      </c>
      <c r="B147" t="s">
        <v>143</v>
      </c>
      <c r="C147">
        <v>24</v>
      </c>
      <c r="D147" t="s">
        <v>56</v>
      </c>
      <c r="E147" s="14">
        <v>-24318932</v>
      </c>
      <c r="F147" s="14">
        <v>-2295236.39</v>
      </c>
      <c r="G147" s="124">
        <v>-4026008</v>
      </c>
      <c r="H147" s="121">
        <v>-109743.67999999999</v>
      </c>
      <c r="I147" s="124">
        <v>-69632</v>
      </c>
      <c r="J147" s="121">
        <v>21220.13</v>
      </c>
      <c r="K147" s="121">
        <v>-1915953</v>
      </c>
      <c r="L147" s="121">
        <v>19358.02</v>
      </c>
      <c r="M147" s="121">
        <v>24205</v>
      </c>
      <c r="N147" s="121">
        <v>208.78</v>
      </c>
      <c r="O147" s="121">
        <v>-259</v>
      </c>
      <c r="P147" s="121">
        <v>1746.05</v>
      </c>
      <c r="Q147" s="121">
        <v>14065</v>
      </c>
      <c r="R147" s="121">
        <v>2768.64</v>
      </c>
      <c r="S147" s="121">
        <v>-4210</v>
      </c>
      <c r="T147" s="121">
        <v>-301.43</v>
      </c>
      <c r="U147" s="121">
        <v>27632</v>
      </c>
      <c r="V147" s="121">
        <v>887.77</v>
      </c>
      <c r="W147" s="121">
        <v>0</v>
      </c>
      <c r="X147" s="121">
        <v>0</v>
      </c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5">
      <c r="A148" t="s">
        <v>142</v>
      </c>
      <c r="B148" t="s">
        <v>143</v>
      </c>
      <c r="C148">
        <v>25</v>
      </c>
      <c r="D148" t="s">
        <v>57</v>
      </c>
      <c r="E148" s="14">
        <v>0</v>
      </c>
      <c r="F148" s="14">
        <v>-22528.87</v>
      </c>
      <c r="G148" s="124">
        <v>0</v>
      </c>
      <c r="H148" s="121">
        <v>0</v>
      </c>
      <c r="I148" s="124">
        <v>0</v>
      </c>
      <c r="J148" s="121">
        <v>17475</v>
      </c>
      <c r="K148" s="121">
        <v>0</v>
      </c>
      <c r="L148" s="121">
        <v>-43481.279999999999</v>
      </c>
      <c r="M148" s="121">
        <v>0</v>
      </c>
      <c r="N148" s="121">
        <v>20018.72</v>
      </c>
      <c r="O148" s="121">
        <v>0</v>
      </c>
      <c r="P148" s="121">
        <v>-3298.37</v>
      </c>
      <c r="Q148" s="121">
        <v>0</v>
      </c>
      <c r="R148" s="121">
        <v>-287774.63</v>
      </c>
      <c r="S148" s="121">
        <v>0</v>
      </c>
      <c r="T148" s="121">
        <v>0</v>
      </c>
      <c r="U148" s="121">
        <v>0</v>
      </c>
      <c r="V148" s="121">
        <v>31</v>
      </c>
      <c r="W148" s="121">
        <v>0</v>
      </c>
      <c r="X148" s="121">
        <v>0</v>
      </c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5">
      <c r="A149" t="s">
        <v>142</v>
      </c>
      <c r="B149" t="s">
        <v>143</v>
      </c>
      <c r="C149">
        <v>26</v>
      </c>
      <c r="D149" t="s">
        <v>134</v>
      </c>
      <c r="E149" s="14">
        <v>0</v>
      </c>
      <c r="F149" s="14">
        <v>0</v>
      </c>
      <c r="G149" s="124">
        <v>0</v>
      </c>
      <c r="H149" s="121">
        <v>0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5">
      <c r="A150" t="s">
        <v>142</v>
      </c>
      <c r="B150" t="s">
        <v>143</v>
      </c>
      <c r="C150">
        <v>27</v>
      </c>
      <c r="D150" t="s">
        <v>135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5">
      <c r="A151" t="s">
        <v>142</v>
      </c>
      <c r="B151" t="s">
        <v>143</v>
      </c>
      <c r="C151">
        <v>28</v>
      </c>
      <c r="D151" t="s">
        <v>136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5">
      <c r="A152" t="s">
        <v>142</v>
      </c>
      <c r="B152" t="s">
        <v>143</v>
      </c>
      <c r="C152">
        <v>29</v>
      </c>
      <c r="D152" t="s">
        <v>137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5">
      <c r="A153" t="s">
        <v>142</v>
      </c>
      <c r="B153" t="s">
        <v>143</v>
      </c>
      <c r="C153">
        <v>30</v>
      </c>
      <c r="D153" t="s">
        <v>138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5">
      <c r="A154" t="s">
        <v>142</v>
      </c>
      <c r="B154" t="s">
        <v>143</v>
      </c>
      <c r="C154">
        <v>31</v>
      </c>
      <c r="D154" t="s">
        <v>139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5">
      <c r="A155" t="s">
        <v>142</v>
      </c>
      <c r="B155" t="s">
        <v>143</v>
      </c>
      <c r="C155">
        <v>32</v>
      </c>
      <c r="D155" t="s">
        <v>71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5">
      <c r="A156" t="s">
        <v>142</v>
      </c>
      <c r="B156" t="s">
        <v>143</v>
      </c>
      <c r="C156">
        <v>33</v>
      </c>
      <c r="D156" t="s">
        <v>72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5">
      <c r="A157" t="s">
        <v>142</v>
      </c>
      <c r="B157" t="s">
        <v>143</v>
      </c>
      <c r="C157">
        <v>34</v>
      </c>
      <c r="D157" t="s">
        <v>73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5">
      <c r="A158" t="s">
        <v>142</v>
      </c>
      <c r="B158" t="s">
        <v>143</v>
      </c>
      <c r="C158">
        <v>35</v>
      </c>
      <c r="D158" t="s">
        <v>74</v>
      </c>
      <c r="E158" s="14">
        <v>0</v>
      </c>
      <c r="F158" s="14">
        <v>0</v>
      </c>
      <c r="G158" s="124">
        <v>0</v>
      </c>
      <c r="H158" s="121">
        <v>0</v>
      </c>
      <c r="I158" s="124">
        <v>0</v>
      </c>
      <c r="J158" s="121">
        <v>-29819.48</v>
      </c>
      <c r="K158" s="121">
        <v>0</v>
      </c>
      <c r="L158" s="121">
        <v>0</v>
      </c>
      <c r="M158" s="121">
        <v>0</v>
      </c>
      <c r="N158" s="121">
        <v>0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5">
      <c r="A159" t="s">
        <v>142</v>
      </c>
      <c r="B159" t="s">
        <v>143</v>
      </c>
      <c r="C159">
        <v>36</v>
      </c>
      <c r="D159" t="s">
        <v>75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5">
      <c r="A160" t="s">
        <v>142</v>
      </c>
      <c r="B160" t="s">
        <v>143</v>
      </c>
      <c r="C160">
        <v>37</v>
      </c>
      <c r="D160" t="s">
        <v>76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/>
      <c r="Z160" s="121"/>
      <c r="AA160" s="121"/>
      <c r="AB160" s="121"/>
      <c r="AC160" s="121"/>
      <c r="AD160" s="121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5">
      <c r="A161" t="s">
        <v>142</v>
      </c>
      <c r="B161" t="s">
        <v>143</v>
      </c>
      <c r="C161">
        <v>38</v>
      </c>
      <c r="D161" t="s">
        <v>77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/>
      <c r="Z161" s="121"/>
      <c r="AA161" s="121"/>
      <c r="AB161" s="121"/>
      <c r="AC161" s="121"/>
      <c r="AD161" s="121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5">
      <c r="A162" t="s">
        <v>142</v>
      </c>
      <c r="B162" t="s">
        <v>143</v>
      </c>
      <c r="C162">
        <v>39</v>
      </c>
      <c r="D162" t="s">
        <v>78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/>
      <c r="Z162" s="121"/>
      <c r="AA162" s="121"/>
      <c r="AB162" s="121"/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5">
      <c r="A163" t="s">
        <v>142</v>
      </c>
      <c r="B163" t="s">
        <v>143</v>
      </c>
      <c r="C163">
        <v>40</v>
      </c>
      <c r="D163" t="s">
        <v>79</v>
      </c>
      <c r="E163" s="14">
        <v>0</v>
      </c>
      <c r="F163" s="14">
        <v>1279374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/>
      <c r="Z163" s="121"/>
      <c r="AA163" s="121"/>
      <c r="AB163" s="121"/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5">
      <c r="A164" t="s">
        <v>142</v>
      </c>
      <c r="B164" t="s">
        <v>144</v>
      </c>
      <c r="C164">
        <v>1</v>
      </c>
      <c r="D164" t="s">
        <v>26</v>
      </c>
      <c r="E164" s="14">
        <v>85094315</v>
      </c>
      <c r="F164" s="14">
        <v>194018927.97999999</v>
      </c>
      <c r="G164" s="124">
        <v>-174103</v>
      </c>
      <c r="H164" s="121">
        <v>-19277658.540000003</v>
      </c>
      <c r="I164" s="124">
        <v>1236268</v>
      </c>
      <c r="J164" s="121">
        <v>21381226.259999998</v>
      </c>
      <c r="K164" s="121">
        <v>-320838</v>
      </c>
      <c r="L164" s="121">
        <v>-102999.37</v>
      </c>
      <c r="M164" s="121">
        <v>2925</v>
      </c>
      <c r="N164" s="121">
        <v>1444.94</v>
      </c>
      <c r="O164" s="121">
        <v>237600</v>
      </c>
      <c r="P164" s="121">
        <v>-169996.4</v>
      </c>
      <c r="Q164" s="121">
        <v>5181</v>
      </c>
      <c r="R164" s="121">
        <v>89938.95</v>
      </c>
      <c r="S164" s="121">
        <v>0</v>
      </c>
      <c r="T164" s="121">
        <v>783.1</v>
      </c>
      <c r="U164" s="121">
        <v>0</v>
      </c>
      <c r="V164" s="121">
        <v>0</v>
      </c>
      <c r="W164" s="121">
        <v>0</v>
      </c>
      <c r="X164" s="121">
        <v>0</v>
      </c>
      <c r="Y164" s="121"/>
      <c r="Z164" s="121"/>
      <c r="AA164" s="121"/>
      <c r="AB164" s="121"/>
      <c r="AC164" s="121"/>
      <c r="AD164" s="121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5">
      <c r="A165" t="s">
        <v>142</v>
      </c>
      <c r="B165" t="s">
        <v>144</v>
      </c>
      <c r="C165">
        <v>2</v>
      </c>
      <c r="D165" t="s">
        <v>27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/>
      <c r="Z165" s="121"/>
      <c r="AA165" s="121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5">
      <c r="A166" t="s">
        <v>142</v>
      </c>
      <c r="B166" t="s">
        <v>144</v>
      </c>
      <c r="C166">
        <v>3</v>
      </c>
      <c r="D166" t="s">
        <v>28</v>
      </c>
      <c r="E166" s="14">
        <v>41862372</v>
      </c>
      <c r="F166" s="14">
        <v>97424953</v>
      </c>
      <c r="G166" s="124">
        <v>-86107</v>
      </c>
      <c r="H166" s="121">
        <v>-189994</v>
      </c>
      <c r="I166" s="124">
        <v>0</v>
      </c>
      <c r="J166" s="121">
        <v>0</v>
      </c>
      <c r="K166" s="121">
        <v>7315478</v>
      </c>
      <c r="L166" s="121">
        <v>16779752</v>
      </c>
      <c r="M166" s="121">
        <v>7315478</v>
      </c>
      <c r="N166" s="121">
        <v>16779752</v>
      </c>
      <c r="O166" s="121">
        <v>-14544849</v>
      </c>
      <c r="P166" s="121">
        <v>-33369510</v>
      </c>
      <c r="Q166" s="121">
        <v>2628069</v>
      </c>
      <c r="R166" s="121">
        <v>6028616</v>
      </c>
      <c r="S166" s="121">
        <v>0</v>
      </c>
      <c r="T166" s="121">
        <v>0</v>
      </c>
      <c r="U166" s="121">
        <v>-2628069</v>
      </c>
      <c r="V166" s="121">
        <v>-6028616</v>
      </c>
      <c r="W166" s="121">
        <v>0</v>
      </c>
      <c r="X166" s="121">
        <v>0</v>
      </c>
      <c r="Y166" s="121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5">
      <c r="A167" t="s">
        <v>142</v>
      </c>
      <c r="B167" t="s">
        <v>144</v>
      </c>
      <c r="C167">
        <v>4</v>
      </c>
      <c r="D167" t="s">
        <v>29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5">
      <c r="A168" t="s">
        <v>142</v>
      </c>
      <c r="B168" t="s">
        <v>144</v>
      </c>
      <c r="C168">
        <v>5</v>
      </c>
      <c r="D168" t="s">
        <v>127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621405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0</v>
      </c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5">
      <c r="A169" t="s">
        <v>142</v>
      </c>
      <c r="B169" t="s">
        <v>144</v>
      </c>
      <c r="C169">
        <v>6</v>
      </c>
      <c r="D169" t="s">
        <v>26</v>
      </c>
      <c r="E169" s="14">
        <v>-94864127</v>
      </c>
      <c r="F169" s="14">
        <v>-216085832</v>
      </c>
      <c r="G169" s="124">
        <v>-2048882</v>
      </c>
      <c r="H169" s="121">
        <v>-4914236.1100000003</v>
      </c>
      <c r="I169" s="124">
        <v>118678</v>
      </c>
      <c r="J169" s="121">
        <v>261495.97</v>
      </c>
      <c r="K169" s="121">
        <v>-318807</v>
      </c>
      <c r="L169" s="121">
        <v>-720210.19</v>
      </c>
      <c r="M169" s="121">
        <v>-14998</v>
      </c>
      <c r="N169" s="121">
        <v>-33643.24</v>
      </c>
      <c r="O169" s="121">
        <v>12695</v>
      </c>
      <c r="P169" s="121">
        <v>34245.4</v>
      </c>
      <c r="Q169" s="121">
        <v>3474</v>
      </c>
      <c r="R169" s="121">
        <v>18401.53</v>
      </c>
      <c r="S169" s="121">
        <v>0</v>
      </c>
      <c r="T169" s="121">
        <v>0.62</v>
      </c>
      <c r="U169" s="121">
        <v>-559</v>
      </c>
      <c r="V169" s="121">
        <v>-2554.7600000000002</v>
      </c>
      <c r="W169" s="121">
        <v>0</v>
      </c>
      <c r="X169" s="121">
        <v>0</v>
      </c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5">
      <c r="A170" t="s">
        <v>142</v>
      </c>
      <c r="B170" t="s">
        <v>144</v>
      </c>
      <c r="C170">
        <v>7</v>
      </c>
      <c r="D170" t="s">
        <v>27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5">
      <c r="A171" t="s">
        <v>142</v>
      </c>
      <c r="B171" t="s">
        <v>144</v>
      </c>
      <c r="C171">
        <v>8</v>
      </c>
      <c r="D171" t="s">
        <v>28</v>
      </c>
      <c r="E171" s="14">
        <v>-37849780</v>
      </c>
      <c r="F171" s="14">
        <v>-88445966</v>
      </c>
      <c r="G171" s="124">
        <v>70012</v>
      </c>
      <c r="H171" s="121">
        <v>157768</v>
      </c>
      <c r="I171" s="124">
        <v>0</v>
      </c>
      <c r="J171" s="121">
        <v>0</v>
      </c>
      <c r="K171" s="121">
        <v>-7315478</v>
      </c>
      <c r="L171" s="121">
        <v>-16779752</v>
      </c>
      <c r="M171" s="121">
        <v>-7315478</v>
      </c>
      <c r="N171" s="121">
        <v>-16779752</v>
      </c>
      <c r="O171" s="121">
        <v>14560944</v>
      </c>
      <c r="P171" s="121">
        <v>33401736</v>
      </c>
      <c r="Q171" s="121">
        <v>1462503</v>
      </c>
      <c r="R171" s="121">
        <v>3282258</v>
      </c>
      <c r="S171" s="121">
        <v>0</v>
      </c>
      <c r="T171" s="121">
        <v>0</v>
      </c>
      <c r="U171" s="121">
        <v>-1462503</v>
      </c>
      <c r="V171" s="121">
        <v>-3282258</v>
      </c>
      <c r="W171" s="121">
        <v>0</v>
      </c>
      <c r="X171" s="121">
        <v>0</v>
      </c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5">
      <c r="A172" t="s">
        <v>142</v>
      </c>
      <c r="B172" t="s">
        <v>144</v>
      </c>
      <c r="C172">
        <v>9</v>
      </c>
      <c r="D172" t="s">
        <v>29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5">
      <c r="A173" t="s">
        <v>142</v>
      </c>
      <c r="B173" t="s">
        <v>144</v>
      </c>
      <c r="C173">
        <v>10</v>
      </c>
      <c r="D173" t="s">
        <v>33</v>
      </c>
      <c r="E173" s="14">
        <v>0</v>
      </c>
      <c r="F173" s="14">
        <v>0</v>
      </c>
      <c r="G173" s="124">
        <v>530088</v>
      </c>
      <c r="H173" s="121">
        <v>1200649.32</v>
      </c>
      <c r="I173" s="124">
        <v>81500</v>
      </c>
      <c r="J173" s="121">
        <v>184597.5</v>
      </c>
      <c r="K173" s="121">
        <v>260</v>
      </c>
      <c r="L173" s="121">
        <v>588.9</v>
      </c>
      <c r="M173" s="121">
        <v>0</v>
      </c>
      <c r="N173" s="121">
        <v>0</v>
      </c>
      <c r="O173" s="121">
        <v>452</v>
      </c>
      <c r="P173" s="121">
        <v>1023.78</v>
      </c>
      <c r="Q173" s="121">
        <v>568</v>
      </c>
      <c r="R173" s="121">
        <v>1264.3679999999999</v>
      </c>
      <c r="S173" s="121">
        <v>0</v>
      </c>
      <c r="T173" s="121">
        <v>0</v>
      </c>
      <c r="U173" s="121">
        <v>28</v>
      </c>
      <c r="V173" s="121">
        <v>62.328000000000003</v>
      </c>
      <c r="W173" s="121">
        <v>0</v>
      </c>
      <c r="X173" s="121">
        <v>0</v>
      </c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5">
      <c r="A174" t="s">
        <v>142</v>
      </c>
      <c r="B174" t="s">
        <v>144</v>
      </c>
      <c r="C174">
        <v>11</v>
      </c>
      <c r="D174" t="s">
        <v>36</v>
      </c>
      <c r="E174" s="14">
        <v>8865535</v>
      </c>
      <c r="F174" s="14">
        <v>20247970</v>
      </c>
      <c r="G174" s="124">
        <v>-19465</v>
      </c>
      <c r="H174" s="121">
        <v>-318242</v>
      </c>
      <c r="I174" s="124">
        <v>0</v>
      </c>
      <c r="J174" s="121">
        <v>239240.94</v>
      </c>
      <c r="K174" s="121">
        <v>10000</v>
      </c>
      <c r="L174" s="121">
        <v>25300</v>
      </c>
      <c r="M174" s="121">
        <v>-10000</v>
      </c>
      <c r="N174" s="121">
        <v>-25300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5">
      <c r="A175" t="s">
        <v>142</v>
      </c>
      <c r="B175" t="s">
        <v>144</v>
      </c>
      <c r="C175">
        <v>12</v>
      </c>
      <c r="D175" t="s">
        <v>37</v>
      </c>
      <c r="E175" s="14">
        <v>-2174739</v>
      </c>
      <c r="F175" s="14">
        <v>-5004327</v>
      </c>
      <c r="G175" s="124">
        <v>222208</v>
      </c>
      <c r="H175" s="121">
        <v>513398</v>
      </c>
      <c r="I175" s="124">
        <v>-47639</v>
      </c>
      <c r="J175" s="121">
        <v>-106262.58</v>
      </c>
      <c r="K175" s="121">
        <v>-585</v>
      </c>
      <c r="L175" s="121">
        <v>-1492.66</v>
      </c>
      <c r="M175" s="121">
        <v>-1690</v>
      </c>
      <c r="N175" s="121">
        <v>-4390.1099999999997</v>
      </c>
      <c r="O175" s="121">
        <v>-9350</v>
      </c>
      <c r="P175" s="121">
        <v>-19474.11</v>
      </c>
      <c r="Q175" s="121">
        <v>0</v>
      </c>
      <c r="R175" s="121">
        <v>0</v>
      </c>
      <c r="S175" s="121">
        <v>0</v>
      </c>
      <c r="T175" s="121">
        <v>0</v>
      </c>
      <c r="U175" s="121">
        <v>31</v>
      </c>
      <c r="V175" s="121">
        <v>68.510000000000005</v>
      </c>
      <c r="W175" s="121">
        <v>0</v>
      </c>
      <c r="X175" s="121">
        <v>0</v>
      </c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5">
      <c r="A176" t="s">
        <v>142</v>
      </c>
      <c r="B176" t="s">
        <v>144</v>
      </c>
      <c r="C176">
        <v>13</v>
      </c>
      <c r="D176" t="s">
        <v>40</v>
      </c>
      <c r="E176" s="14">
        <v>0</v>
      </c>
      <c r="F176" s="14">
        <v>-315789.27</v>
      </c>
      <c r="G176" s="124">
        <v>-1742987</v>
      </c>
      <c r="H176" s="121">
        <v>-4456046.773</v>
      </c>
      <c r="I176" s="124">
        <v>1257772</v>
      </c>
      <c r="J176" s="121">
        <v>3365682.98</v>
      </c>
      <c r="K176" s="121">
        <v>996982</v>
      </c>
      <c r="L176" s="121">
        <v>2565305.02</v>
      </c>
      <c r="M176" s="121">
        <v>371416</v>
      </c>
      <c r="N176" s="121">
        <v>841257.23699999996</v>
      </c>
      <c r="O176" s="121">
        <v>30594</v>
      </c>
      <c r="P176" s="121">
        <v>69295.41</v>
      </c>
      <c r="Q176" s="121">
        <v>-69452</v>
      </c>
      <c r="R176" s="121">
        <v>-154600.152</v>
      </c>
      <c r="S176" s="121">
        <v>0</v>
      </c>
      <c r="T176" s="121">
        <v>0</v>
      </c>
      <c r="U176" s="121">
        <v>3208</v>
      </c>
      <c r="V176" s="121">
        <v>7141.0079999999998</v>
      </c>
      <c r="W176" s="121">
        <v>0</v>
      </c>
      <c r="X176" s="121">
        <v>0</v>
      </c>
      <c r="Y176" s="121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5">
      <c r="A177" t="s">
        <v>142</v>
      </c>
      <c r="B177" t="s">
        <v>144</v>
      </c>
      <c r="C177">
        <v>14</v>
      </c>
      <c r="D177" t="s">
        <v>41</v>
      </c>
      <c r="E177" s="14">
        <v>0</v>
      </c>
      <c r="F177" s="14">
        <v>0</v>
      </c>
      <c r="G177" s="124">
        <v>0</v>
      </c>
      <c r="H177" s="121">
        <v>0</v>
      </c>
      <c r="I177" s="124">
        <v>0</v>
      </c>
      <c r="J177" s="121">
        <v>0</v>
      </c>
      <c r="K177" s="121">
        <v>-27965</v>
      </c>
      <c r="L177" s="121">
        <v>-63219.92</v>
      </c>
      <c r="M177" s="121">
        <v>-2868</v>
      </c>
      <c r="N177" s="121">
        <v>0</v>
      </c>
      <c r="O177" s="121">
        <v>-24588</v>
      </c>
      <c r="P177" s="121">
        <v>-104807.14</v>
      </c>
      <c r="Q177" s="121">
        <v>-1400</v>
      </c>
      <c r="R177" s="121">
        <v>-3057.6</v>
      </c>
      <c r="S177" s="121">
        <v>0</v>
      </c>
      <c r="T177" s="121">
        <v>0</v>
      </c>
      <c r="U177" s="121">
        <v>-2342</v>
      </c>
      <c r="V177" s="121">
        <v>-4396.22</v>
      </c>
      <c r="W177" s="121">
        <v>0</v>
      </c>
      <c r="X177" s="121">
        <v>0</v>
      </c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5">
      <c r="A178" t="s">
        <v>142</v>
      </c>
      <c r="B178" t="s">
        <v>144</v>
      </c>
      <c r="C178">
        <v>15</v>
      </c>
      <c r="D178" t="s">
        <v>42</v>
      </c>
      <c r="E178" s="14">
        <v>0</v>
      </c>
      <c r="F178" s="14">
        <v>0</v>
      </c>
      <c r="G178" s="124">
        <v>0</v>
      </c>
      <c r="H178" s="121">
        <v>0</v>
      </c>
      <c r="I178" s="124">
        <v>0</v>
      </c>
      <c r="J178" s="121">
        <v>0</v>
      </c>
      <c r="K178" s="121">
        <v>9430</v>
      </c>
      <c r="L178" s="121">
        <v>4560155.99</v>
      </c>
      <c r="M178" s="121">
        <v>0</v>
      </c>
      <c r="N178" s="121">
        <v>-4545663.8499999996</v>
      </c>
      <c r="O178" s="121">
        <v>5099</v>
      </c>
      <c r="P178" s="121">
        <v>11413.24</v>
      </c>
      <c r="Q178" s="121">
        <v>2239</v>
      </c>
      <c r="R178" s="121">
        <v>4889.9799999999996</v>
      </c>
      <c r="S178" s="121">
        <v>0</v>
      </c>
      <c r="T178" s="121">
        <v>0</v>
      </c>
      <c r="U178" s="121">
        <v>1923</v>
      </c>
      <c r="V178" s="121">
        <v>3404.45</v>
      </c>
      <c r="W178" s="121">
        <v>0</v>
      </c>
      <c r="X178" s="121">
        <v>0</v>
      </c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5">
      <c r="A179" t="s">
        <v>142</v>
      </c>
      <c r="B179" t="s">
        <v>144</v>
      </c>
      <c r="C179">
        <v>16</v>
      </c>
      <c r="D179" t="s">
        <v>43</v>
      </c>
      <c r="E179" s="14">
        <v>0</v>
      </c>
      <c r="F179" s="14">
        <v>-0.01</v>
      </c>
      <c r="G179" s="124">
        <v>0</v>
      </c>
      <c r="H179" s="121">
        <v>0</v>
      </c>
      <c r="I179" s="124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5">
      <c r="A180" t="s">
        <v>142</v>
      </c>
      <c r="B180" t="s">
        <v>144</v>
      </c>
      <c r="C180">
        <v>17</v>
      </c>
      <c r="D180" t="s">
        <v>128</v>
      </c>
      <c r="E180" s="14">
        <v>176933</v>
      </c>
      <c r="F180" s="14">
        <v>400753.25</v>
      </c>
      <c r="G180" s="124">
        <v>2097</v>
      </c>
      <c r="H180" s="121">
        <v>4749.71</v>
      </c>
      <c r="I180" s="124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0</v>
      </c>
      <c r="V180" s="121">
        <v>0</v>
      </c>
      <c r="W180" s="121">
        <v>0</v>
      </c>
      <c r="X180" s="121">
        <v>0</v>
      </c>
      <c r="Y180" s="121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5">
      <c r="A181" t="s">
        <v>142</v>
      </c>
      <c r="B181" t="s">
        <v>144</v>
      </c>
      <c r="C181">
        <v>18</v>
      </c>
      <c r="D181" t="s">
        <v>129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-90000</v>
      </c>
      <c r="L181" s="121">
        <v>-203850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1440.9</v>
      </c>
      <c r="U181" s="121">
        <v>0</v>
      </c>
      <c r="V181" s="121">
        <v>0</v>
      </c>
      <c r="W181" s="121">
        <v>0</v>
      </c>
      <c r="X181" s="121">
        <v>0</v>
      </c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5">
      <c r="A182" t="s">
        <v>142</v>
      </c>
      <c r="B182" t="s">
        <v>144</v>
      </c>
      <c r="C182">
        <v>19</v>
      </c>
      <c r="D182" t="s">
        <v>48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5">
      <c r="A183" t="s">
        <v>142</v>
      </c>
      <c r="B183" t="s">
        <v>144</v>
      </c>
      <c r="C183">
        <v>20</v>
      </c>
      <c r="D183" t="s">
        <v>130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5">
      <c r="A184" t="s">
        <v>142</v>
      </c>
      <c r="B184" t="s">
        <v>144</v>
      </c>
      <c r="C184">
        <v>21</v>
      </c>
      <c r="D184" t="s">
        <v>131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5">
      <c r="A185" t="s">
        <v>142</v>
      </c>
      <c r="B185" t="s">
        <v>144</v>
      </c>
      <c r="C185">
        <v>22</v>
      </c>
      <c r="D185" t="s">
        <v>132</v>
      </c>
      <c r="E185" s="14">
        <v>-1110509</v>
      </c>
      <c r="F185" s="14">
        <v>-2515302.8849999998</v>
      </c>
      <c r="G185" s="124">
        <v>3247139</v>
      </c>
      <c r="H185" s="121">
        <v>7354769.835</v>
      </c>
      <c r="I185" s="124">
        <v>-2646579</v>
      </c>
      <c r="J185" s="121">
        <v>-5994501.4349999996</v>
      </c>
      <c r="K185" s="121">
        <v>-258477</v>
      </c>
      <c r="L185" s="121">
        <v>-585450.40500000003</v>
      </c>
      <c r="M185" s="121">
        <v>-344785</v>
      </c>
      <c r="N185" s="121">
        <v>-780938.02500000002</v>
      </c>
      <c r="O185" s="121">
        <v>-268597</v>
      </c>
      <c r="P185" s="121">
        <v>-608372.20499999996</v>
      </c>
      <c r="Q185" s="121">
        <v>-4031182</v>
      </c>
      <c r="R185" s="121">
        <v>-8973411.1319999993</v>
      </c>
      <c r="S185" s="121">
        <v>0</v>
      </c>
      <c r="T185" s="121">
        <v>0</v>
      </c>
      <c r="U185" s="121">
        <v>4088283</v>
      </c>
      <c r="V185" s="121">
        <v>9100517.9580000006</v>
      </c>
      <c r="W185" s="121">
        <v>0</v>
      </c>
      <c r="X185" s="121">
        <v>0</v>
      </c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5">
      <c r="A186" t="s">
        <v>142</v>
      </c>
      <c r="B186" t="s">
        <v>144</v>
      </c>
      <c r="C186">
        <v>23</v>
      </c>
      <c r="D186" t="s">
        <v>133</v>
      </c>
      <c r="E186" s="14">
        <v>0</v>
      </c>
      <c r="F186" s="14">
        <v>0</v>
      </c>
      <c r="G186" s="124">
        <v>-530088</v>
      </c>
      <c r="H186" s="121">
        <v>-1200649.32</v>
      </c>
      <c r="I186" s="124">
        <v>-81500</v>
      </c>
      <c r="J186" s="121">
        <v>-184597.5</v>
      </c>
      <c r="K186" s="121">
        <v>-260</v>
      </c>
      <c r="L186" s="121">
        <v>-588.9</v>
      </c>
      <c r="M186" s="121">
        <v>0</v>
      </c>
      <c r="N186" s="121">
        <v>0</v>
      </c>
      <c r="O186" s="121">
        <v>-452</v>
      </c>
      <c r="P186" s="121">
        <v>-1023.78</v>
      </c>
      <c r="Q186" s="121">
        <v>-568</v>
      </c>
      <c r="R186" s="121">
        <v>-1264.3679999999999</v>
      </c>
      <c r="S186" s="121">
        <v>0</v>
      </c>
      <c r="T186" s="121">
        <v>0</v>
      </c>
      <c r="U186" s="121">
        <v>-28</v>
      </c>
      <c r="V186" s="121">
        <v>-62.328000000000003</v>
      </c>
      <c r="W186" s="121">
        <v>0</v>
      </c>
      <c r="X186" s="121">
        <v>0</v>
      </c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5">
      <c r="A187" t="s">
        <v>142</v>
      </c>
      <c r="B187" t="s">
        <v>144</v>
      </c>
      <c r="C187">
        <v>24</v>
      </c>
      <c r="D187" t="s">
        <v>56</v>
      </c>
      <c r="E187" s="14">
        <v>-47475581</v>
      </c>
      <c r="F187" s="14">
        <v>-13687415.460000001</v>
      </c>
      <c r="G187" s="124">
        <v>-18269340</v>
      </c>
      <c r="H187" s="121">
        <v>6888473.3999999994</v>
      </c>
      <c r="I187" s="124">
        <v>-3961686</v>
      </c>
      <c r="J187" s="121">
        <v>101819.84</v>
      </c>
      <c r="K187" s="121">
        <v>-1229128</v>
      </c>
      <c r="L187" s="121">
        <v>2535800.41</v>
      </c>
      <c r="M187" s="121">
        <v>5277477</v>
      </c>
      <c r="N187" s="121">
        <v>784244.05</v>
      </c>
      <c r="O187" s="121">
        <v>-961910</v>
      </c>
      <c r="P187" s="121">
        <v>-55548.73</v>
      </c>
      <c r="Q187" s="121">
        <v>-54772</v>
      </c>
      <c r="R187" s="121">
        <v>-1250.44</v>
      </c>
      <c r="S187" s="121">
        <v>0</v>
      </c>
      <c r="T187" s="121">
        <v>36.99</v>
      </c>
      <c r="U187" s="121">
        <v>-2825</v>
      </c>
      <c r="V187" s="121">
        <v>-36.989999999999782</v>
      </c>
      <c r="W187" s="121">
        <v>-179349</v>
      </c>
      <c r="X187" s="121">
        <v>16093.29</v>
      </c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5">
      <c r="A188" t="s">
        <v>142</v>
      </c>
      <c r="B188" t="s">
        <v>144</v>
      </c>
      <c r="C188">
        <v>25</v>
      </c>
      <c r="D188" t="s">
        <v>57</v>
      </c>
      <c r="E188" s="14">
        <v>0</v>
      </c>
      <c r="F188" s="14">
        <v>-30448.63</v>
      </c>
      <c r="G188" s="124">
        <v>0</v>
      </c>
      <c r="H188" s="121">
        <v>5801.36</v>
      </c>
      <c r="I188" s="124">
        <v>0</v>
      </c>
      <c r="J188" s="121">
        <v>192294.06</v>
      </c>
      <c r="K188" s="121">
        <v>0</v>
      </c>
      <c r="L188" s="121">
        <v>-1214945.1100000001</v>
      </c>
      <c r="M188" s="121">
        <v>0</v>
      </c>
      <c r="N188" s="121">
        <v>616077.02</v>
      </c>
      <c r="O188" s="121">
        <v>0</v>
      </c>
      <c r="P188" s="121">
        <v>358663.01</v>
      </c>
      <c r="Q188" s="121">
        <v>0</v>
      </c>
      <c r="R188" s="121">
        <v>0</v>
      </c>
      <c r="S188" s="121">
        <v>0</v>
      </c>
      <c r="T188" s="121">
        <v>-10000</v>
      </c>
      <c r="U188" s="121">
        <v>0</v>
      </c>
      <c r="V188" s="121">
        <v>0</v>
      </c>
      <c r="W188" s="121">
        <v>0</v>
      </c>
      <c r="X188" s="121">
        <v>0</v>
      </c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5">
      <c r="A189" t="s">
        <v>142</v>
      </c>
      <c r="B189" t="s">
        <v>144</v>
      </c>
      <c r="C189">
        <v>26</v>
      </c>
      <c r="D189" t="s">
        <v>134</v>
      </c>
      <c r="E189" s="14">
        <v>0</v>
      </c>
      <c r="F189" s="14">
        <v>96065</v>
      </c>
      <c r="G189" s="124">
        <v>0</v>
      </c>
      <c r="H189" s="121">
        <v>-87920</v>
      </c>
      <c r="I189" s="124">
        <v>0</v>
      </c>
      <c r="J189" s="121">
        <v>62980.9</v>
      </c>
      <c r="K189" s="121">
        <v>0</v>
      </c>
      <c r="L189" s="121">
        <v>0</v>
      </c>
      <c r="M189" s="121">
        <v>0</v>
      </c>
      <c r="N189" s="121">
        <v>-0.05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5">
      <c r="A190" t="s">
        <v>142</v>
      </c>
      <c r="B190" t="s">
        <v>144</v>
      </c>
      <c r="C190">
        <v>27</v>
      </c>
      <c r="D190" t="s">
        <v>135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5">
      <c r="A191" t="s">
        <v>142</v>
      </c>
      <c r="B191" t="s">
        <v>144</v>
      </c>
      <c r="C191">
        <v>28</v>
      </c>
      <c r="D191" t="s">
        <v>136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5">
      <c r="A192" t="s">
        <v>142</v>
      </c>
      <c r="B192" t="s">
        <v>144</v>
      </c>
      <c r="C192">
        <v>29</v>
      </c>
      <c r="D192" t="s">
        <v>137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5">
      <c r="A193" t="s">
        <v>142</v>
      </c>
      <c r="B193" t="s">
        <v>144</v>
      </c>
      <c r="C193">
        <v>30</v>
      </c>
      <c r="D193" t="s">
        <v>138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5">
      <c r="A194" t="s">
        <v>142</v>
      </c>
      <c r="B194" t="s">
        <v>144</v>
      </c>
      <c r="C194">
        <v>31</v>
      </c>
      <c r="D194" t="s">
        <v>139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5">
      <c r="A195" t="s">
        <v>142</v>
      </c>
      <c r="B195" t="s">
        <v>144</v>
      </c>
      <c r="C195">
        <v>32</v>
      </c>
      <c r="D195" t="s">
        <v>71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5">
      <c r="A196" t="s">
        <v>142</v>
      </c>
      <c r="B196" t="s">
        <v>144</v>
      </c>
      <c r="C196">
        <v>33</v>
      </c>
      <c r="D196" t="s">
        <v>72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/>
      <c r="Z196" s="121"/>
      <c r="AA196" s="121"/>
      <c r="AB196" s="121"/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5">
      <c r="A197" t="s">
        <v>142</v>
      </c>
      <c r="B197" t="s">
        <v>144</v>
      </c>
      <c r="C197">
        <v>34</v>
      </c>
      <c r="D197" t="s">
        <v>73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/>
      <c r="Z197" s="121"/>
      <c r="AA197" s="121"/>
      <c r="AB197" s="121"/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5">
      <c r="A198" t="s">
        <v>142</v>
      </c>
      <c r="B198" t="s">
        <v>144</v>
      </c>
      <c r="C198">
        <v>35</v>
      </c>
      <c r="D198" t="s">
        <v>74</v>
      </c>
      <c r="E198" s="14">
        <v>0</v>
      </c>
      <c r="F198" s="14">
        <v>0</v>
      </c>
      <c r="G198" s="124">
        <v>0</v>
      </c>
      <c r="H198" s="121">
        <v>-30076.959999999999</v>
      </c>
      <c r="I198" s="124">
        <v>0</v>
      </c>
      <c r="J198" s="121">
        <v>16539.88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1778.14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/>
      <c r="Z198" s="121"/>
      <c r="AA198" s="121"/>
      <c r="AB198" s="121"/>
      <c r="AC198" s="121"/>
      <c r="AD198" s="121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5">
      <c r="A199" t="s">
        <v>142</v>
      </c>
      <c r="B199" t="s">
        <v>144</v>
      </c>
      <c r="C199">
        <v>36</v>
      </c>
      <c r="D199" t="s">
        <v>75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/>
      <c r="Z199" s="121"/>
      <c r="AA199" s="121"/>
      <c r="AB199" s="121"/>
      <c r="AC199" s="121"/>
      <c r="AD199" s="121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5">
      <c r="A200" t="s">
        <v>142</v>
      </c>
      <c r="B200" t="s">
        <v>144</v>
      </c>
      <c r="C200">
        <v>37</v>
      </c>
      <c r="D200" t="s">
        <v>76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/>
      <c r="Z200" s="121"/>
      <c r="AA200" s="121"/>
      <c r="AB200" s="121"/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5">
      <c r="A201" t="s">
        <v>142</v>
      </c>
      <c r="B201" t="s">
        <v>144</v>
      </c>
      <c r="C201">
        <v>38</v>
      </c>
      <c r="D201" t="s">
        <v>77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5">
      <c r="A202" t="s">
        <v>142</v>
      </c>
      <c r="B202" t="s">
        <v>144</v>
      </c>
      <c r="C202">
        <v>39</v>
      </c>
      <c r="D202" t="s">
        <v>78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/>
      <c r="Z202" s="121"/>
      <c r="AA202" s="121"/>
      <c r="AB202" s="121"/>
      <c r="AC202" s="121"/>
      <c r="AD202" s="121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5">
      <c r="A203" t="s">
        <v>142</v>
      </c>
      <c r="B203" t="s">
        <v>144</v>
      </c>
      <c r="C203">
        <v>40</v>
      </c>
      <c r="D203" t="s">
        <v>79</v>
      </c>
      <c r="E203" s="14">
        <v>0</v>
      </c>
      <c r="F203" s="14">
        <v>507921.76</v>
      </c>
      <c r="G203" s="124">
        <v>0</v>
      </c>
      <c r="H203" s="121">
        <v>39590.69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/>
      <c r="Z203" s="121"/>
      <c r="AA203" s="121"/>
      <c r="AB203" s="121"/>
      <c r="AC203" s="121"/>
      <c r="AD203" s="121"/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5">
      <c r="A204" t="s">
        <v>142</v>
      </c>
      <c r="B204" t="s">
        <v>141</v>
      </c>
      <c r="C204">
        <v>1</v>
      </c>
      <c r="D204" t="s">
        <v>26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/>
      <c r="Z204" s="121"/>
      <c r="AA204" s="121"/>
      <c r="AB204" s="121"/>
      <c r="AC204" s="121"/>
      <c r="AD204" s="121"/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5">
      <c r="A205" t="s">
        <v>142</v>
      </c>
      <c r="B205" t="s">
        <v>141</v>
      </c>
      <c r="C205">
        <v>2</v>
      </c>
      <c r="D205" t="s">
        <v>27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5">
      <c r="A206" t="s">
        <v>142</v>
      </c>
      <c r="B206" t="s">
        <v>141</v>
      </c>
      <c r="C206">
        <v>3</v>
      </c>
      <c r="D206" t="s">
        <v>28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/>
      <c r="Z206" s="121"/>
      <c r="AA206" s="121"/>
      <c r="AB206" s="121"/>
      <c r="AC206" s="121"/>
      <c r="AD206" s="121"/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5">
      <c r="A207" t="s">
        <v>142</v>
      </c>
      <c r="B207" t="s">
        <v>141</v>
      </c>
      <c r="C207">
        <v>4</v>
      </c>
      <c r="D207" t="s">
        <v>29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5">
      <c r="A208" t="s">
        <v>142</v>
      </c>
      <c r="B208" t="s">
        <v>141</v>
      </c>
      <c r="C208">
        <v>5</v>
      </c>
      <c r="D208" t="s">
        <v>127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/>
      <c r="Z208" s="121"/>
      <c r="AA208" s="121"/>
      <c r="AB208" s="121"/>
      <c r="AC208" s="121"/>
      <c r="AD208" s="121"/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5">
      <c r="A209" t="s">
        <v>142</v>
      </c>
      <c r="B209" t="s">
        <v>141</v>
      </c>
      <c r="C209">
        <v>6</v>
      </c>
      <c r="D209" t="s">
        <v>26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/>
      <c r="Z209" s="121"/>
      <c r="AA209" s="121"/>
      <c r="AB209" s="121"/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5">
      <c r="A210" t="s">
        <v>142</v>
      </c>
      <c r="B210" t="s">
        <v>141</v>
      </c>
      <c r="C210">
        <v>7</v>
      </c>
      <c r="D210" t="s">
        <v>27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/>
      <c r="Z210" s="121"/>
      <c r="AA210" s="121"/>
      <c r="AB210" s="121"/>
      <c r="AC210" s="121"/>
      <c r="AD210" s="121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5">
      <c r="A211" t="s">
        <v>142</v>
      </c>
      <c r="B211" t="s">
        <v>141</v>
      </c>
      <c r="C211">
        <v>8</v>
      </c>
      <c r="D211" t="s">
        <v>28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5">
      <c r="A212" t="s">
        <v>142</v>
      </c>
      <c r="B212" t="s">
        <v>141</v>
      </c>
      <c r="C212">
        <v>9</v>
      </c>
      <c r="D212" t="s">
        <v>29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/>
      <c r="Z212" s="121"/>
      <c r="AA212" s="121"/>
      <c r="AB212" s="121"/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5">
      <c r="A213" t="s">
        <v>142</v>
      </c>
      <c r="B213" t="s">
        <v>141</v>
      </c>
      <c r="C213">
        <v>10</v>
      </c>
      <c r="D213" t="s">
        <v>33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5">
      <c r="A214" t="s">
        <v>142</v>
      </c>
      <c r="B214" t="s">
        <v>141</v>
      </c>
      <c r="C214">
        <v>11</v>
      </c>
      <c r="D214" t="s">
        <v>36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/>
      <c r="Z214" s="121"/>
      <c r="AA214" s="121"/>
      <c r="AB214" s="121"/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5">
      <c r="A215" t="s">
        <v>142</v>
      </c>
      <c r="B215" t="s">
        <v>141</v>
      </c>
      <c r="C215">
        <v>12</v>
      </c>
      <c r="D215" t="s">
        <v>37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5">
      <c r="A216" t="s">
        <v>142</v>
      </c>
      <c r="B216" t="s">
        <v>141</v>
      </c>
      <c r="C216">
        <v>13</v>
      </c>
      <c r="D216" t="s">
        <v>40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/>
      <c r="Z216" s="121"/>
      <c r="AA216" s="121"/>
      <c r="AB216" s="121"/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5">
      <c r="A217" t="s">
        <v>142</v>
      </c>
      <c r="B217" t="s">
        <v>141</v>
      </c>
      <c r="C217">
        <v>14</v>
      </c>
      <c r="D217" t="s">
        <v>41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/>
      <c r="Z217" s="121"/>
      <c r="AA217" s="121"/>
      <c r="AB217" s="121"/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5">
      <c r="A218" t="s">
        <v>142</v>
      </c>
      <c r="B218" t="s">
        <v>141</v>
      </c>
      <c r="C218">
        <v>15</v>
      </c>
      <c r="D218" t="s">
        <v>42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/>
      <c r="Z218" s="121"/>
      <c r="AA218" s="121"/>
      <c r="AB218" s="121"/>
      <c r="AC218" s="121"/>
      <c r="AD218" s="121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5">
      <c r="A219" t="s">
        <v>142</v>
      </c>
      <c r="B219" t="s">
        <v>141</v>
      </c>
      <c r="C219">
        <v>16</v>
      </c>
      <c r="D219" t="s">
        <v>43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/>
      <c r="Z219" s="121"/>
      <c r="AA219" s="121"/>
      <c r="AB219" s="121"/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5">
      <c r="A220" t="s">
        <v>142</v>
      </c>
      <c r="B220" t="s">
        <v>141</v>
      </c>
      <c r="C220">
        <v>17</v>
      </c>
      <c r="D220" t="s">
        <v>128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/>
      <c r="Z220" s="121"/>
      <c r="AA220" s="121"/>
      <c r="AB220" s="121"/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5">
      <c r="A221" t="s">
        <v>142</v>
      </c>
      <c r="B221" t="s">
        <v>141</v>
      </c>
      <c r="C221">
        <v>18</v>
      </c>
      <c r="D221" t="s">
        <v>129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/>
      <c r="Z221" s="121"/>
      <c r="AA221" s="121"/>
      <c r="AB221" s="121"/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5">
      <c r="A222" t="s">
        <v>142</v>
      </c>
      <c r="B222" t="s">
        <v>141</v>
      </c>
      <c r="C222">
        <v>19</v>
      </c>
      <c r="D222" t="s">
        <v>48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/>
      <c r="Z222" s="121"/>
      <c r="AA222" s="121"/>
      <c r="AB222" s="121"/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5">
      <c r="A223" t="s">
        <v>142</v>
      </c>
      <c r="B223" t="s">
        <v>141</v>
      </c>
      <c r="C223">
        <v>20</v>
      </c>
      <c r="D223" t="s">
        <v>130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/>
      <c r="Z223" s="121"/>
      <c r="AA223" s="121"/>
      <c r="AB223" s="121"/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5">
      <c r="A224" t="s">
        <v>142</v>
      </c>
      <c r="B224" t="s">
        <v>141</v>
      </c>
      <c r="C224">
        <v>21</v>
      </c>
      <c r="D224" t="s">
        <v>131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/>
      <c r="Z224" s="121"/>
      <c r="AA224" s="121"/>
      <c r="AB224" s="121"/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5">
      <c r="A225" t="s">
        <v>142</v>
      </c>
      <c r="B225" t="s">
        <v>141</v>
      </c>
      <c r="C225">
        <v>22</v>
      </c>
      <c r="D225" t="s">
        <v>132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/>
      <c r="Z225" s="121"/>
      <c r="AA225" s="121"/>
      <c r="AB225" s="121"/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5">
      <c r="A226" t="s">
        <v>142</v>
      </c>
      <c r="B226" t="s">
        <v>141</v>
      </c>
      <c r="C226">
        <v>23</v>
      </c>
      <c r="D226" t="s">
        <v>133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5">
      <c r="A227" t="s">
        <v>142</v>
      </c>
      <c r="B227" t="s">
        <v>141</v>
      </c>
      <c r="C227">
        <v>24</v>
      </c>
      <c r="D227" t="s">
        <v>56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5">
      <c r="A228" t="s">
        <v>142</v>
      </c>
      <c r="B228" t="s">
        <v>141</v>
      </c>
      <c r="C228">
        <v>25</v>
      </c>
      <c r="D228" t="s">
        <v>57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/>
      <c r="Z228" s="121"/>
      <c r="AA228" s="121"/>
      <c r="AB228" s="121"/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5">
      <c r="A229" t="s">
        <v>142</v>
      </c>
      <c r="B229" t="s">
        <v>141</v>
      </c>
      <c r="C229">
        <v>26</v>
      </c>
      <c r="D229" t="s">
        <v>134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/>
      <c r="Z229" s="121"/>
      <c r="AA229" s="121"/>
      <c r="AB229" s="121"/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5">
      <c r="A230" t="s">
        <v>142</v>
      </c>
      <c r="B230" t="s">
        <v>141</v>
      </c>
      <c r="C230">
        <v>27</v>
      </c>
      <c r="D230" t="s">
        <v>135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5">
      <c r="A231" t="s">
        <v>142</v>
      </c>
      <c r="B231" t="s">
        <v>141</v>
      </c>
      <c r="C231">
        <v>28</v>
      </c>
      <c r="D231" t="s">
        <v>136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/>
      <c r="Z231" s="121"/>
      <c r="AA231" s="121"/>
      <c r="AB231" s="121"/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5">
      <c r="A232" t="s">
        <v>142</v>
      </c>
      <c r="B232" t="s">
        <v>141</v>
      </c>
      <c r="C232">
        <v>29</v>
      </c>
      <c r="D232" t="s">
        <v>137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/>
      <c r="Z232" s="121"/>
      <c r="AA232" s="121"/>
      <c r="AB232" s="121"/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5">
      <c r="A233" t="s">
        <v>142</v>
      </c>
      <c r="B233" t="s">
        <v>141</v>
      </c>
      <c r="C233">
        <v>30</v>
      </c>
      <c r="D233" t="s">
        <v>138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/>
      <c r="Z233" s="121"/>
      <c r="AA233" s="121"/>
      <c r="AB233" s="121"/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5">
      <c r="A234" t="s">
        <v>142</v>
      </c>
      <c r="B234" t="s">
        <v>141</v>
      </c>
      <c r="C234">
        <v>31</v>
      </c>
      <c r="D234" t="s">
        <v>139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/>
      <c r="Z234" s="121"/>
      <c r="AA234" s="121"/>
      <c r="AB234" s="121"/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5">
      <c r="A235" t="s">
        <v>142</v>
      </c>
      <c r="B235" t="s">
        <v>141</v>
      </c>
      <c r="C235">
        <v>32</v>
      </c>
      <c r="D235" t="s">
        <v>71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/>
      <c r="Z235" s="121"/>
      <c r="AA235" s="121"/>
      <c r="AB235" s="121"/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5">
      <c r="A236" t="s">
        <v>142</v>
      </c>
      <c r="B236" t="s">
        <v>141</v>
      </c>
      <c r="C236">
        <v>33</v>
      </c>
      <c r="D236" t="s">
        <v>72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5">
      <c r="A237" t="s">
        <v>142</v>
      </c>
      <c r="B237" t="s">
        <v>141</v>
      </c>
      <c r="C237">
        <v>34</v>
      </c>
      <c r="D237" t="s">
        <v>73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/>
      <c r="Z237" s="121"/>
      <c r="AA237" s="121"/>
      <c r="AB237" s="121"/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5">
      <c r="A238" t="s">
        <v>142</v>
      </c>
      <c r="B238" t="s">
        <v>141</v>
      </c>
      <c r="C238">
        <v>35</v>
      </c>
      <c r="D238" t="s">
        <v>74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/>
      <c r="Z238" s="121"/>
      <c r="AA238" s="121"/>
      <c r="AB238" s="121"/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5">
      <c r="A239" t="s">
        <v>142</v>
      </c>
      <c r="B239" t="s">
        <v>141</v>
      </c>
      <c r="C239">
        <v>36</v>
      </c>
      <c r="D239" t="s">
        <v>75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/>
      <c r="Z239" s="121"/>
      <c r="AA239" s="121"/>
      <c r="AB239" s="121"/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5">
      <c r="A240" t="s">
        <v>142</v>
      </c>
      <c r="B240" t="s">
        <v>141</v>
      </c>
      <c r="C240">
        <v>37</v>
      </c>
      <c r="D240" t="s">
        <v>76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/>
      <c r="Z240" s="121"/>
      <c r="AA240" s="121"/>
      <c r="AB240" s="121"/>
      <c r="AC240" s="121"/>
      <c r="AD240" s="121"/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5">
      <c r="A241" t="s">
        <v>142</v>
      </c>
      <c r="B241" t="s">
        <v>141</v>
      </c>
      <c r="C241">
        <v>38</v>
      </c>
      <c r="D241" t="s">
        <v>77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/>
      <c r="Z241" s="121"/>
      <c r="AA241" s="121"/>
      <c r="AB241" s="121"/>
      <c r="AC241" s="121"/>
      <c r="AD241" s="121"/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5">
      <c r="A242" t="s">
        <v>142</v>
      </c>
      <c r="B242" t="s">
        <v>141</v>
      </c>
      <c r="C242">
        <v>39</v>
      </c>
      <c r="D242" t="s">
        <v>78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/>
      <c r="Z242" s="121"/>
      <c r="AA242" s="121"/>
      <c r="AB242" s="121"/>
      <c r="AC242" s="121"/>
      <c r="AD242" s="121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5">
      <c r="A243" t="s">
        <v>142</v>
      </c>
      <c r="B243" t="s">
        <v>141</v>
      </c>
      <c r="C243">
        <v>40</v>
      </c>
      <c r="D243" t="s">
        <v>79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/>
      <c r="Z243" s="121"/>
      <c r="AA243" s="121"/>
      <c r="AB243" s="121"/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5">
      <c r="A244" t="s">
        <v>142</v>
      </c>
      <c r="B244" t="s">
        <v>145</v>
      </c>
      <c r="C244">
        <v>1</v>
      </c>
      <c r="D244" t="s">
        <v>26</v>
      </c>
      <c r="E244" s="14">
        <v>11818765</v>
      </c>
      <c r="F244" s="14">
        <v>30845646</v>
      </c>
      <c r="G244" s="124">
        <v>-457767</v>
      </c>
      <c r="H244" s="121">
        <v>-1031567.89</v>
      </c>
      <c r="I244" s="124">
        <v>7448</v>
      </c>
      <c r="J244" s="121">
        <v>-1220345.3</v>
      </c>
      <c r="K244" s="121">
        <v>0</v>
      </c>
      <c r="L244" s="121">
        <v>187797.81</v>
      </c>
      <c r="M244" s="121">
        <v>15674</v>
      </c>
      <c r="N244" s="121">
        <v>28400.85</v>
      </c>
      <c r="O244" s="121">
        <v>0</v>
      </c>
      <c r="P244" s="121">
        <v>0</v>
      </c>
      <c r="Q244" s="121">
        <v>-231233</v>
      </c>
      <c r="R244" s="121">
        <v>175899.4</v>
      </c>
      <c r="S244" s="121">
        <v>161262</v>
      </c>
      <c r="T244" s="121">
        <v>-67069.94</v>
      </c>
      <c r="U244" s="121">
        <v>1221</v>
      </c>
      <c r="V244" s="121">
        <v>12846.97</v>
      </c>
      <c r="W244" s="121">
        <v>0</v>
      </c>
      <c r="X244" s="121">
        <v>-8.08</v>
      </c>
      <c r="Y244" s="121"/>
      <c r="Z244" s="121"/>
      <c r="AA244" s="121"/>
      <c r="AB244" s="121"/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5">
      <c r="A245" t="s">
        <v>142</v>
      </c>
      <c r="B245" t="s">
        <v>145</v>
      </c>
      <c r="C245">
        <v>2</v>
      </c>
      <c r="D245" t="s">
        <v>27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/>
      <c r="Z245" s="121"/>
      <c r="AA245" s="121"/>
      <c r="AB245" s="121"/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5">
      <c r="A246" t="s">
        <v>142</v>
      </c>
      <c r="B246" t="s">
        <v>145</v>
      </c>
      <c r="C246">
        <v>3</v>
      </c>
      <c r="D246" t="s">
        <v>28</v>
      </c>
      <c r="E246" s="14">
        <v>2987342</v>
      </c>
      <c r="F246" s="14">
        <v>6773411</v>
      </c>
      <c r="G246" s="124">
        <v>-316045</v>
      </c>
      <c r="H246" s="121">
        <v>-734878</v>
      </c>
      <c r="I246" s="124">
        <v>0</v>
      </c>
      <c r="J246" s="121">
        <v>0</v>
      </c>
      <c r="K246" s="121">
        <v>38000</v>
      </c>
      <c r="L246" s="121">
        <v>87540</v>
      </c>
      <c r="M246" s="121">
        <v>38000</v>
      </c>
      <c r="N246" s="121">
        <v>87540</v>
      </c>
      <c r="O246" s="121">
        <v>240045</v>
      </c>
      <c r="P246" s="121">
        <v>559798</v>
      </c>
      <c r="Q246" s="121">
        <v>14544849</v>
      </c>
      <c r="R246" s="121">
        <v>33369510</v>
      </c>
      <c r="S246" s="121">
        <v>0</v>
      </c>
      <c r="T246" s="121">
        <v>0</v>
      </c>
      <c r="U246" s="121">
        <v>-14544849</v>
      </c>
      <c r="V246" s="121">
        <v>-33369510</v>
      </c>
      <c r="W246" s="121">
        <v>0</v>
      </c>
      <c r="X246" s="121">
        <v>0</v>
      </c>
      <c r="Y246" s="121"/>
      <c r="Z246" s="121"/>
      <c r="AA246" s="121"/>
      <c r="AB246" s="121"/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5">
      <c r="A247" t="s">
        <v>142</v>
      </c>
      <c r="B247" t="s">
        <v>145</v>
      </c>
      <c r="C247">
        <v>4</v>
      </c>
      <c r="D247" t="s">
        <v>29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/>
      <c r="Z247" s="121"/>
      <c r="AA247" s="121"/>
      <c r="AB247" s="121"/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5">
      <c r="A248" t="s">
        <v>142</v>
      </c>
      <c r="B248" t="s">
        <v>145</v>
      </c>
      <c r="C248">
        <v>5</v>
      </c>
      <c r="D248" t="s">
        <v>127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5289</v>
      </c>
      <c r="S248" s="121">
        <v>0</v>
      </c>
      <c r="T248" s="121">
        <v>-47.85</v>
      </c>
      <c r="U248" s="121">
        <v>0</v>
      </c>
      <c r="V248" s="121">
        <v>1875.46</v>
      </c>
      <c r="W248" s="121">
        <v>0</v>
      </c>
      <c r="X248" s="121">
        <v>-1099.03</v>
      </c>
      <c r="Y248" s="121"/>
      <c r="Z248" s="121"/>
      <c r="AA248" s="121"/>
      <c r="AB248" s="121"/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5">
      <c r="A249" t="s">
        <v>142</v>
      </c>
      <c r="B249" t="s">
        <v>145</v>
      </c>
      <c r="C249">
        <v>6</v>
      </c>
      <c r="D249" t="s">
        <v>26</v>
      </c>
      <c r="E249" s="14">
        <v>-2658416</v>
      </c>
      <c r="F249" s="14">
        <v>-5638941</v>
      </c>
      <c r="G249" s="124">
        <v>-26117</v>
      </c>
      <c r="H249" s="121">
        <v>-276381</v>
      </c>
      <c r="I249" s="124">
        <v>-17838</v>
      </c>
      <c r="J249" s="121">
        <v>-39215.06</v>
      </c>
      <c r="K249" s="121">
        <v>0</v>
      </c>
      <c r="L249" s="121">
        <v>0</v>
      </c>
      <c r="M249" s="121">
        <v>-15626</v>
      </c>
      <c r="N249" s="121">
        <v>-37212.78</v>
      </c>
      <c r="O249" s="121">
        <v>0</v>
      </c>
      <c r="P249" s="121">
        <v>0</v>
      </c>
      <c r="Q249" s="121">
        <v>-21472</v>
      </c>
      <c r="R249" s="121">
        <v>-46077.63</v>
      </c>
      <c r="S249" s="121">
        <v>-189086</v>
      </c>
      <c r="T249" s="121">
        <v>-423392.34</v>
      </c>
      <c r="U249" s="121">
        <v>4489</v>
      </c>
      <c r="V249" s="121">
        <v>818433.42</v>
      </c>
      <c r="W249" s="121">
        <v>-4941</v>
      </c>
      <c r="X249" s="121">
        <v>-10375.41</v>
      </c>
      <c r="Y249" s="121"/>
      <c r="Z249" s="121"/>
      <c r="AA249" s="121"/>
      <c r="AB249" s="121"/>
      <c r="AC249" s="121"/>
      <c r="AD249" s="121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5">
      <c r="A250" t="s">
        <v>142</v>
      </c>
      <c r="B250" t="s">
        <v>145</v>
      </c>
      <c r="C250">
        <v>7</v>
      </c>
      <c r="D250" t="s">
        <v>27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/>
      <c r="Z250" s="121"/>
      <c r="AA250" s="121"/>
      <c r="AB250" s="121"/>
      <c r="AC250" s="121"/>
      <c r="AD250" s="121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5">
      <c r="A251" t="s">
        <v>142</v>
      </c>
      <c r="B251" t="s">
        <v>145</v>
      </c>
      <c r="C251">
        <v>8</v>
      </c>
      <c r="D251" t="s">
        <v>28</v>
      </c>
      <c r="E251" s="14">
        <v>-3320661</v>
      </c>
      <c r="F251" s="14">
        <v>-7525079</v>
      </c>
      <c r="G251" s="124">
        <v>121986</v>
      </c>
      <c r="H251" s="121">
        <v>249831</v>
      </c>
      <c r="I251" s="124">
        <v>0</v>
      </c>
      <c r="J251" s="121">
        <v>0</v>
      </c>
      <c r="K251" s="121">
        <v>-38000</v>
      </c>
      <c r="L251" s="121">
        <v>-87540</v>
      </c>
      <c r="M251" s="121">
        <v>-38000</v>
      </c>
      <c r="N251" s="121">
        <v>-87540</v>
      </c>
      <c r="O251" s="121">
        <v>-45986</v>
      </c>
      <c r="P251" s="121">
        <v>-74751</v>
      </c>
      <c r="Q251" s="121">
        <v>-14560944</v>
      </c>
      <c r="R251" s="121">
        <v>-33401736</v>
      </c>
      <c r="S251" s="121">
        <v>0</v>
      </c>
      <c r="T251" s="121">
        <v>0</v>
      </c>
      <c r="U251" s="121">
        <v>14560944</v>
      </c>
      <c r="V251" s="121">
        <v>33401736</v>
      </c>
      <c r="W251" s="121">
        <v>0</v>
      </c>
      <c r="X251" s="121">
        <v>0</v>
      </c>
      <c r="Y251" s="121"/>
      <c r="Z251" s="121"/>
      <c r="AA251" s="121"/>
      <c r="AB251" s="121"/>
      <c r="AC251" s="121"/>
      <c r="AD251" s="121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5">
      <c r="A252" t="s">
        <v>142</v>
      </c>
      <c r="B252" t="s">
        <v>145</v>
      </c>
      <c r="C252">
        <v>9</v>
      </c>
      <c r="D252" t="s">
        <v>29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/>
      <c r="Z252" s="121"/>
      <c r="AA252" s="121"/>
      <c r="AB252" s="121"/>
      <c r="AC252" s="121"/>
      <c r="AD252" s="121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5">
      <c r="A253" t="s">
        <v>142</v>
      </c>
      <c r="B253" t="s">
        <v>145</v>
      </c>
      <c r="C253">
        <v>10</v>
      </c>
      <c r="D253" t="s">
        <v>33</v>
      </c>
      <c r="E253" s="14">
        <v>108</v>
      </c>
      <c r="F253" s="14">
        <v>243</v>
      </c>
      <c r="G253" s="124">
        <v>3597</v>
      </c>
      <c r="H253" s="121">
        <v>8093.25</v>
      </c>
      <c r="I253" s="124">
        <v>0</v>
      </c>
      <c r="J253" s="121">
        <v>0</v>
      </c>
      <c r="K253" s="121">
        <v>0</v>
      </c>
      <c r="L253" s="121">
        <v>0</v>
      </c>
      <c r="M253" s="121">
        <v>171</v>
      </c>
      <c r="N253" s="121">
        <v>384.75</v>
      </c>
      <c r="O253" s="121">
        <v>-423493</v>
      </c>
      <c r="P253" s="121">
        <v>-952859.25</v>
      </c>
      <c r="Q253" s="121">
        <v>-137</v>
      </c>
      <c r="R253" s="121">
        <v>-310.30500000000001</v>
      </c>
      <c r="S253" s="121">
        <v>-433011</v>
      </c>
      <c r="T253" s="121">
        <v>468.85500000000002</v>
      </c>
      <c r="U253" s="121">
        <v>2552</v>
      </c>
      <c r="V253" s="121">
        <v>5780.28</v>
      </c>
      <c r="W253" s="121">
        <v>0</v>
      </c>
      <c r="X253" s="121">
        <v>0</v>
      </c>
      <c r="Y253" s="121"/>
      <c r="Z253" s="121"/>
      <c r="AA253" s="121"/>
      <c r="AB253" s="121"/>
      <c r="AC253" s="121"/>
      <c r="AD253" s="121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5">
      <c r="A254" t="s">
        <v>142</v>
      </c>
      <c r="B254" t="s">
        <v>145</v>
      </c>
      <c r="C254">
        <v>11</v>
      </c>
      <c r="D254" t="s">
        <v>36</v>
      </c>
      <c r="E254" s="14">
        <v>3214148</v>
      </c>
      <c r="F254" s="14">
        <v>7375112</v>
      </c>
      <c r="G254" s="124">
        <v>28630</v>
      </c>
      <c r="H254" s="121">
        <v>60763</v>
      </c>
      <c r="I254" s="124">
        <v>-30000</v>
      </c>
      <c r="J254" s="121">
        <v>-65100</v>
      </c>
      <c r="K254" s="121">
        <v>29345</v>
      </c>
      <c r="L254" s="121">
        <v>63525.17</v>
      </c>
      <c r="M254" s="121">
        <v>0</v>
      </c>
      <c r="N254" s="121">
        <v>0</v>
      </c>
      <c r="O254" s="121">
        <v>0</v>
      </c>
      <c r="P254" s="121">
        <v>0</v>
      </c>
      <c r="Q254" s="121">
        <v>0</v>
      </c>
      <c r="R254" s="121">
        <v>0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/>
      <c r="Z254" s="121"/>
      <c r="AA254" s="121"/>
      <c r="AB254" s="121"/>
      <c r="AC254" s="121"/>
      <c r="AD254" s="121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5">
      <c r="A255" t="s">
        <v>142</v>
      </c>
      <c r="B255" t="s">
        <v>145</v>
      </c>
      <c r="C255">
        <v>12</v>
      </c>
      <c r="D255" t="s">
        <v>37</v>
      </c>
      <c r="E255" s="14">
        <v>-10661925</v>
      </c>
      <c r="F255" s="14">
        <v>-24252504</v>
      </c>
      <c r="G255" s="124">
        <v>2243592</v>
      </c>
      <c r="H255" s="121">
        <v>4876966</v>
      </c>
      <c r="I255" s="124">
        <v>42563</v>
      </c>
      <c r="J255" s="121">
        <v>97593.87</v>
      </c>
      <c r="K255" s="121">
        <v>0</v>
      </c>
      <c r="L255" s="121">
        <v>0</v>
      </c>
      <c r="M255" s="121">
        <v>-14638</v>
      </c>
      <c r="N255" s="121">
        <v>-33584.639999999999</v>
      </c>
      <c r="O255" s="121">
        <v>0</v>
      </c>
      <c r="P255" s="121">
        <v>0</v>
      </c>
      <c r="Q255" s="121">
        <v>1102</v>
      </c>
      <c r="R255" s="121">
        <v>2890.65</v>
      </c>
      <c r="S255" s="121">
        <v>-3</v>
      </c>
      <c r="T255" s="121">
        <v>-6.68</v>
      </c>
      <c r="U255" s="121">
        <v>-42742</v>
      </c>
      <c r="V255" s="121">
        <v>-97413.65</v>
      </c>
      <c r="W255" s="121">
        <v>0</v>
      </c>
      <c r="X255" s="121">
        <v>0</v>
      </c>
      <c r="Y255" s="121"/>
      <c r="Z255" s="121"/>
      <c r="AA255" s="121"/>
      <c r="AB255" s="121"/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5">
      <c r="A256" t="s">
        <v>142</v>
      </c>
      <c r="B256" t="s">
        <v>145</v>
      </c>
      <c r="C256">
        <v>13</v>
      </c>
      <c r="D256" t="s">
        <v>40</v>
      </c>
      <c r="E256" s="14">
        <v>-1313599</v>
      </c>
      <c r="F256" s="14">
        <v>-3481399.17</v>
      </c>
      <c r="G256" s="124">
        <v>2995896</v>
      </c>
      <c r="H256" s="121">
        <v>8400435.5989999995</v>
      </c>
      <c r="I256" s="124">
        <v>-1736602</v>
      </c>
      <c r="J256" s="121">
        <v>-5074783.08</v>
      </c>
      <c r="K256" s="121">
        <v>118454</v>
      </c>
      <c r="L256" s="121">
        <v>300082.05</v>
      </c>
      <c r="M256" s="121">
        <v>-81320</v>
      </c>
      <c r="N256" s="121">
        <v>-182970.005</v>
      </c>
      <c r="O256" s="121">
        <v>0</v>
      </c>
      <c r="P256" s="121">
        <v>0</v>
      </c>
      <c r="Q256" s="121">
        <v>32485</v>
      </c>
      <c r="R256" s="121">
        <v>73578.524999999994</v>
      </c>
      <c r="S256" s="121">
        <v>359800</v>
      </c>
      <c r="T256" s="121">
        <v>814947</v>
      </c>
      <c r="U256" s="121">
        <v>78170</v>
      </c>
      <c r="V256" s="121">
        <v>177055.05</v>
      </c>
      <c r="W256" s="121">
        <v>-173</v>
      </c>
      <c r="X256" s="121">
        <v>-391.84500000000003</v>
      </c>
      <c r="Y256" s="121"/>
      <c r="Z256" s="121"/>
      <c r="AA256" s="121"/>
      <c r="AB256" s="121"/>
      <c r="AC256" s="121"/>
      <c r="AD256" s="121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5">
      <c r="A257" t="s">
        <v>142</v>
      </c>
      <c r="B257" t="s">
        <v>145</v>
      </c>
      <c r="C257">
        <v>14</v>
      </c>
      <c r="D257" t="s">
        <v>41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-5210</v>
      </c>
      <c r="T257" s="121">
        <v>-13485.46</v>
      </c>
      <c r="U257" s="121">
        <v>-40541</v>
      </c>
      <c r="V257" s="121">
        <v>-92275.58</v>
      </c>
      <c r="W257" s="121">
        <v>0</v>
      </c>
      <c r="X257" s="121">
        <v>0</v>
      </c>
      <c r="Y257" s="121"/>
      <c r="Z257" s="121"/>
      <c r="AA257" s="121"/>
      <c r="AB257" s="121"/>
      <c r="AC257" s="121"/>
      <c r="AD257" s="121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5">
      <c r="A258" t="s">
        <v>142</v>
      </c>
      <c r="B258" t="s">
        <v>145</v>
      </c>
      <c r="C258">
        <v>15</v>
      </c>
      <c r="D258" t="s">
        <v>42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5150</v>
      </c>
      <c r="R258" s="121">
        <v>0</v>
      </c>
      <c r="S258" s="121">
        <v>5054</v>
      </c>
      <c r="T258" s="121">
        <v>11400.41</v>
      </c>
      <c r="U258" s="121">
        <v>2249</v>
      </c>
      <c r="V258" s="121">
        <v>5073.1099999999997</v>
      </c>
      <c r="W258" s="121">
        <v>0</v>
      </c>
      <c r="X258" s="121">
        <v>0</v>
      </c>
      <c r="Y258" s="121"/>
      <c r="Z258" s="121"/>
      <c r="AA258" s="121"/>
      <c r="AB258" s="121"/>
      <c r="AC258" s="121"/>
      <c r="AD258" s="121"/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5">
      <c r="A259" t="s">
        <v>142</v>
      </c>
      <c r="B259" t="s">
        <v>145</v>
      </c>
      <c r="C259">
        <v>16</v>
      </c>
      <c r="D259" t="s">
        <v>43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/>
      <c r="Z259" s="121"/>
      <c r="AA259" s="121"/>
      <c r="AB259" s="121"/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5">
      <c r="A260" t="s">
        <v>142</v>
      </c>
      <c r="B260" t="s">
        <v>145</v>
      </c>
      <c r="C260">
        <v>17</v>
      </c>
      <c r="D260" t="s">
        <v>128</v>
      </c>
      <c r="E260" s="14">
        <v>0</v>
      </c>
      <c r="F260" s="14">
        <v>0</v>
      </c>
      <c r="G260" s="124">
        <v>3174332</v>
      </c>
      <c r="H260" s="121">
        <v>8610802.9800000004</v>
      </c>
      <c r="I260" s="124">
        <v>0</v>
      </c>
      <c r="J260" s="121">
        <v>0</v>
      </c>
      <c r="K260" s="121">
        <v>0</v>
      </c>
      <c r="L260" s="121">
        <v>0</v>
      </c>
      <c r="M260" s="121">
        <v>3498320</v>
      </c>
      <c r="N260" s="121">
        <v>9667607.3200000003</v>
      </c>
      <c r="O260" s="121">
        <v>0</v>
      </c>
      <c r="P260" s="121">
        <v>0</v>
      </c>
      <c r="Q260" s="121">
        <v>0</v>
      </c>
      <c r="R260" s="121">
        <v>0</v>
      </c>
      <c r="S260" s="121">
        <v>0</v>
      </c>
      <c r="T260" s="121">
        <v>0</v>
      </c>
      <c r="U260" s="121">
        <v>0</v>
      </c>
      <c r="V260" s="121">
        <v>0</v>
      </c>
      <c r="W260" s="121">
        <v>0</v>
      </c>
      <c r="X260" s="121">
        <v>0</v>
      </c>
      <c r="Y260" s="121"/>
      <c r="Z260" s="121"/>
      <c r="AA260" s="121"/>
      <c r="AB260" s="121"/>
      <c r="AC260" s="121"/>
      <c r="AD260" s="121"/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5">
      <c r="A261" t="s">
        <v>142</v>
      </c>
      <c r="B261" t="s">
        <v>145</v>
      </c>
      <c r="C261">
        <v>18</v>
      </c>
      <c r="D261" t="s">
        <v>129</v>
      </c>
      <c r="E261" s="14">
        <v>0</v>
      </c>
      <c r="F261" s="14">
        <v>0</v>
      </c>
      <c r="G261" s="124">
        <v>0</v>
      </c>
      <c r="H261" s="121">
        <v>0</v>
      </c>
      <c r="I261" s="124">
        <v>-6323495</v>
      </c>
      <c r="J261" s="121">
        <v>-17474978.43</v>
      </c>
      <c r="K261" s="121">
        <v>-8157</v>
      </c>
      <c r="L261" s="121">
        <v>-22541.87</v>
      </c>
      <c r="M261" s="121">
        <v>-3486334</v>
      </c>
      <c r="N261" s="121">
        <v>-8105860.9900000002</v>
      </c>
      <c r="O261" s="121">
        <v>-13547</v>
      </c>
      <c r="P261" s="121">
        <v>157735.82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/>
      <c r="Z261" s="121"/>
      <c r="AA261" s="121"/>
      <c r="AB261" s="121"/>
      <c r="AC261" s="121"/>
      <c r="AD261" s="121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5">
      <c r="A262" t="s">
        <v>142</v>
      </c>
      <c r="B262" t="s">
        <v>145</v>
      </c>
      <c r="C262">
        <v>19</v>
      </c>
      <c r="D262" t="s">
        <v>48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/>
      <c r="Z262" s="121"/>
      <c r="AA262" s="121"/>
      <c r="AB262" s="121"/>
      <c r="AC262" s="121"/>
      <c r="AD262" s="121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5">
      <c r="A263" t="s">
        <v>142</v>
      </c>
      <c r="B263" t="s">
        <v>145</v>
      </c>
      <c r="C263">
        <v>20</v>
      </c>
      <c r="D263" t="s">
        <v>130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/>
      <c r="Z263" s="121"/>
      <c r="AA263" s="121"/>
      <c r="AB263" s="121"/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5">
      <c r="A264" t="s">
        <v>142</v>
      </c>
      <c r="B264" t="s">
        <v>145</v>
      </c>
      <c r="C264">
        <v>21</v>
      </c>
      <c r="D264" t="s">
        <v>131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/>
      <c r="Z264" s="121"/>
      <c r="AA264" s="121"/>
      <c r="AB264" s="121"/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5">
      <c r="A265" t="s">
        <v>142</v>
      </c>
      <c r="B265" t="s">
        <v>145</v>
      </c>
      <c r="C265">
        <v>22</v>
      </c>
      <c r="D265" t="s">
        <v>132</v>
      </c>
      <c r="E265" s="14">
        <v>-65762</v>
      </c>
      <c r="F265" s="14">
        <v>-147964.5</v>
      </c>
      <c r="G265" s="124">
        <v>-7768104</v>
      </c>
      <c r="H265" s="121">
        <v>-17478234</v>
      </c>
      <c r="I265" s="124">
        <v>8057924</v>
      </c>
      <c r="J265" s="121">
        <v>18130329</v>
      </c>
      <c r="K265" s="121">
        <v>-139642</v>
      </c>
      <c r="L265" s="121">
        <v>-314194.5</v>
      </c>
      <c r="M265" s="121">
        <v>83753</v>
      </c>
      <c r="N265" s="121">
        <v>188444.25</v>
      </c>
      <c r="O265" s="121">
        <v>242981</v>
      </c>
      <c r="P265" s="121">
        <v>546707.25</v>
      </c>
      <c r="Q265" s="121">
        <v>230200</v>
      </c>
      <c r="R265" s="121">
        <v>521403</v>
      </c>
      <c r="S265" s="121">
        <v>101194</v>
      </c>
      <c r="T265" s="121">
        <v>229204.41</v>
      </c>
      <c r="U265" s="121">
        <v>-21493</v>
      </c>
      <c r="V265" s="121">
        <v>-48681.644999999997</v>
      </c>
      <c r="W265" s="121">
        <v>5114</v>
      </c>
      <c r="X265" s="121">
        <v>11583.21</v>
      </c>
      <c r="Y265" s="121"/>
      <c r="Z265" s="121"/>
      <c r="AA265" s="121"/>
      <c r="AB265" s="121"/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5">
      <c r="A266" t="s">
        <v>142</v>
      </c>
      <c r="B266" t="s">
        <v>145</v>
      </c>
      <c r="C266">
        <v>23</v>
      </c>
      <c r="D266" t="s">
        <v>133</v>
      </c>
      <c r="E266" s="14">
        <v>-108</v>
      </c>
      <c r="F266" s="14">
        <v>-243</v>
      </c>
      <c r="G266" s="124">
        <v>-3597</v>
      </c>
      <c r="H266" s="121">
        <v>-8093.25</v>
      </c>
      <c r="I266" s="124">
        <v>0</v>
      </c>
      <c r="J266" s="121">
        <v>0</v>
      </c>
      <c r="K266" s="121">
        <v>0</v>
      </c>
      <c r="L266" s="121">
        <v>0</v>
      </c>
      <c r="M266" s="121">
        <v>-171</v>
      </c>
      <c r="N266" s="121">
        <v>-384.75</v>
      </c>
      <c r="O266" s="121">
        <v>423493</v>
      </c>
      <c r="P266" s="121">
        <v>952859.25</v>
      </c>
      <c r="Q266" s="121">
        <v>137</v>
      </c>
      <c r="R266" s="121">
        <v>310.30500000000001</v>
      </c>
      <c r="S266" s="121">
        <v>-207</v>
      </c>
      <c r="T266" s="121">
        <v>-468.85500000000002</v>
      </c>
      <c r="U266" s="121">
        <v>-2552</v>
      </c>
      <c r="V266" s="121">
        <v>-5780.28</v>
      </c>
      <c r="W266" s="121">
        <v>0</v>
      </c>
      <c r="X266" s="121">
        <v>0</v>
      </c>
      <c r="Y266" s="121"/>
      <c r="Z266" s="121"/>
      <c r="AA266" s="121"/>
      <c r="AB266" s="121"/>
      <c r="AC266" s="121"/>
      <c r="AD266" s="121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5">
      <c r="A267" t="s">
        <v>142</v>
      </c>
      <c r="B267" t="s">
        <v>145</v>
      </c>
      <c r="C267">
        <v>24</v>
      </c>
      <c r="D267" t="s">
        <v>56</v>
      </c>
      <c r="E267" s="14">
        <v>-7803298</v>
      </c>
      <c r="F267" s="14">
        <v>-394290</v>
      </c>
      <c r="G267" s="124">
        <v>8851</v>
      </c>
      <c r="H267" s="121">
        <v>66350.77</v>
      </c>
      <c r="I267" s="124">
        <v>26039</v>
      </c>
      <c r="J267" s="121">
        <v>776.37</v>
      </c>
      <c r="K267" s="121">
        <v>-8157</v>
      </c>
      <c r="L267" s="121">
        <v>10558.56</v>
      </c>
      <c r="M267" s="121">
        <v>0</v>
      </c>
      <c r="N267" s="121">
        <v>-11673.54</v>
      </c>
      <c r="O267" s="121">
        <v>4878</v>
      </c>
      <c r="P267" s="121">
        <v>2064.85</v>
      </c>
      <c r="Q267" s="121">
        <v>407864</v>
      </c>
      <c r="R267" s="121">
        <v>-9759.8799999999992</v>
      </c>
      <c r="S267" s="121">
        <v>97719</v>
      </c>
      <c r="T267" s="121">
        <v>154007.26999999999</v>
      </c>
      <c r="U267" s="121">
        <v>-5271</v>
      </c>
      <c r="V267" s="121">
        <v>118576.54</v>
      </c>
      <c r="W267" s="121">
        <v>96</v>
      </c>
      <c r="X267" s="121">
        <v>0</v>
      </c>
      <c r="Y267" s="121"/>
      <c r="Z267" s="121"/>
      <c r="AA267" s="121"/>
      <c r="AB267" s="121"/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5">
      <c r="A268" t="s">
        <v>142</v>
      </c>
      <c r="B268" t="s">
        <v>145</v>
      </c>
      <c r="C268">
        <v>25</v>
      </c>
      <c r="D268" t="s">
        <v>57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-93300</v>
      </c>
      <c r="Q268" s="121">
        <v>0</v>
      </c>
      <c r="R268" s="121">
        <v>-288289.55</v>
      </c>
      <c r="S268" s="121">
        <v>0</v>
      </c>
      <c r="T268" s="121">
        <v>23.1</v>
      </c>
      <c r="U268" s="121">
        <v>0</v>
      </c>
      <c r="V268" s="121">
        <v>-75628.11</v>
      </c>
      <c r="W268" s="121">
        <v>0</v>
      </c>
      <c r="X268" s="121">
        <v>-75</v>
      </c>
      <c r="Y268" s="121"/>
      <c r="Z268" s="121"/>
      <c r="AA268" s="121"/>
      <c r="AB268" s="121"/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5">
      <c r="A269" t="s">
        <v>142</v>
      </c>
      <c r="B269" t="s">
        <v>145</v>
      </c>
      <c r="C269">
        <v>26</v>
      </c>
      <c r="D269" t="s">
        <v>134</v>
      </c>
      <c r="E269" s="14">
        <v>0</v>
      </c>
      <c r="F269" s="14">
        <v>350</v>
      </c>
      <c r="G269" s="124">
        <v>0</v>
      </c>
      <c r="H269" s="121">
        <v>-350</v>
      </c>
      <c r="I269" s="124">
        <v>0</v>
      </c>
      <c r="J269" s="121">
        <v>0</v>
      </c>
      <c r="K269" s="121">
        <v>0</v>
      </c>
      <c r="L269" s="121">
        <v>0</v>
      </c>
      <c r="M269" s="121">
        <v>0</v>
      </c>
      <c r="N269" s="121">
        <v>0</v>
      </c>
      <c r="O269" s="121">
        <v>0</v>
      </c>
      <c r="P269" s="121">
        <v>0</v>
      </c>
      <c r="Q269" s="121">
        <v>0</v>
      </c>
      <c r="R269" s="121">
        <v>2783.1</v>
      </c>
      <c r="S269" s="121">
        <v>0</v>
      </c>
      <c r="T269" s="121">
        <v>0</v>
      </c>
      <c r="U269" s="121">
        <v>0</v>
      </c>
      <c r="V269" s="121">
        <v>0</v>
      </c>
      <c r="W269" s="121">
        <v>0</v>
      </c>
      <c r="X269" s="121">
        <v>0</v>
      </c>
      <c r="Y269" s="121"/>
      <c r="Z269" s="121"/>
      <c r="AA269" s="121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5">
      <c r="A270" t="s">
        <v>142</v>
      </c>
      <c r="B270" t="s">
        <v>145</v>
      </c>
      <c r="C270">
        <v>27</v>
      </c>
      <c r="D270" t="s">
        <v>135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/>
      <c r="Z270" s="121"/>
      <c r="AA270" s="121"/>
      <c r="AB270" s="121"/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5">
      <c r="A271" t="s">
        <v>142</v>
      </c>
      <c r="B271" t="s">
        <v>145</v>
      </c>
      <c r="C271">
        <v>28</v>
      </c>
      <c r="D271" t="s">
        <v>136</v>
      </c>
      <c r="E271" s="14">
        <v>-4898145</v>
      </c>
      <c r="F271" s="14">
        <v>-313808</v>
      </c>
      <c r="G271" s="124">
        <v>-8420351</v>
      </c>
      <c r="H271" s="121">
        <v>-45427</v>
      </c>
      <c r="I271" s="124">
        <v>-17313</v>
      </c>
      <c r="J271" s="121">
        <v>4.22</v>
      </c>
      <c r="K271" s="121">
        <v>0</v>
      </c>
      <c r="L271" s="121">
        <v>0</v>
      </c>
      <c r="M271" s="121">
        <v>0</v>
      </c>
      <c r="N271" s="121">
        <v>0</v>
      </c>
      <c r="O271" s="121">
        <v>0</v>
      </c>
      <c r="P271" s="121">
        <v>0</v>
      </c>
      <c r="Q271" s="121">
        <v>0</v>
      </c>
      <c r="R271" s="121">
        <v>0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5">
      <c r="A272" t="s">
        <v>142</v>
      </c>
      <c r="B272" t="s">
        <v>145</v>
      </c>
      <c r="C272">
        <v>29</v>
      </c>
      <c r="D272" t="s">
        <v>137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/>
      <c r="Z272" s="121"/>
      <c r="AA272" s="121"/>
      <c r="AB272" s="121"/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5">
      <c r="A273" t="s">
        <v>142</v>
      </c>
      <c r="B273" t="s">
        <v>145</v>
      </c>
      <c r="C273">
        <v>30</v>
      </c>
      <c r="D273" t="s">
        <v>138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/>
      <c r="Z273" s="121"/>
      <c r="AA273" s="121"/>
      <c r="AB273" s="121"/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5">
      <c r="A274" t="s">
        <v>142</v>
      </c>
      <c r="B274" t="s">
        <v>145</v>
      </c>
      <c r="C274">
        <v>31</v>
      </c>
      <c r="D274" t="s">
        <v>139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/>
      <c r="Z274" s="121"/>
      <c r="AA274" s="121"/>
      <c r="AB274" s="121"/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5">
      <c r="A275" t="s">
        <v>142</v>
      </c>
      <c r="B275" t="s">
        <v>145</v>
      </c>
      <c r="C275">
        <v>32</v>
      </c>
      <c r="D275" t="s">
        <v>71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/>
      <c r="Z275" s="121"/>
      <c r="AA275" s="121"/>
      <c r="AB275" s="121"/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5">
      <c r="A276" t="s">
        <v>142</v>
      </c>
      <c r="B276" t="s">
        <v>145</v>
      </c>
      <c r="C276">
        <v>33</v>
      </c>
      <c r="D276" t="s">
        <v>72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/>
      <c r="Z276" s="121"/>
      <c r="AA276" s="121"/>
      <c r="AB276" s="121"/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5">
      <c r="A277" t="s">
        <v>142</v>
      </c>
      <c r="B277" t="s">
        <v>145</v>
      </c>
      <c r="C277">
        <v>34</v>
      </c>
      <c r="D277" t="s">
        <v>73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/>
      <c r="Z277" s="121"/>
      <c r="AA277" s="121"/>
      <c r="AB277" s="121"/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5">
      <c r="A278" t="s">
        <v>142</v>
      </c>
      <c r="B278" t="s">
        <v>145</v>
      </c>
      <c r="C278">
        <v>35</v>
      </c>
      <c r="D278" t="s">
        <v>74</v>
      </c>
      <c r="E278" s="14">
        <v>0</v>
      </c>
      <c r="F278" s="14">
        <v>0</v>
      </c>
      <c r="G278" s="124">
        <v>0</v>
      </c>
      <c r="H278" s="121">
        <v>-3979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816.99</v>
      </c>
      <c r="S278" s="121">
        <v>0</v>
      </c>
      <c r="T278" s="121">
        <v>10.15</v>
      </c>
      <c r="U278" s="121">
        <v>0</v>
      </c>
      <c r="V278" s="121">
        <v>735.45</v>
      </c>
      <c r="W278" s="121">
        <v>0</v>
      </c>
      <c r="X278" s="121">
        <v>0</v>
      </c>
      <c r="Y278" s="121"/>
      <c r="Z278" s="121"/>
      <c r="AA278" s="121"/>
      <c r="AB278" s="121"/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5">
      <c r="A279" t="s">
        <v>142</v>
      </c>
      <c r="B279" t="s">
        <v>145</v>
      </c>
      <c r="C279">
        <v>36</v>
      </c>
      <c r="D279" t="s">
        <v>75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/>
      <c r="Z279" s="121"/>
      <c r="AA279" s="121"/>
      <c r="AB279" s="121"/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5">
      <c r="A280" t="s">
        <v>142</v>
      </c>
      <c r="B280" t="s">
        <v>145</v>
      </c>
      <c r="C280">
        <v>37</v>
      </c>
      <c r="D280" t="s">
        <v>76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/>
      <c r="Z280" s="121"/>
      <c r="AA280" s="121"/>
      <c r="AB280" s="121"/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5">
      <c r="A281" t="s">
        <v>142</v>
      </c>
      <c r="B281" t="s">
        <v>145</v>
      </c>
      <c r="C281">
        <v>38</v>
      </c>
      <c r="D281" t="s">
        <v>77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/>
      <c r="Z281" s="121"/>
      <c r="AA281" s="121"/>
      <c r="AB281" s="121"/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5">
      <c r="A282" t="s">
        <v>142</v>
      </c>
      <c r="B282" t="s">
        <v>145</v>
      </c>
      <c r="C282">
        <v>39</v>
      </c>
      <c r="D282" t="s">
        <v>78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5">
      <c r="A283" t="s">
        <v>142</v>
      </c>
      <c r="B283" t="s">
        <v>145</v>
      </c>
      <c r="C283">
        <v>40</v>
      </c>
      <c r="D283" t="s">
        <v>79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/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5">
      <c r="A284" t="s">
        <v>142</v>
      </c>
      <c r="B284" t="s">
        <v>146</v>
      </c>
      <c r="C284">
        <v>1</v>
      </c>
      <c r="D284" t="s">
        <v>26</v>
      </c>
      <c r="E284" s="14">
        <v>32023284</v>
      </c>
      <c r="F284" s="14">
        <v>68146337.239999995</v>
      </c>
      <c r="G284" s="124">
        <v>62072</v>
      </c>
      <c r="H284" s="121">
        <v>-652941.75</v>
      </c>
      <c r="I284" s="124">
        <v>-1355</v>
      </c>
      <c r="J284" s="121">
        <v>34072.910000000003</v>
      </c>
      <c r="K284" s="121">
        <v>120535</v>
      </c>
      <c r="L284" s="121">
        <v>623379.09</v>
      </c>
      <c r="M284" s="121">
        <v>0</v>
      </c>
      <c r="N284" s="121">
        <v>-110752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/>
      <c r="Z284" s="121"/>
      <c r="AA284" s="121"/>
      <c r="AB284" s="121"/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5">
      <c r="A285" t="s">
        <v>142</v>
      </c>
      <c r="B285" t="s">
        <v>146</v>
      </c>
      <c r="C285">
        <v>2</v>
      </c>
      <c r="D285" t="s">
        <v>27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/>
      <c r="Z285" s="121"/>
      <c r="AA285" s="121"/>
      <c r="AB285" s="121"/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5">
      <c r="A286" t="s">
        <v>142</v>
      </c>
      <c r="B286" t="s">
        <v>146</v>
      </c>
      <c r="C286">
        <v>3</v>
      </c>
      <c r="D286" t="s">
        <v>28</v>
      </c>
      <c r="E286" s="14">
        <v>21125414</v>
      </c>
      <c r="F286" s="14">
        <v>45777214</v>
      </c>
      <c r="G286" s="124">
        <v>-1150100</v>
      </c>
      <c r="H286" s="121">
        <v>-2522817</v>
      </c>
      <c r="I286" s="124">
        <v>0</v>
      </c>
      <c r="J286" s="121">
        <v>0</v>
      </c>
      <c r="K286" s="121">
        <v>449673</v>
      </c>
      <c r="L286" s="121">
        <v>987844</v>
      </c>
      <c r="M286" s="121">
        <v>1120133</v>
      </c>
      <c r="N286" s="121">
        <v>2458675</v>
      </c>
      <c r="O286" s="121">
        <v>-419706</v>
      </c>
      <c r="P286" s="121">
        <v>-923702</v>
      </c>
      <c r="Q286" s="121">
        <v>-908573</v>
      </c>
      <c r="R286" s="121">
        <v>-2075008</v>
      </c>
      <c r="S286" s="121">
        <v>0</v>
      </c>
      <c r="T286" s="121">
        <v>0</v>
      </c>
      <c r="U286" s="121">
        <v>908573</v>
      </c>
      <c r="V286" s="121">
        <v>2075008</v>
      </c>
      <c r="W286" s="121">
        <v>0</v>
      </c>
      <c r="X286" s="121">
        <v>0</v>
      </c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5">
      <c r="A287" t="s">
        <v>142</v>
      </c>
      <c r="B287" t="s">
        <v>146</v>
      </c>
      <c r="C287">
        <v>4</v>
      </c>
      <c r="D287" t="s">
        <v>29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/>
      <c r="Z287" s="121"/>
      <c r="AA287" s="121"/>
      <c r="AB287" s="121"/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5">
      <c r="A288" t="s">
        <v>142</v>
      </c>
      <c r="B288" t="s">
        <v>146</v>
      </c>
      <c r="C288">
        <v>5</v>
      </c>
      <c r="D288" t="s">
        <v>127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/>
      <c r="Z288" s="121"/>
      <c r="AA288" s="121"/>
      <c r="AB288" s="121"/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5">
      <c r="A289" t="s">
        <v>142</v>
      </c>
      <c r="B289" t="s">
        <v>146</v>
      </c>
      <c r="C289">
        <v>6</v>
      </c>
      <c r="D289" t="s">
        <v>26</v>
      </c>
      <c r="E289" s="14">
        <v>-33533000</v>
      </c>
      <c r="F289" s="14">
        <v>-69713316.810000002</v>
      </c>
      <c r="G289" s="124">
        <v>15409</v>
      </c>
      <c r="H289" s="121">
        <v>327040.46999999997</v>
      </c>
      <c r="I289" s="124">
        <v>-59580</v>
      </c>
      <c r="J289" s="121">
        <v>-147056.72</v>
      </c>
      <c r="K289" s="121">
        <v>0</v>
      </c>
      <c r="L289" s="121">
        <v>-529.01</v>
      </c>
      <c r="M289" s="121">
        <v>0</v>
      </c>
      <c r="N289" s="121">
        <v>0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11293.22</v>
      </c>
      <c r="Y289" s="121"/>
      <c r="Z289" s="121"/>
      <c r="AA289" s="121"/>
      <c r="AB289" s="121"/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5">
      <c r="A290" t="s">
        <v>142</v>
      </c>
      <c r="B290" t="s">
        <v>146</v>
      </c>
      <c r="C290">
        <v>7</v>
      </c>
      <c r="D290" t="s">
        <v>27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/>
      <c r="Z290" s="121"/>
      <c r="AA290" s="121"/>
      <c r="AB290" s="121"/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5">
      <c r="A291" t="s">
        <v>142</v>
      </c>
      <c r="B291" t="s">
        <v>146</v>
      </c>
      <c r="C291">
        <v>8</v>
      </c>
      <c r="D291" t="s">
        <v>28</v>
      </c>
      <c r="E291" s="14">
        <v>-19578861</v>
      </c>
      <c r="F291" s="14">
        <v>-42385438</v>
      </c>
      <c r="G291" s="124">
        <v>6000</v>
      </c>
      <c r="H291" s="121">
        <v>12720</v>
      </c>
      <c r="I291" s="124">
        <v>0</v>
      </c>
      <c r="J291" s="121">
        <v>0</v>
      </c>
      <c r="K291" s="121">
        <v>-449673</v>
      </c>
      <c r="L291" s="121">
        <v>-987844</v>
      </c>
      <c r="M291" s="121">
        <v>-1120133</v>
      </c>
      <c r="N291" s="121">
        <v>-2458675</v>
      </c>
      <c r="O291" s="121">
        <v>1563806</v>
      </c>
      <c r="P291" s="121">
        <v>3433799</v>
      </c>
      <c r="Q291" s="121">
        <v>-1842688</v>
      </c>
      <c r="R291" s="121">
        <v>-4244167</v>
      </c>
      <c r="S291" s="121">
        <v>0</v>
      </c>
      <c r="T291" s="121">
        <v>0</v>
      </c>
      <c r="U291" s="121">
        <v>1842688</v>
      </c>
      <c r="V291" s="121">
        <v>4244167</v>
      </c>
      <c r="W291" s="121">
        <v>0</v>
      </c>
      <c r="X291" s="121">
        <v>0</v>
      </c>
      <c r="Y291" s="121"/>
      <c r="Z291" s="121"/>
      <c r="AA291" s="121"/>
      <c r="AB291" s="121"/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5">
      <c r="A292" t="s">
        <v>142</v>
      </c>
      <c r="B292" t="s">
        <v>146</v>
      </c>
      <c r="C292">
        <v>9</v>
      </c>
      <c r="D292" t="s">
        <v>29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/>
      <c r="Z292" s="121"/>
      <c r="AA292" s="121"/>
      <c r="AB292" s="121"/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5">
      <c r="A293" t="s">
        <v>142</v>
      </c>
      <c r="B293" t="s">
        <v>146</v>
      </c>
      <c r="C293">
        <v>10</v>
      </c>
      <c r="D293" t="s">
        <v>33</v>
      </c>
      <c r="E293" s="14">
        <v>281548</v>
      </c>
      <c r="F293" s="14">
        <v>587590.68000000005</v>
      </c>
      <c r="G293" s="124">
        <v>8913</v>
      </c>
      <c r="H293" s="121">
        <v>18601.431</v>
      </c>
      <c r="I293" s="124">
        <v>-14975</v>
      </c>
      <c r="J293" s="121">
        <v>-31252.825000000001</v>
      </c>
      <c r="K293" s="121">
        <v>0</v>
      </c>
      <c r="L293" s="121">
        <v>0</v>
      </c>
      <c r="M293" s="121">
        <v>0</v>
      </c>
      <c r="N293" s="121">
        <v>0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/>
      <c r="Z293" s="121"/>
      <c r="AA293" s="121"/>
      <c r="AB293" s="121"/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5">
      <c r="A294" t="s">
        <v>142</v>
      </c>
      <c r="B294" t="s">
        <v>146</v>
      </c>
      <c r="C294">
        <v>11</v>
      </c>
      <c r="D294" t="s">
        <v>36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/>
      <c r="Z294" s="121"/>
      <c r="AA294" s="121"/>
      <c r="AB294" s="121"/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5">
      <c r="A295" t="s">
        <v>142</v>
      </c>
      <c r="B295" t="s">
        <v>146</v>
      </c>
      <c r="C295">
        <v>12</v>
      </c>
      <c r="D295" t="s">
        <v>37</v>
      </c>
      <c r="E295" s="14">
        <v>-95150</v>
      </c>
      <c r="F295" s="14">
        <v>-208415</v>
      </c>
      <c r="G295" s="124">
        <v>101</v>
      </c>
      <c r="H295" s="121">
        <v>212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/>
      <c r="Z295" s="121"/>
      <c r="AA295" s="121"/>
      <c r="AB295" s="121"/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5">
      <c r="A296" t="s">
        <v>142</v>
      </c>
      <c r="B296" t="s">
        <v>146</v>
      </c>
      <c r="C296">
        <v>13</v>
      </c>
      <c r="D296" t="s">
        <v>40</v>
      </c>
      <c r="E296" s="14">
        <v>6950</v>
      </c>
      <c r="F296" s="14">
        <v>230305.76</v>
      </c>
      <c r="G296" s="124">
        <v>-25819</v>
      </c>
      <c r="H296" s="121">
        <v>-278214.15100000001</v>
      </c>
      <c r="I296" s="124">
        <v>32667</v>
      </c>
      <c r="J296" s="121">
        <v>-540943.47499999998</v>
      </c>
      <c r="K296" s="121">
        <v>-15</v>
      </c>
      <c r="L296" s="121">
        <v>616968.84199999995</v>
      </c>
      <c r="M296" s="121">
        <v>0</v>
      </c>
      <c r="N296" s="121">
        <v>0</v>
      </c>
      <c r="O296" s="121">
        <v>0</v>
      </c>
      <c r="P296" s="121">
        <v>0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/>
      <c r="Z296" s="121"/>
      <c r="AA296" s="121"/>
      <c r="AB296" s="121"/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5">
      <c r="A297" t="s">
        <v>142</v>
      </c>
      <c r="B297" t="s">
        <v>146</v>
      </c>
      <c r="C297">
        <v>14</v>
      </c>
      <c r="D297" t="s">
        <v>41</v>
      </c>
      <c r="E297" s="14">
        <v>0</v>
      </c>
      <c r="F297" s="14">
        <v>0</v>
      </c>
      <c r="G297" s="124">
        <v>-1322</v>
      </c>
      <c r="H297" s="121">
        <v>-2729.93</v>
      </c>
      <c r="I297" s="124">
        <v>-2</v>
      </c>
      <c r="J297" s="121">
        <v>-4.1100000000000003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/>
      <c r="Z297" s="121"/>
      <c r="AA297" s="121"/>
      <c r="AB297" s="121"/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5">
      <c r="A298" t="s">
        <v>142</v>
      </c>
      <c r="B298" t="s">
        <v>146</v>
      </c>
      <c r="C298">
        <v>15</v>
      </c>
      <c r="D298" t="s">
        <v>42</v>
      </c>
      <c r="E298" s="14">
        <v>0</v>
      </c>
      <c r="F298" s="14">
        <v>0</v>
      </c>
      <c r="G298" s="124">
        <v>0</v>
      </c>
      <c r="H298" s="121">
        <v>0</v>
      </c>
      <c r="I298" s="124">
        <v>0</v>
      </c>
      <c r="J298" s="121">
        <v>0</v>
      </c>
      <c r="K298" s="121">
        <v>15</v>
      </c>
      <c r="L298" s="121">
        <v>29.55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/>
      <c r="Z298" s="121"/>
      <c r="AA298" s="121"/>
      <c r="AB298" s="121"/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5">
      <c r="A299" t="s">
        <v>142</v>
      </c>
      <c r="B299" t="s">
        <v>146</v>
      </c>
      <c r="C299">
        <v>16</v>
      </c>
      <c r="D299" t="s">
        <v>43</v>
      </c>
      <c r="E299" s="14">
        <v>-293313</v>
      </c>
      <c r="F299" s="14">
        <v>0.01</v>
      </c>
      <c r="G299" s="124">
        <v>-6387</v>
      </c>
      <c r="H299" s="121">
        <v>0</v>
      </c>
      <c r="I299" s="124">
        <v>120</v>
      </c>
      <c r="J299" s="121">
        <v>0</v>
      </c>
      <c r="K299" s="121">
        <v>0</v>
      </c>
      <c r="L299" s="121">
        <v>-625223</v>
      </c>
      <c r="M299" s="121">
        <v>0</v>
      </c>
      <c r="N299" s="121">
        <v>0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/>
      <c r="Z299" s="121"/>
      <c r="AA299" s="121"/>
      <c r="AB299" s="121"/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5">
      <c r="A300" t="s">
        <v>142</v>
      </c>
      <c r="B300" t="s">
        <v>146</v>
      </c>
      <c r="C300">
        <v>17</v>
      </c>
      <c r="D300" t="s">
        <v>128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/>
      <c r="Z300" s="121"/>
      <c r="AA300" s="121"/>
      <c r="AB300" s="121"/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5">
      <c r="A301" t="s">
        <v>142</v>
      </c>
      <c r="B301" t="s">
        <v>146</v>
      </c>
      <c r="C301">
        <v>18</v>
      </c>
      <c r="D301" t="s">
        <v>129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5">
      <c r="A302" t="s">
        <v>142</v>
      </c>
      <c r="B302" t="s">
        <v>146</v>
      </c>
      <c r="C302">
        <v>19</v>
      </c>
      <c r="D302" t="s">
        <v>48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/>
      <c r="Z302" s="121"/>
      <c r="AA302" s="121"/>
      <c r="AB302" s="121"/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5">
      <c r="A303" t="s">
        <v>142</v>
      </c>
      <c r="B303" t="s">
        <v>146</v>
      </c>
      <c r="C303">
        <v>20</v>
      </c>
      <c r="D303" t="s">
        <v>130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/>
      <c r="Z303" s="121"/>
      <c r="AA303" s="121"/>
      <c r="AB303" s="121"/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5">
      <c r="A304" t="s">
        <v>142</v>
      </c>
      <c r="B304" t="s">
        <v>146</v>
      </c>
      <c r="C304">
        <v>21</v>
      </c>
      <c r="D304" t="s">
        <v>131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/>
      <c r="Z304" s="121"/>
      <c r="AA304" s="121"/>
      <c r="AB304" s="121"/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5">
      <c r="A305" t="s">
        <v>142</v>
      </c>
      <c r="B305" t="s">
        <v>146</v>
      </c>
      <c r="C305">
        <v>22</v>
      </c>
      <c r="D305" t="s">
        <v>132</v>
      </c>
      <c r="E305" s="14">
        <v>63128</v>
      </c>
      <c r="F305" s="14">
        <v>131748.136</v>
      </c>
      <c r="G305" s="124">
        <v>1091133</v>
      </c>
      <c r="H305" s="121">
        <v>2277194.571</v>
      </c>
      <c r="I305" s="124">
        <v>43125</v>
      </c>
      <c r="J305" s="121">
        <v>90001.875</v>
      </c>
      <c r="K305" s="121">
        <v>-120535</v>
      </c>
      <c r="L305" s="121">
        <v>-251556.54500000001</v>
      </c>
      <c r="M305" s="121">
        <v>0</v>
      </c>
      <c r="N305" s="121">
        <v>0</v>
      </c>
      <c r="O305" s="121">
        <v>-1144100</v>
      </c>
      <c r="P305" s="121">
        <v>-2387736.7000000002</v>
      </c>
      <c r="Q305" s="121">
        <v>2751261</v>
      </c>
      <c r="R305" s="121">
        <v>7180791.21</v>
      </c>
      <c r="S305" s="121">
        <v>0</v>
      </c>
      <c r="T305" s="121">
        <v>0</v>
      </c>
      <c r="U305" s="121">
        <v>-2751261</v>
      </c>
      <c r="V305" s="121">
        <v>-7180791.21</v>
      </c>
      <c r="W305" s="121">
        <v>0</v>
      </c>
      <c r="X305" s="121">
        <v>0</v>
      </c>
      <c r="Y305" s="121"/>
      <c r="Z305" s="121"/>
      <c r="AA305" s="121"/>
      <c r="AB305" s="121"/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5">
      <c r="A306" t="s">
        <v>142</v>
      </c>
      <c r="B306" t="s">
        <v>146</v>
      </c>
      <c r="C306">
        <v>23</v>
      </c>
      <c r="D306" t="s">
        <v>133</v>
      </c>
      <c r="E306" s="14">
        <v>-281548</v>
      </c>
      <c r="F306" s="14">
        <v>-587590.68000000005</v>
      </c>
      <c r="G306" s="124">
        <v>-8913</v>
      </c>
      <c r="H306" s="121">
        <v>-18601.431</v>
      </c>
      <c r="I306" s="124">
        <v>14975</v>
      </c>
      <c r="J306" s="121">
        <v>31252.825000000001</v>
      </c>
      <c r="K306" s="121">
        <v>0</v>
      </c>
      <c r="L306" s="121">
        <v>0</v>
      </c>
      <c r="M306" s="121">
        <v>0</v>
      </c>
      <c r="N306" s="121">
        <v>0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/>
      <c r="Z306" s="121"/>
      <c r="AA306" s="121"/>
      <c r="AB306" s="121"/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5">
      <c r="A307" t="s">
        <v>142</v>
      </c>
      <c r="B307" t="s">
        <v>146</v>
      </c>
      <c r="C307">
        <v>24</v>
      </c>
      <c r="D307" t="s">
        <v>56</v>
      </c>
      <c r="E307" s="14">
        <v>-11138082</v>
      </c>
      <c r="F307" s="14">
        <v>-114247.01</v>
      </c>
      <c r="G307" s="124">
        <v>-589481</v>
      </c>
      <c r="H307" s="121">
        <v>-14387.03</v>
      </c>
      <c r="I307" s="124">
        <v>0</v>
      </c>
      <c r="J307" s="121">
        <v>0</v>
      </c>
      <c r="K307" s="121">
        <v>0</v>
      </c>
      <c r="L307" s="121">
        <v>0</v>
      </c>
      <c r="M307" s="121">
        <v>0</v>
      </c>
      <c r="N307" s="121">
        <v>0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/>
      <c r="Z307" s="121"/>
      <c r="AA307" s="121"/>
      <c r="AB307" s="121"/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5">
      <c r="A308" t="s">
        <v>142</v>
      </c>
      <c r="B308" t="s">
        <v>146</v>
      </c>
      <c r="C308">
        <v>25</v>
      </c>
      <c r="D308" t="s">
        <v>57</v>
      </c>
      <c r="E308" s="14">
        <v>0</v>
      </c>
      <c r="F308" s="14">
        <v>-2733181.65</v>
      </c>
      <c r="G308" s="124">
        <v>0</v>
      </c>
      <c r="H308" s="121">
        <v>20370.560000000001</v>
      </c>
      <c r="I308" s="124">
        <v>0</v>
      </c>
      <c r="J308" s="121">
        <v>137.51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/>
      <c r="Z308" s="121"/>
      <c r="AA308" s="121"/>
      <c r="AB308" s="121"/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5">
      <c r="A309" t="s">
        <v>142</v>
      </c>
      <c r="B309" t="s">
        <v>146</v>
      </c>
      <c r="C309">
        <v>26</v>
      </c>
      <c r="D309" t="s">
        <v>134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/>
      <c r="Z309" s="121"/>
      <c r="AA309" s="121"/>
      <c r="AB309" s="121"/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5">
      <c r="A310" t="s">
        <v>142</v>
      </c>
      <c r="B310" t="s">
        <v>146</v>
      </c>
      <c r="C310">
        <v>27</v>
      </c>
      <c r="D310" t="s">
        <v>135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/>
      <c r="Z310" s="121"/>
      <c r="AA310" s="121"/>
      <c r="AB310" s="121"/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5">
      <c r="A311" t="s">
        <v>142</v>
      </c>
      <c r="B311" t="s">
        <v>146</v>
      </c>
      <c r="C311">
        <v>28</v>
      </c>
      <c r="D311" t="s">
        <v>136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/>
      <c r="Z311" s="121"/>
      <c r="AA311" s="121"/>
      <c r="AB311" s="121"/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5">
      <c r="A312" t="s">
        <v>142</v>
      </c>
      <c r="B312" t="s">
        <v>146</v>
      </c>
      <c r="C312">
        <v>29</v>
      </c>
      <c r="D312" t="s">
        <v>137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/>
      <c r="Z312" s="121"/>
      <c r="AA312" s="121"/>
      <c r="AB312" s="121"/>
      <c r="AC312" s="121"/>
      <c r="AD312" s="121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5">
      <c r="A313" t="s">
        <v>142</v>
      </c>
      <c r="B313" t="s">
        <v>146</v>
      </c>
      <c r="C313">
        <v>30</v>
      </c>
      <c r="D313" t="s">
        <v>138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/>
      <c r="Z313" s="121"/>
      <c r="AA313" s="121"/>
      <c r="AB313" s="121"/>
      <c r="AC313" s="121"/>
      <c r="AD313" s="121"/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5">
      <c r="A314" t="s">
        <v>142</v>
      </c>
      <c r="B314" t="s">
        <v>146</v>
      </c>
      <c r="C314">
        <v>31</v>
      </c>
      <c r="D314" t="s">
        <v>139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/>
      <c r="Z314" s="121"/>
      <c r="AA314" s="121"/>
      <c r="AB314" s="121"/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5">
      <c r="A315" t="s">
        <v>142</v>
      </c>
      <c r="B315" t="s">
        <v>146</v>
      </c>
      <c r="C315">
        <v>32</v>
      </c>
      <c r="D315" t="s">
        <v>71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/>
      <c r="Z315" s="121"/>
      <c r="AA315" s="121"/>
      <c r="AB315" s="121"/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5">
      <c r="A316" t="s">
        <v>142</v>
      </c>
      <c r="B316" t="s">
        <v>146</v>
      </c>
      <c r="C316">
        <v>33</v>
      </c>
      <c r="D316" t="s">
        <v>72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/>
      <c r="Z316" s="121"/>
      <c r="AA316" s="121"/>
      <c r="AB316" s="121"/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5">
      <c r="A317" t="s">
        <v>142</v>
      </c>
      <c r="B317" t="s">
        <v>146</v>
      </c>
      <c r="C317">
        <v>34</v>
      </c>
      <c r="D317" t="s">
        <v>73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/>
      <c r="Z317" s="121"/>
      <c r="AA317" s="121"/>
      <c r="AB317" s="121"/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5">
      <c r="A318" t="s">
        <v>142</v>
      </c>
      <c r="B318" t="s">
        <v>146</v>
      </c>
      <c r="C318">
        <v>35</v>
      </c>
      <c r="D318" t="s">
        <v>74</v>
      </c>
      <c r="E318" s="14">
        <v>0</v>
      </c>
      <c r="F318" s="14">
        <v>0</v>
      </c>
      <c r="G318" s="124">
        <v>0</v>
      </c>
      <c r="H318" s="121">
        <v>-18863.54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/>
      <c r="Z318" s="121"/>
      <c r="AA318" s="121"/>
      <c r="AB318" s="121"/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5">
      <c r="A319" t="s">
        <v>142</v>
      </c>
      <c r="B319" t="s">
        <v>146</v>
      </c>
      <c r="C319">
        <v>36</v>
      </c>
      <c r="D319" t="s">
        <v>75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/>
      <c r="Z319" s="121"/>
      <c r="AA319" s="121"/>
      <c r="AB319" s="121"/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5">
      <c r="A320" t="s">
        <v>142</v>
      </c>
      <c r="B320" t="s">
        <v>146</v>
      </c>
      <c r="C320">
        <v>37</v>
      </c>
      <c r="D320" t="s">
        <v>76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/>
      <c r="Z320" s="121"/>
      <c r="AA320" s="121"/>
      <c r="AB320" s="121"/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5">
      <c r="A321" t="s">
        <v>142</v>
      </c>
      <c r="B321" t="s">
        <v>146</v>
      </c>
      <c r="C321">
        <v>38</v>
      </c>
      <c r="D321" t="s">
        <v>77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/>
      <c r="Z321" s="121"/>
      <c r="AA321" s="121"/>
      <c r="AB321" s="121"/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5">
      <c r="A322" t="s">
        <v>142</v>
      </c>
      <c r="B322" t="s">
        <v>146</v>
      </c>
      <c r="C322">
        <v>39</v>
      </c>
      <c r="D322" t="s">
        <v>78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5">
      <c r="A323" t="s">
        <v>142</v>
      </c>
      <c r="B323" t="s">
        <v>146</v>
      </c>
      <c r="C323">
        <v>40</v>
      </c>
      <c r="D323" t="s">
        <v>79</v>
      </c>
      <c r="E323" s="14">
        <v>0</v>
      </c>
      <c r="F323" s="14">
        <v>61425.84</v>
      </c>
      <c r="G323" s="124">
        <v>0</v>
      </c>
      <c r="H323" s="121">
        <v>-4992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0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/>
      <c r="Z323" s="121"/>
      <c r="AA323" s="121"/>
      <c r="AB323" s="121"/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5">
      <c r="A324" t="s">
        <v>147</v>
      </c>
      <c r="B324" t="s">
        <v>148</v>
      </c>
      <c r="C324">
        <v>1</v>
      </c>
      <c r="D324" t="s">
        <v>26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/>
      <c r="Z324" s="121"/>
      <c r="AA324" s="121"/>
      <c r="AB324" s="121"/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5">
      <c r="A325" t="s">
        <v>147</v>
      </c>
      <c r="B325" t="s">
        <v>148</v>
      </c>
      <c r="C325">
        <v>2</v>
      </c>
      <c r="D325" t="s">
        <v>27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/>
      <c r="Z325" s="121"/>
      <c r="AA325" s="121"/>
      <c r="AB325" s="121"/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5">
      <c r="A326" t="s">
        <v>147</v>
      </c>
      <c r="B326" t="s">
        <v>148</v>
      </c>
      <c r="C326">
        <v>3</v>
      </c>
      <c r="D326" t="s">
        <v>28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/>
      <c r="Z326" s="121"/>
      <c r="AA326" s="121"/>
      <c r="AB326" s="121"/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5">
      <c r="A327" t="s">
        <v>147</v>
      </c>
      <c r="B327" t="s">
        <v>148</v>
      </c>
      <c r="C327">
        <v>4</v>
      </c>
      <c r="D327" t="s">
        <v>29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5">
      <c r="A328" t="s">
        <v>147</v>
      </c>
      <c r="B328" t="s">
        <v>148</v>
      </c>
      <c r="C328">
        <v>5</v>
      </c>
      <c r="D328" t="s">
        <v>127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/>
      <c r="Z328" s="121"/>
      <c r="AA328" s="121"/>
      <c r="AB328" s="121"/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5">
      <c r="A329" t="s">
        <v>147</v>
      </c>
      <c r="B329" t="s">
        <v>148</v>
      </c>
      <c r="C329">
        <v>6</v>
      </c>
      <c r="D329" t="s">
        <v>26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/>
      <c r="Z329" s="121"/>
      <c r="AA329" s="121"/>
      <c r="AB329" s="121"/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5">
      <c r="A330" t="s">
        <v>147</v>
      </c>
      <c r="B330" t="s">
        <v>148</v>
      </c>
      <c r="C330">
        <v>7</v>
      </c>
      <c r="D330" t="s">
        <v>27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/>
      <c r="Z330" s="121"/>
      <c r="AA330" s="121"/>
      <c r="AB330" s="121"/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5">
      <c r="A331" t="s">
        <v>147</v>
      </c>
      <c r="B331" t="s">
        <v>148</v>
      </c>
      <c r="C331">
        <v>8</v>
      </c>
      <c r="D331" t="s">
        <v>28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/>
      <c r="Z331" s="121"/>
      <c r="AA331" s="121"/>
      <c r="AB331" s="121"/>
      <c r="AC331" s="121"/>
      <c r="AD331" s="121"/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5">
      <c r="A332" t="s">
        <v>147</v>
      </c>
      <c r="B332" t="s">
        <v>148</v>
      </c>
      <c r="C332">
        <v>9</v>
      </c>
      <c r="D332" t="s">
        <v>29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/>
      <c r="Z332" s="121"/>
      <c r="AA332" s="121"/>
      <c r="AB332" s="121"/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5">
      <c r="A333" t="s">
        <v>147</v>
      </c>
      <c r="B333" t="s">
        <v>148</v>
      </c>
      <c r="C333">
        <v>10</v>
      </c>
      <c r="D333" t="s">
        <v>33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/>
      <c r="Z333" s="121"/>
      <c r="AA333" s="121"/>
      <c r="AB333" s="121"/>
      <c r="AC333" s="121"/>
      <c r="AD333" s="121"/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5">
      <c r="A334" t="s">
        <v>147</v>
      </c>
      <c r="B334" t="s">
        <v>148</v>
      </c>
      <c r="C334">
        <v>11</v>
      </c>
      <c r="D334" t="s">
        <v>36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/>
      <c r="Z334" s="121"/>
      <c r="AA334" s="121"/>
      <c r="AB334" s="121"/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5">
      <c r="A335" t="s">
        <v>147</v>
      </c>
      <c r="B335" t="s">
        <v>148</v>
      </c>
      <c r="C335">
        <v>12</v>
      </c>
      <c r="D335" t="s">
        <v>37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/>
      <c r="Z335" s="121"/>
      <c r="AA335" s="121"/>
      <c r="AB335" s="121"/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5">
      <c r="A336" t="s">
        <v>147</v>
      </c>
      <c r="B336" t="s">
        <v>148</v>
      </c>
      <c r="C336">
        <v>13</v>
      </c>
      <c r="D336" t="s">
        <v>40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/>
      <c r="Z336" s="121"/>
      <c r="AA336" s="121"/>
      <c r="AB336" s="121"/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5">
      <c r="A337" t="s">
        <v>147</v>
      </c>
      <c r="B337" t="s">
        <v>148</v>
      </c>
      <c r="C337">
        <v>14</v>
      </c>
      <c r="D337" t="s">
        <v>41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5">
      <c r="A338" t="s">
        <v>147</v>
      </c>
      <c r="B338" t="s">
        <v>148</v>
      </c>
      <c r="C338">
        <v>15</v>
      </c>
      <c r="D338" t="s">
        <v>42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/>
      <c r="Z338" s="121"/>
      <c r="AA338" s="121"/>
      <c r="AB338" s="121"/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5">
      <c r="A339" t="s">
        <v>147</v>
      </c>
      <c r="B339" t="s">
        <v>148</v>
      </c>
      <c r="C339">
        <v>16</v>
      </c>
      <c r="D339" t="s">
        <v>43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/>
      <c r="Z339" s="121"/>
      <c r="AA339" s="121"/>
      <c r="AB339" s="121"/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5">
      <c r="A340" t="s">
        <v>147</v>
      </c>
      <c r="B340" t="s">
        <v>148</v>
      </c>
      <c r="C340">
        <v>17</v>
      </c>
      <c r="D340" t="s">
        <v>128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/>
      <c r="Z340" s="121"/>
      <c r="AA340" s="121"/>
      <c r="AB340" s="121"/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5">
      <c r="A341" s="123" t="s">
        <v>147</v>
      </c>
      <c r="B341" s="123" t="s">
        <v>148</v>
      </c>
      <c r="C341" s="123">
        <v>18</v>
      </c>
      <c r="D341" s="123" t="s">
        <v>129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5">
      <c r="A342" t="s">
        <v>147</v>
      </c>
      <c r="B342" t="s">
        <v>148</v>
      </c>
      <c r="C342">
        <v>19</v>
      </c>
      <c r="D342" t="s">
        <v>48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/>
      <c r="Z342" s="121"/>
      <c r="AA342" s="121"/>
      <c r="AB342" s="121"/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5">
      <c r="A343" t="s">
        <v>147</v>
      </c>
      <c r="B343" t="s">
        <v>148</v>
      </c>
      <c r="C343">
        <v>20</v>
      </c>
      <c r="D343" t="s">
        <v>130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/>
      <c r="Z343" s="121"/>
      <c r="AA343" s="121"/>
      <c r="AB343" s="121"/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5">
      <c r="A344" t="s">
        <v>147</v>
      </c>
      <c r="B344" t="s">
        <v>148</v>
      </c>
      <c r="C344">
        <v>21</v>
      </c>
      <c r="D344" t="s">
        <v>131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5">
      <c r="A345" t="s">
        <v>147</v>
      </c>
      <c r="B345" t="s">
        <v>148</v>
      </c>
      <c r="C345">
        <v>22</v>
      </c>
      <c r="D345" t="s">
        <v>132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/>
      <c r="Z345" s="121"/>
      <c r="AA345" s="121"/>
      <c r="AB345" s="121"/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5">
      <c r="A346" t="s">
        <v>147</v>
      </c>
      <c r="B346" t="s">
        <v>148</v>
      </c>
      <c r="C346">
        <v>23</v>
      </c>
      <c r="D346" t="s">
        <v>133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/>
      <c r="Z346" s="121"/>
      <c r="AA346" s="121"/>
      <c r="AB346" s="121"/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5">
      <c r="A347" t="s">
        <v>147</v>
      </c>
      <c r="B347" t="s">
        <v>148</v>
      </c>
      <c r="C347">
        <v>24</v>
      </c>
      <c r="D347" t="s">
        <v>56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/>
      <c r="Z347" s="121"/>
      <c r="AA347" s="121"/>
      <c r="AB347" s="121"/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5">
      <c r="A348" t="s">
        <v>147</v>
      </c>
      <c r="B348" t="s">
        <v>148</v>
      </c>
      <c r="C348">
        <v>25</v>
      </c>
      <c r="D348" t="s">
        <v>57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/>
      <c r="Z348" s="121"/>
      <c r="AA348" s="121"/>
      <c r="AB348" s="121"/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5">
      <c r="A349" t="s">
        <v>147</v>
      </c>
      <c r="B349" t="s">
        <v>148</v>
      </c>
      <c r="C349">
        <v>26</v>
      </c>
      <c r="D349" t="s">
        <v>134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/>
      <c r="Z349" s="121"/>
      <c r="AA349" s="121"/>
      <c r="AB349" s="121"/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5">
      <c r="A350" t="s">
        <v>147</v>
      </c>
      <c r="B350" t="s">
        <v>148</v>
      </c>
      <c r="C350">
        <v>27</v>
      </c>
      <c r="D350" t="s">
        <v>135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/>
      <c r="Z350" s="121"/>
      <c r="AA350" s="121"/>
      <c r="AB350" s="121"/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5">
      <c r="A351" t="s">
        <v>147</v>
      </c>
      <c r="B351" t="s">
        <v>148</v>
      </c>
      <c r="C351">
        <v>28</v>
      </c>
      <c r="D351" t="s">
        <v>136</v>
      </c>
      <c r="E351" s="125">
        <v>0</v>
      </c>
      <c r="F351" s="125">
        <v>0</v>
      </c>
      <c r="G351" s="170">
        <v>0</v>
      </c>
      <c r="H351" s="126">
        <v>0</v>
      </c>
      <c r="I351" s="170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/>
      <c r="Z351" s="121"/>
      <c r="AA351" s="121"/>
      <c r="AB351" s="121"/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5">
      <c r="A352" t="s">
        <v>147</v>
      </c>
      <c r="B352" t="s">
        <v>148</v>
      </c>
      <c r="C352">
        <v>29</v>
      </c>
      <c r="D352" t="s">
        <v>137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/>
      <c r="Z352" s="121"/>
      <c r="AA352" s="121"/>
      <c r="AB352" s="121"/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5">
      <c r="A353" t="s">
        <v>147</v>
      </c>
      <c r="B353" t="s">
        <v>148</v>
      </c>
      <c r="C353">
        <v>30</v>
      </c>
      <c r="D353" t="s">
        <v>138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/>
      <c r="Z353" s="121"/>
      <c r="AA353" s="121"/>
      <c r="AB353" s="121"/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5">
      <c r="A354" t="s">
        <v>147</v>
      </c>
      <c r="B354" t="s">
        <v>148</v>
      </c>
      <c r="C354">
        <v>31</v>
      </c>
      <c r="D354" t="s">
        <v>139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/>
      <c r="Z354" s="121"/>
      <c r="AA354" s="121"/>
      <c r="AB354" s="121"/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5">
      <c r="A355" t="s">
        <v>147</v>
      </c>
      <c r="B355" t="s">
        <v>148</v>
      </c>
      <c r="C355">
        <v>32</v>
      </c>
      <c r="D355" t="s">
        <v>71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/>
      <c r="Z355" s="121"/>
      <c r="AA355" s="121"/>
      <c r="AB355" s="121"/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5">
      <c r="A356" t="s">
        <v>147</v>
      </c>
      <c r="B356" t="s">
        <v>148</v>
      </c>
      <c r="C356">
        <v>33</v>
      </c>
      <c r="D356" t="s">
        <v>72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/>
      <c r="Z356" s="121"/>
      <c r="AA356" s="121"/>
      <c r="AB356" s="121"/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5">
      <c r="A357" t="s">
        <v>147</v>
      </c>
      <c r="B357" t="s">
        <v>148</v>
      </c>
      <c r="C357">
        <v>34</v>
      </c>
      <c r="D357" t="s">
        <v>73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/>
      <c r="Z357" s="121"/>
      <c r="AA357" s="121"/>
      <c r="AB357" s="121"/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5">
      <c r="A358" t="s">
        <v>147</v>
      </c>
      <c r="B358" t="s">
        <v>148</v>
      </c>
      <c r="C358">
        <v>35</v>
      </c>
      <c r="D358" t="s">
        <v>74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/>
      <c r="Z358" s="121"/>
      <c r="AA358" s="121"/>
      <c r="AB358" s="121"/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5">
      <c r="A359" t="s">
        <v>147</v>
      </c>
      <c r="B359" t="s">
        <v>148</v>
      </c>
      <c r="C359">
        <v>36</v>
      </c>
      <c r="D359" t="s">
        <v>75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/>
      <c r="Z359" s="121"/>
      <c r="AA359" s="121"/>
      <c r="AB359" s="121"/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5">
      <c r="A360" t="s">
        <v>147</v>
      </c>
      <c r="B360" t="s">
        <v>148</v>
      </c>
      <c r="C360">
        <v>37</v>
      </c>
      <c r="D360" t="s">
        <v>76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/>
      <c r="Z360" s="121"/>
      <c r="AA360" s="121"/>
      <c r="AB360" s="121"/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5">
      <c r="A361" t="s">
        <v>147</v>
      </c>
      <c r="B361" t="s">
        <v>148</v>
      </c>
      <c r="C361">
        <v>38</v>
      </c>
      <c r="D361" t="s">
        <v>77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/>
      <c r="Z361" s="121"/>
      <c r="AA361" s="121"/>
      <c r="AB361" s="121"/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5">
      <c r="A362" t="s">
        <v>147</v>
      </c>
      <c r="B362" t="s">
        <v>148</v>
      </c>
      <c r="C362">
        <v>39</v>
      </c>
      <c r="D362" t="s">
        <v>78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/>
      <c r="Z362" s="121"/>
      <c r="AA362" s="121"/>
      <c r="AB362" s="121"/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5">
      <c r="A363" t="s">
        <v>147</v>
      </c>
      <c r="B363" t="s">
        <v>148</v>
      </c>
      <c r="C363">
        <v>40</v>
      </c>
      <c r="D363" t="s">
        <v>79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5">
      <c r="A364" t="s">
        <v>149</v>
      </c>
      <c r="B364" t="s">
        <v>150</v>
      </c>
      <c r="C364">
        <v>1</v>
      </c>
      <c r="D364" t="s">
        <v>26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/>
      <c r="Z364" s="121"/>
      <c r="AA364" s="121"/>
      <c r="AB364" s="121"/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5">
      <c r="A365" t="s">
        <v>149</v>
      </c>
      <c r="B365" t="s">
        <v>150</v>
      </c>
      <c r="C365">
        <v>2</v>
      </c>
      <c r="D365" t="s">
        <v>27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/>
      <c r="Z365" s="121"/>
      <c r="AA365" s="121"/>
      <c r="AB365" s="121"/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5">
      <c r="A366" t="s">
        <v>149</v>
      </c>
      <c r="B366" t="s">
        <v>150</v>
      </c>
      <c r="C366">
        <v>3</v>
      </c>
      <c r="D366" t="s">
        <v>28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/>
      <c r="Z366" s="121"/>
      <c r="AA366" s="121"/>
      <c r="AB366" s="121"/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5">
      <c r="A367" t="s">
        <v>149</v>
      </c>
      <c r="B367" t="s">
        <v>150</v>
      </c>
      <c r="C367">
        <v>4</v>
      </c>
      <c r="D367" t="s">
        <v>29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/>
      <c r="Z367" s="121"/>
      <c r="AA367" s="121"/>
      <c r="AB367" s="121"/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5">
      <c r="A368" t="s">
        <v>149</v>
      </c>
      <c r="B368" t="s">
        <v>150</v>
      </c>
      <c r="C368">
        <v>5</v>
      </c>
      <c r="D368" t="s">
        <v>127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/>
      <c r="Z368" s="121"/>
      <c r="AA368" s="121"/>
      <c r="AB368" s="121"/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5">
      <c r="A369" t="s">
        <v>149</v>
      </c>
      <c r="B369" t="s">
        <v>150</v>
      </c>
      <c r="C369">
        <v>6</v>
      </c>
      <c r="D369" t="s">
        <v>26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/>
      <c r="Z369" s="121"/>
      <c r="AA369" s="121"/>
      <c r="AB369" s="121"/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5">
      <c r="A370" t="s">
        <v>149</v>
      </c>
      <c r="B370" t="s">
        <v>150</v>
      </c>
      <c r="C370">
        <v>7</v>
      </c>
      <c r="D370" t="s">
        <v>27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/>
      <c r="Z370" s="121"/>
      <c r="AA370" s="121"/>
      <c r="AB370" s="121"/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5">
      <c r="A371" t="s">
        <v>149</v>
      </c>
      <c r="B371" t="s">
        <v>150</v>
      </c>
      <c r="C371">
        <v>8</v>
      </c>
      <c r="D371" t="s">
        <v>28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/>
      <c r="Z371" s="121"/>
      <c r="AA371" s="121"/>
      <c r="AB371" s="121"/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5">
      <c r="A372" t="s">
        <v>149</v>
      </c>
      <c r="B372" t="s">
        <v>150</v>
      </c>
      <c r="C372">
        <v>9</v>
      </c>
      <c r="D372" t="s">
        <v>29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/>
      <c r="Z372" s="121"/>
      <c r="AA372" s="121"/>
      <c r="AB372" s="121"/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5">
      <c r="A373" t="s">
        <v>149</v>
      </c>
      <c r="B373" t="s">
        <v>150</v>
      </c>
      <c r="C373">
        <v>10</v>
      </c>
      <c r="D373" t="s">
        <v>33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/>
      <c r="Z373" s="121"/>
      <c r="AA373" s="121"/>
      <c r="AB373" s="121"/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5">
      <c r="A374" t="s">
        <v>149</v>
      </c>
      <c r="B374" t="s">
        <v>150</v>
      </c>
      <c r="C374">
        <v>11</v>
      </c>
      <c r="D374" t="s">
        <v>36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/>
      <c r="Z374" s="121"/>
      <c r="AA374" s="121"/>
      <c r="AB374" s="121"/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5">
      <c r="A375" t="s">
        <v>149</v>
      </c>
      <c r="B375" t="s">
        <v>150</v>
      </c>
      <c r="C375">
        <v>12</v>
      </c>
      <c r="D375" t="s">
        <v>37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/>
      <c r="Z375" s="121"/>
      <c r="AA375" s="121"/>
      <c r="AB375" s="121"/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5">
      <c r="A376" t="s">
        <v>149</v>
      </c>
      <c r="B376" t="s">
        <v>150</v>
      </c>
      <c r="C376">
        <v>13</v>
      </c>
      <c r="D376" t="s">
        <v>40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/>
      <c r="Z376" s="121"/>
      <c r="AA376" s="121"/>
      <c r="AB376" s="121"/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5">
      <c r="A377" t="s">
        <v>149</v>
      </c>
      <c r="B377" t="s">
        <v>150</v>
      </c>
      <c r="C377">
        <v>14</v>
      </c>
      <c r="D377" t="s">
        <v>41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/>
      <c r="Z377" s="121"/>
      <c r="AA377" s="121"/>
      <c r="AB377" s="121"/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5">
      <c r="A378" t="s">
        <v>149</v>
      </c>
      <c r="B378" t="s">
        <v>150</v>
      </c>
      <c r="C378">
        <v>15</v>
      </c>
      <c r="D378" t="s">
        <v>42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/>
      <c r="Z378" s="121"/>
      <c r="AA378" s="121"/>
      <c r="AB378" s="121"/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5">
      <c r="A379" t="s">
        <v>149</v>
      </c>
      <c r="B379" t="s">
        <v>150</v>
      </c>
      <c r="C379">
        <v>16</v>
      </c>
      <c r="D379" t="s">
        <v>43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/>
      <c r="Z379" s="121"/>
      <c r="AA379" s="121"/>
      <c r="AB379" s="121"/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5">
      <c r="A380" t="s">
        <v>149</v>
      </c>
      <c r="B380" t="s">
        <v>150</v>
      </c>
      <c r="C380">
        <v>17</v>
      </c>
      <c r="D380" t="s">
        <v>128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/>
      <c r="Z380" s="121"/>
      <c r="AA380" s="121"/>
      <c r="AB380" s="121"/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5">
      <c r="A381" t="s">
        <v>149</v>
      </c>
      <c r="B381" t="s">
        <v>150</v>
      </c>
      <c r="C381">
        <v>18</v>
      </c>
      <c r="D381" t="s">
        <v>129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/>
      <c r="Z381" s="121"/>
      <c r="AA381" s="121"/>
      <c r="AB381" s="121"/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5">
      <c r="A382" t="s">
        <v>149</v>
      </c>
      <c r="B382" t="s">
        <v>150</v>
      </c>
      <c r="C382">
        <v>19</v>
      </c>
      <c r="D382" t="s">
        <v>48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5">
      <c r="A383" t="s">
        <v>149</v>
      </c>
      <c r="B383" t="s">
        <v>150</v>
      </c>
      <c r="C383">
        <v>20</v>
      </c>
      <c r="D383" t="s">
        <v>130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5">
      <c r="A384" t="s">
        <v>149</v>
      </c>
      <c r="B384" t="s">
        <v>150</v>
      </c>
      <c r="C384">
        <v>21</v>
      </c>
      <c r="D384" t="s">
        <v>131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/>
      <c r="Z384" s="121"/>
      <c r="AA384" s="121"/>
      <c r="AB384" s="121"/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5">
      <c r="A385" t="s">
        <v>149</v>
      </c>
      <c r="B385" t="s">
        <v>150</v>
      </c>
      <c r="C385">
        <v>22</v>
      </c>
      <c r="D385" t="s">
        <v>132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/>
      <c r="Z385" s="121"/>
      <c r="AA385" s="121"/>
      <c r="AB385" s="121"/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5">
      <c r="A386" t="s">
        <v>149</v>
      </c>
      <c r="B386" t="s">
        <v>150</v>
      </c>
      <c r="C386">
        <v>23</v>
      </c>
      <c r="D386" t="s">
        <v>133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5">
      <c r="A387" t="s">
        <v>149</v>
      </c>
      <c r="B387" t="s">
        <v>150</v>
      </c>
      <c r="C387">
        <v>24</v>
      </c>
      <c r="D387" t="s">
        <v>56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5">
      <c r="A388" t="s">
        <v>149</v>
      </c>
      <c r="B388" t="s">
        <v>150</v>
      </c>
      <c r="C388">
        <v>25</v>
      </c>
      <c r="D388" t="s">
        <v>57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/>
      <c r="Z388" s="121"/>
      <c r="AA388" s="121"/>
      <c r="AB388" s="121"/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5">
      <c r="A389" t="s">
        <v>149</v>
      </c>
      <c r="B389" t="s">
        <v>150</v>
      </c>
      <c r="C389">
        <v>26</v>
      </c>
      <c r="D389" t="s">
        <v>134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/>
      <c r="Z389" s="121"/>
      <c r="AA389" s="121"/>
      <c r="AB389" s="121"/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5">
      <c r="A390" t="s">
        <v>149</v>
      </c>
      <c r="B390" t="s">
        <v>150</v>
      </c>
      <c r="C390">
        <v>27</v>
      </c>
      <c r="D390" t="s">
        <v>135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/>
      <c r="Z390" s="121"/>
      <c r="AA390" s="121"/>
      <c r="AB390" s="121"/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5">
      <c r="A391" t="s">
        <v>149</v>
      </c>
      <c r="B391" t="s">
        <v>150</v>
      </c>
      <c r="C391">
        <v>28</v>
      </c>
      <c r="D391" t="s">
        <v>136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/>
      <c r="Z391" s="121"/>
      <c r="AA391" s="121"/>
      <c r="AB391" s="121"/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5">
      <c r="A392" t="s">
        <v>149</v>
      </c>
      <c r="B392" t="s">
        <v>150</v>
      </c>
      <c r="C392">
        <v>29</v>
      </c>
      <c r="D392" t="s">
        <v>137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/>
      <c r="Z392" s="121"/>
      <c r="AA392" s="121"/>
      <c r="AB392" s="121"/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5">
      <c r="A393" t="s">
        <v>149</v>
      </c>
      <c r="B393" t="s">
        <v>150</v>
      </c>
      <c r="C393">
        <v>30</v>
      </c>
      <c r="D393" t="s">
        <v>138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/>
      <c r="Z393" s="121"/>
      <c r="AA393" s="121"/>
      <c r="AB393" s="121"/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5">
      <c r="A394" t="s">
        <v>149</v>
      </c>
      <c r="B394" t="s">
        <v>150</v>
      </c>
      <c r="C394">
        <v>31</v>
      </c>
      <c r="D394" t="s">
        <v>139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/>
      <c r="Z394" s="121"/>
      <c r="AA394" s="121"/>
      <c r="AB394" s="121"/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5">
      <c r="A395" t="s">
        <v>149</v>
      </c>
      <c r="B395" t="s">
        <v>150</v>
      </c>
      <c r="C395">
        <v>32</v>
      </c>
      <c r="D395" t="s">
        <v>71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/>
      <c r="Z395" s="121"/>
      <c r="AA395" s="121"/>
      <c r="AB395" s="121"/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5">
      <c r="A396" t="s">
        <v>149</v>
      </c>
      <c r="B396" t="s">
        <v>150</v>
      </c>
      <c r="C396">
        <v>33</v>
      </c>
      <c r="D396" t="s">
        <v>72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/>
      <c r="Z396" s="121"/>
      <c r="AA396" s="121"/>
      <c r="AB396" s="121"/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5">
      <c r="A397" t="s">
        <v>149</v>
      </c>
      <c r="B397" t="s">
        <v>150</v>
      </c>
      <c r="C397">
        <v>34</v>
      </c>
      <c r="D397" t="s">
        <v>73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/>
      <c r="Z397" s="121"/>
      <c r="AA397" s="121"/>
      <c r="AB397" s="121"/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5">
      <c r="A398" t="s">
        <v>149</v>
      </c>
      <c r="B398" t="s">
        <v>150</v>
      </c>
      <c r="C398">
        <v>35</v>
      </c>
      <c r="D398" t="s">
        <v>74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/>
      <c r="Z398" s="121"/>
      <c r="AA398" s="121"/>
      <c r="AB398" s="121"/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5">
      <c r="A399" t="s">
        <v>149</v>
      </c>
      <c r="B399" t="s">
        <v>150</v>
      </c>
      <c r="C399">
        <v>36</v>
      </c>
      <c r="D399" t="s">
        <v>75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/>
      <c r="Z399" s="121"/>
      <c r="AA399" s="121"/>
      <c r="AB399" s="121"/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5">
      <c r="A400" t="s">
        <v>149</v>
      </c>
      <c r="B400" t="s">
        <v>150</v>
      </c>
      <c r="C400">
        <v>37</v>
      </c>
      <c r="D400" t="s">
        <v>76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/>
      <c r="Z400" s="121"/>
      <c r="AA400" s="121"/>
      <c r="AB400" s="121"/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5">
      <c r="A401" t="s">
        <v>149</v>
      </c>
      <c r="B401" t="s">
        <v>150</v>
      </c>
      <c r="C401">
        <v>38</v>
      </c>
      <c r="D401" t="s">
        <v>77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/>
      <c r="Z401" s="121"/>
      <c r="AA401" s="121"/>
      <c r="AB401" s="121"/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5">
      <c r="A402" t="s">
        <v>149</v>
      </c>
      <c r="B402" t="s">
        <v>150</v>
      </c>
      <c r="C402">
        <v>39</v>
      </c>
      <c r="D402" t="s">
        <v>78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/>
      <c r="Z402" s="121"/>
      <c r="AA402" s="121"/>
      <c r="AB402" s="121"/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5">
      <c r="A403" t="s">
        <v>149</v>
      </c>
      <c r="B403" t="s">
        <v>150</v>
      </c>
      <c r="C403">
        <v>40</v>
      </c>
      <c r="D403" t="s">
        <v>79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/>
      <c r="Z403" s="121"/>
      <c r="AA403" s="121"/>
      <c r="AB403" s="121"/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5"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118" x14ac:dyDescent="0.25"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118" x14ac:dyDescent="0.25"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118" x14ac:dyDescent="0.25"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118" x14ac:dyDescent="0.25"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118" x14ac:dyDescent="0.25"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118" x14ac:dyDescent="0.25"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118" x14ac:dyDescent="0.25"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118" x14ac:dyDescent="0.25"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118" x14ac:dyDescent="0.25"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118" x14ac:dyDescent="0.25"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118" x14ac:dyDescent="0.25">
      <c r="I415" s="171"/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118" x14ac:dyDescent="0.25"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7:24" x14ac:dyDescent="0.25"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7:24" x14ac:dyDescent="0.25"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7:24" x14ac:dyDescent="0.25"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7:24" x14ac:dyDescent="0.25"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7:24" x14ac:dyDescent="0.25"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7:24" x14ac:dyDescent="0.25"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7:24" x14ac:dyDescent="0.25"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7:24" x14ac:dyDescent="0.25"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7:24" x14ac:dyDescent="0.25"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7:24" x14ac:dyDescent="0.25"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7:24" x14ac:dyDescent="0.25"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7:24" x14ac:dyDescent="0.25"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7:24" x14ac:dyDescent="0.25"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7:24" x14ac:dyDescent="0.25"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7:24" x14ac:dyDescent="0.25"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7:24" x14ac:dyDescent="0.25"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7:24" x14ac:dyDescent="0.25"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7:24" x14ac:dyDescent="0.25"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7:24" x14ac:dyDescent="0.25"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7:24" x14ac:dyDescent="0.25"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7:24" x14ac:dyDescent="0.25"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7:24" x14ac:dyDescent="0.25"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7:24" x14ac:dyDescent="0.25"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7:24" x14ac:dyDescent="0.25"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</row>
    <row r="441" spans="17:24" x14ac:dyDescent="0.25"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7:24" x14ac:dyDescent="0.25"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7:24" x14ac:dyDescent="0.25"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7:24" x14ac:dyDescent="0.25">
      <c r="Q444">
        <v>0</v>
      </c>
      <c r="R444">
        <v>0</v>
      </c>
      <c r="S444">
        <v>0</v>
      </c>
      <c r="T444">
        <v>0</v>
      </c>
      <c r="U444">
        <v>15000</v>
      </c>
      <c r="V444">
        <v>49969.56</v>
      </c>
      <c r="W444">
        <v>-22302</v>
      </c>
      <c r="X444">
        <v>-55959.24</v>
      </c>
    </row>
    <row r="445" spans="17:24" x14ac:dyDescent="0.25"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7:24" x14ac:dyDescent="0.25">
      <c r="Q446">
        <v>-240045</v>
      </c>
      <c r="R446">
        <v>-559798</v>
      </c>
      <c r="S446">
        <v>0</v>
      </c>
      <c r="T446">
        <v>0</v>
      </c>
      <c r="U446">
        <v>240045</v>
      </c>
      <c r="V446">
        <v>559798</v>
      </c>
      <c r="W446">
        <v>0</v>
      </c>
      <c r="X446">
        <v>0</v>
      </c>
    </row>
    <row r="447" spans="17:24" x14ac:dyDescent="0.25"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7:24" x14ac:dyDescent="0.25"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7:24" x14ac:dyDescent="0.25">
      <c r="Q449">
        <v>0</v>
      </c>
      <c r="R449">
        <v>0</v>
      </c>
      <c r="S449">
        <v>0</v>
      </c>
      <c r="T449">
        <v>0</v>
      </c>
      <c r="U449">
        <v>0</v>
      </c>
      <c r="V449">
        <v>-4084.56</v>
      </c>
      <c r="W449">
        <v>0</v>
      </c>
      <c r="X449">
        <v>0</v>
      </c>
    </row>
    <row r="450" spans="17:24" x14ac:dyDescent="0.25"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7:24" x14ac:dyDescent="0.25">
      <c r="Q451">
        <v>45986</v>
      </c>
      <c r="R451">
        <v>74751</v>
      </c>
      <c r="S451">
        <v>0</v>
      </c>
      <c r="T451">
        <v>0</v>
      </c>
      <c r="U451">
        <v>-45986</v>
      </c>
      <c r="V451">
        <v>-74751</v>
      </c>
      <c r="W451">
        <v>0</v>
      </c>
      <c r="X451">
        <v>0</v>
      </c>
    </row>
    <row r="452" spans="17:24" x14ac:dyDescent="0.25"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7:24" x14ac:dyDescent="0.25">
      <c r="Q453">
        <v>423322</v>
      </c>
      <c r="R453">
        <v>952474.5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</row>
    <row r="454" spans="17:24" x14ac:dyDescent="0.25">
      <c r="Q454">
        <v>0</v>
      </c>
      <c r="R454">
        <v>0</v>
      </c>
      <c r="S454">
        <v>1279</v>
      </c>
      <c r="T454">
        <v>2928.91</v>
      </c>
      <c r="U454">
        <v>0</v>
      </c>
      <c r="V454">
        <v>0</v>
      </c>
      <c r="W454">
        <v>0</v>
      </c>
      <c r="X454">
        <v>0</v>
      </c>
    </row>
    <row r="455" spans="17:24" x14ac:dyDescent="0.25">
      <c r="Q455">
        <v>0</v>
      </c>
      <c r="R455">
        <v>0</v>
      </c>
      <c r="S455">
        <v>0</v>
      </c>
      <c r="T455">
        <v>0</v>
      </c>
      <c r="U455">
        <v>-15689</v>
      </c>
      <c r="V455">
        <v>-36809.07</v>
      </c>
      <c r="W455">
        <v>0</v>
      </c>
      <c r="X455">
        <v>0</v>
      </c>
    </row>
    <row r="456" spans="17:24" x14ac:dyDescent="0.25">
      <c r="Q456">
        <v>0</v>
      </c>
      <c r="R456">
        <v>0</v>
      </c>
      <c r="S456">
        <v>-1279</v>
      </c>
      <c r="T456">
        <v>-2877.75</v>
      </c>
      <c r="U456">
        <v>689</v>
      </c>
      <c r="V456">
        <v>1550.25</v>
      </c>
      <c r="W456">
        <v>-744</v>
      </c>
      <c r="X456">
        <v>-1674</v>
      </c>
    </row>
    <row r="457" spans="17:24" x14ac:dyDescent="0.25"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7:24" x14ac:dyDescent="0.25"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7:24" x14ac:dyDescent="0.25"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7:24" x14ac:dyDescent="0.25"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-341000</v>
      </c>
      <c r="X460">
        <v>-780890</v>
      </c>
    </row>
    <row r="461" spans="17:24" x14ac:dyDescent="0.25"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364046</v>
      </c>
      <c r="X461">
        <v>837670.97</v>
      </c>
    </row>
    <row r="462" spans="17:24" x14ac:dyDescent="0.25"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7:24" x14ac:dyDescent="0.25"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7:24" x14ac:dyDescent="0.25"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7:24" x14ac:dyDescent="0.25">
      <c r="Q465">
        <v>-229263</v>
      </c>
      <c r="R465">
        <v>-515841.75</v>
      </c>
      <c r="S465">
        <v>0</v>
      </c>
      <c r="T465">
        <v>0</v>
      </c>
      <c r="U465">
        <v>-194059</v>
      </c>
      <c r="V465">
        <v>-436632.75</v>
      </c>
      <c r="W465">
        <v>0</v>
      </c>
      <c r="X465">
        <v>0</v>
      </c>
    </row>
    <row r="466" spans="17:24" x14ac:dyDescent="0.25">
      <c r="Q466">
        <v>-423322</v>
      </c>
      <c r="R466">
        <v>-952474.5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</row>
    <row r="467" spans="17:24" x14ac:dyDescent="0.25">
      <c r="Q467">
        <v>-4878</v>
      </c>
      <c r="R467">
        <v>-975.6</v>
      </c>
      <c r="S467">
        <v>89682</v>
      </c>
      <c r="T467">
        <v>1793.64</v>
      </c>
      <c r="U467">
        <v>-187185</v>
      </c>
      <c r="V467">
        <v>-1799.14</v>
      </c>
      <c r="W467">
        <v>744</v>
      </c>
      <c r="X467">
        <v>4014.36</v>
      </c>
    </row>
    <row r="468" spans="17:24" x14ac:dyDescent="0.25">
      <c r="Q468">
        <v>0</v>
      </c>
      <c r="R468">
        <v>93300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7:24" x14ac:dyDescent="0.25"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7:24" x14ac:dyDescent="0.25"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7:24" x14ac:dyDescent="0.25"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23.42</v>
      </c>
    </row>
    <row r="472" spans="17:24" x14ac:dyDescent="0.25"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7:24" x14ac:dyDescent="0.25"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7:24" x14ac:dyDescent="0.25"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7:24" x14ac:dyDescent="0.25"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7:24" x14ac:dyDescent="0.25"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7:24" x14ac:dyDescent="0.25"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7:24" x14ac:dyDescent="0.25"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7:24" x14ac:dyDescent="0.25"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7:24" x14ac:dyDescent="0.25"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7:24" x14ac:dyDescent="0.25"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7:24" x14ac:dyDescent="0.25"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7:24" x14ac:dyDescent="0.25"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7:24" x14ac:dyDescent="0.25"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7:24" x14ac:dyDescent="0.25"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7:24" x14ac:dyDescent="0.25">
      <c r="Q486">
        <v>419706</v>
      </c>
      <c r="R486">
        <v>923702</v>
      </c>
      <c r="S486">
        <v>0</v>
      </c>
      <c r="T486">
        <v>0</v>
      </c>
      <c r="U486">
        <v>-419706</v>
      </c>
      <c r="V486">
        <v>-923702</v>
      </c>
      <c r="W486">
        <v>0</v>
      </c>
      <c r="X486">
        <v>0</v>
      </c>
    </row>
    <row r="487" spans="17:24" x14ac:dyDescent="0.25"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7:24" x14ac:dyDescent="0.25">
      <c r="Q488">
        <v>0</v>
      </c>
      <c r="R488">
        <v>0</v>
      </c>
      <c r="S488">
        <v>0</v>
      </c>
      <c r="T488">
        <v>0</v>
      </c>
      <c r="U488">
        <v>0</v>
      </c>
      <c r="V488">
        <v>462162</v>
      </c>
      <c r="W488">
        <v>0</v>
      </c>
      <c r="X488">
        <v>0</v>
      </c>
    </row>
    <row r="489" spans="17:24" x14ac:dyDescent="0.25"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7:24" x14ac:dyDescent="0.25"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7:24" x14ac:dyDescent="0.25">
      <c r="Q491">
        <v>-1563806</v>
      </c>
      <c r="R491">
        <v>-3433799</v>
      </c>
      <c r="S491">
        <v>0</v>
      </c>
      <c r="T491">
        <v>0</v>
      </c>
      <c r="U491">
        <v>1563806</v>
      </c>
      <c r="V491">
        <v>3433799</v>
      </c>
      <c r="W491">
        <v>0</v>
      </c>
      <c r="X491">
        <v>0</v>
      </c>
    </row>
    <row r="492" spans="17:24" x14ac:dyDescent="0.25"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7:24" x14ac:dyDescent="0.25"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</row>
    <row r="494" spans="17:24" x14ac:dyDescent="0.25"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</row>
    <row r="495" spans="17:24" x14ac:dyDescent="0.25"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7:24" x14ac:dyDescent="0.25"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7:24" x14ac:dyDescent="0.25"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7:24" x14ac:dyDescent="0.25"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7:24" x14ac:dyDescent="0.25"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</row>
    <row r="500" spans="17:24" x14ac:dyDescent="0.25"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</row>
    <row r="501" spans="17:24" x14ac:dyDescent="0.25"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</row>
    <row r="502" spans="17:24" x14ac:dyDescent="0.25"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</row>
    <row r="503" spans="17:24" x14ac:dyDescent="0.25"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</row>
    <row r="504" spans="17:24" x14ac:dyDescent="0.25"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7:24" x14ac:dyDescent="0.25">
      <c r="Q505">
        <v>1144100</v>
      </c>
      <c r="R505">
        <v>2387736.7000000002</v>
      </c>
      <c r="S505">
        <v>0</v>
      </c>
      <c r="T505">
        <v>0</v>
      </c>
      <c r="U505">
        <v>-1144100</v>
      </c>
      <c r="V505">
        <v>-2387736.7000000002</v>
      </c>
      <c r="W505">
        <v>0</v>
      </c>
      <c r="X505">
        <v>0</v>
      </c>
    </row>
    <row r="506" spans="17:24" x14ac:dyDescent="0.25"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</row>
    <row r="507" spans="17:24" x14ac:dyDescent="0.25">
      <c r="Q507">
        <v>0</v>
      </c>
      <c r="R507">
        <v>0</v>
      </c>
      <c r="S507">
        <v>0</v>
      </c>
      <c r="T507">
        <v>1682.55</v>
      </c>
      <c r="U507">
        <v>0</v>
      </c>
      <c r="V507">
        <v>0</v>
      </c>
      <c r="W507">
        <v>0</v>
      </c>
      <c r="X507">
        <v>0</v>
      </c>
    </row>
    <row r="508" spans="17:24" x14ac:dyDescent="0.25">
      <c r="Q508">
        <v>0</v>
      </c>
      <c r="R508">
        <v>0</v>
      </c>
      <c r="S508">
        <v>23032</v>
      </c>
      <c r="T508">
        <v>-7478.8</v>
      </c>
      <c r="U508">
        <v>0</v>
      </c>
      <c r="V508">
        <v>0</v>
      </c>
      <c r="W508">
        <v>0</v>
      </c>
      <c r="X508">
        <v>0</v>
      </c>
    </row>
    <row r="509" spans="17:24" x14ac:dyDescent="0.25"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</row>
    <row r="510" spans="17:24" x14ac:dyDescent="0.25"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7:24" x14ac:dyDescent="0.25"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</row>
    <row r="512" spans="17:24" x14ac:dyDescent="0.25"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7:24" x14ac:dyDescent="0.25"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7:24" x14ac:dyDescent="0.25"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</row>
    <row r="515" spans="17:24" x14ac:dyDescent="0.25"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</row>
    <row r="516" spans="17:24" x14ac:dyDescent="0.25"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7:24" x14ac:dyDescent="0.25"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</row>
    <row r="518" spans="17:24" x14ac:dyDescent="0.25"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7:24" x14ac:dyDescent="0.25"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7:24" x14ac:dyDescent="0.25"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</row>
    <row r="521" spans="17:24" x14ac:dyDescent="0.25"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</row>
    <row r="522" spans="17:24" x14ac:dyDescent="0.25"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</row>
    <row r="523" spans="17:24" x14ac:dyDescent="0.25"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7:24" x14ac:dyDescent="0.25"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7:24" x14ac:dyDescent="0.25"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7:24" x14ac:dyDescent="0.25"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</row>
    <row r="527" spans="17:24" x14ac:dyDescent="0.25"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7:24" x14ac:dyDescent="0.25"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</row>
    <row r="529" spans="17:24" x14ac:dyDescent="0.25"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7:24" x14ac:dyDescent="0.25"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7:24" x14ac:dyDescent="0.25"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7:24" x14ac:dyDescent="0.25"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7:24" x14ac:dyDescent="0.25"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7:24" x14ac:dyDescent="0.25"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7:24" x14ac:dyDescent="0.25"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7:24" x14ac:dyDescent="0.25"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7:24" x14ac:dyDescent="0.25"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7:24" x14ac:dyDescent="0.25"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7:24" x14ac:dyDescent="0.25"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7:24" x14ac:dyDescent="0.25"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7:24" x14ac:dyDescent="0.25"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7:24" x14ac:dyDescent="0.25"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7:24" x14ac:dyDescent="0.25"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7:24" x14ac:dyDescent="0.25"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7:24" x14ac:dyDescent="0.25"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</row>
    <row r="546" spans="17:24" x14ac:dyDescent="0.25"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7:24" x14ac:dyDescent="0.25"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7:24" x14ac:dyDescent="0.25"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7:24" x14ac:dyDescent="0.25"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</row>
    <row r="550" spans="17:24" x14ac:dyDescent="0.25"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</row>
    <row r="551" spans="17:24" x14ac:dyDescent="0.25"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7:24" x14ac:dyDescent="0.25"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7:24" x14ac:dyDescent="0.25"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7:24" x14ac:dyDescent="0.25"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7:24" x14ac:dyDescent="0.25"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</row>
    <row r="556" spans="17:24" x14ac:dyDescent="0.25"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</row>
    <row r="557" spans="17:24" x14ac:dyDescent="0.25"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</row>
    <row r="558" spans="17:24" x14ac:dyDescent="0.25"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7:24" x14ac:dyDescent="0.25"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7:24" x14ac:dyDescent="0.25"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7:24" x14ac:dyDescent="0.25"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</row>
    <row r="562" spans="17:24" x14ac:dyDescent="0.25"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</row>
    <row r="563" spans="17:24" x14ac:dyDescent="0.25"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</row>
    <row r="564" spans="17:24" x14ac:dyDescent="0.25"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7:24" x14ac:dyDescent="0.25"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</row>
    <row r="566" spans="17:24" x14ac:dyDescent="0.25"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7:24" x14ac:dyDescent="0.25"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7:24" x14ac:dyDescent="0.25"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7:24" x14ac:dyDescent="0.25"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7:24" x14ac:dyDescent="0.25"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7:24" x14ac:dyDescent="0.25"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7:24" x14ac:dyDescent="0.25"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7:24" x14ac:dyDescent="0.25"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</row>
    <row r="574" spans="17:24" x14ac:dyDescent="0.25"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7:24" x14ac:dyDescent="0.25"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</row>
    <row r="576" spans="17:24" x14ac:dyDescent="0.25"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</row>
    <row r="577" spans="17:24" x14ac:dyDescent="0.25"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7:24" x14ac:dyDescent="0.25"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7:24" x14ac:dyDescent="0.25"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7:24" x14ac:dyDescent="0.25"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7:24" x14ac:dyDescent="0.25"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</row>
    <row r="582" spans="17:24" x14ac:dyDescent="0.25"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7:24" x14ac:dyDescent="0.25"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7:24" x14ac:dyDescent="0.25"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7:24" x14ac:dyDescent="0.25"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7:24" x14ac:dyDescent="0.25"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7:24" x14ac:dyDescent="0.25"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7:24" x14ac:dyDescent="0.25"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7:24" x14ac:dyDescent="0.25"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7:24" x14ac:dyDescent="0.25"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</row>
    <row r="591" spans="17:24" x14ac:dyDescent="0.25"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</row>
    <row r="592" spans="17:24" x14ac:dyDescent="0.25"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</row>
    <row r="593" spans="17:24" x14ac:dyDescent="0.25"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7:24" x14ac:dyDescent="0.25"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7:24" x14ac:dyDescent="0.25"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7:24" x14ac:dyDescent="0.25"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7:24" x14ac:dyDescent="0.25"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</row>
    <row r="598" spans="17:24" x14ac:dyDescent="0.25"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7:24" x14ac:dyDescent="0.25"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7:24" x14ac:dyDescent="0.25"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7:24" x14ac:dyDescent="0.25"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7:24" x14ac:dyDescent="0.25"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7:24" x14ac:dyDescent="0.25"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</row>
    <row r="637" spans="4:31" x14ac:dyDescent="0.25">
      <c r="F637" s="215">
        <v>36342</v>
      </c>
      <c r="G637" s="216"/>
      <c r="H637" s="217">
        <f>+F637+31</f>
        <v>36373</v>
      </c>
      <c r="I637" s="218"/>
      <c r="J637" s="219">
        <f>+H637+31</f>
        <v>36404</v>
      </c>
      <c r="K637" s="220"/>
      <c r="L637" s="219">
        <f>+J637+31</f>
        <v>36435</v>
      </c>
      <c r="M637" s="220"/>
      <c r="N637" s="219">
        <f>+L637+31</f>
        <v>36466</v>
      </c>
      <c r="O637" s="220"/>
      <c r="P637" s="219">
        <f>+N637+31</f>
        <v>36497</v>
      </c>
      <c r="Q637" s="220"/>
      <c r="R637" s="219">
        <f>+P637+31</f>
        <v>36528</v>
      </c>
      <c r="S637" s="220"/>
      <c r="T637" s="219">
        <f>+R637+31</f>
        <v>36559</v>
      </c>
      <c r="U637" s="220"/>
      <c r="V637" s="219">
        <f>+T637+31</f>
        <v>36590</v>
      </c>
      <c r="W637" s="220"/>
      <c r="X637" s="219">
        <f>+V637+31</f>
        <v>36621</v>
      </c>
      <c r="Y637" s="220"/>
      <c r="Z637" s="219">
        <f>+X637+31</f>
        <v>36652</v>
      </c>
      <c r="AA637" s="220"/>
      <c r="AB637" s="219">
        <f>+Z637+31</f>
        <v>36683</v>
      </c>
      <c r="AC637" s="220"/>
      <c r="AD637" s="221"/>
      <c r="AE637" s="221"/>
    </row>
    <row r="638" spans="4:31" x14ac:dyDescent="0.25">
      <c r="F638" s="134" t="s">
        <v>23</v>
      </c>
      <c r="G638" s="172" t="s">
        <v>151</v>
      </c>
      <c r="H638" s="134" t="s">
        <v>23</v>
      </c>
      <c r="I638" s="172" t="s">
        <v>151</v>
      </c>
      <c r="J638" s="134" t="s">
        <v>23</v>
      </c>
      <c r="K638" s="134" t="s">
        <v>151</v>
      </c>
      <c r="L638" s="134" t="s">
        <v>23</v>
      </c>
      <c r="M638" s="134" t="s">
        <v>151</v>
      </c>
      <c r="N638" s="134" t="s">
        <v>23</v>
      </c>
      <c r="O638" s="134" t="s">
        <v>151</v>
      </c>
      <c r="P638" s="134" t="s">
        <v>23</v>
      </c>
      <c r="Q638" s="134" t="s">
        <v>151</v>
      </c>
      <c r="R638" s="134" t="s">
        <v>23</v>
      </c>
      <c r="S638" s="134" t="s">
        <v>151</v>
      </c>
      <c r="T638" s="134" t="s">
        <v>23</v>
      </c>
      <c r="U638" s="134" t="s">
        <v>151</v>
      </c>
      <c r="V638" s="134" t="s">
        <v>23</v>
      </c>
      <c r="W638" s="134" t="s">
        <v>151</v>
      </c>
      <c r="X638" s="134" t="s">
        <v>23</v>
      </c>
      <c r="Y638" s="134" t="s">
        <v>151</v>
      </c>
      <c r="Z638" s="134" t="s">
        <v>23</v>
      </c>
      <c r="AA638" s="134" t="s">
        <v>151</v>
      </c>
      <c r="AB638" s="134" t="s">
        <v>23</v>
      </c>
      <c r="AC638" s="134" t="s">
        <v>151</v>
      </c>
      <c r="AD638" s="127"/>
      <c r="AE638" s="127"/>
    </row>
    <row r="639" spans="4:31" x14ac:dyDescent="0.25">
      <c r="D639" s="135" t="s">
        <v>115</v>
      </c>
      <c r="E639" s="136"/>
      <c r="F639" s="137">
        <f>BUG_GL!H82</f>
        <v>0</v>
      </c>
      <c r="G639" s="138">
        <f>BUG_GL!I82</f>
        <v>5086031</v>
      </c>
      <c r="H639" s="137">
        <f>BUG_GL!J82</f>
        <v>0</v>
      </c>
      <c r="I639" s="138">
        <f>BUG_GL!K82</f>
        <v>2811712</v>
      </c>
      <c r="J639" s="137">
        <f>BUG_GL!L82</f>
        <v>0</v>
      </c>
      <c r="K639" s="138">
        <f>BUG_GL!M82</f>
        <v>-942657.2</v>
      </c>
      <c r="L639" s="137">
        <f>BUG_GL!N82</f>
        <v>0</v>
      </c>
      <c r="M639" s="210">
        <f>BUG_GL!O82</f>
        <v>-1623071</v>
      </c>
      <c r="N639" s="137">
        <f>BUG_GL!P82</f>
        <v>0</v>
      </c>
      <c r="O639" s="137">
        <f>BUG_GL!Q82</f>
        <v>-333747</v>
      </c>
      <c r="P639" s="137">
        <f>BUG_GL!R82</f>
        <v>0</v>
      </c>
      <c r="Q639" s="138">
        <f>BUG_GL!S82</f>
        <v>284842</v>
      </c>
      <c r="R639" s="137">
        <f>BUG_GL!T82</f>
        <v>0</v>
      </c>
      <c r="S639" s="138">
        <f>BUG_GL!U82</f>
        <v>-269391.74999999988</v>
      </c>
      <c r="T639" s="137">
        <f>BUG_GL!V82</f>
        <v>0</v>
      </c>
      <c r="U639" s="138">
        <f>BUG_GL!W82</f>
        <v>-1115812.335</v>
      </c>
      <c r="V639" s="137">
        <f>BUG_GL!X82</f>
        <v>0</v>
      </c>
      <c r="W639" s="138">
        <f>BUG_GL!Y82</f>
        <v>-1530.4999999999968</v>
      </c>
      <c r="X639" s="137">
        <f>BUG_GL!Z82</f>
        <v>0</v>
      </c>
      <c r="Y639" s="138">
        <f>BUG_GL!AA82</f>
        <v>133.71000000000004</v>
      </c>
      <c r="Z639" s="137">
        <f>BUG_GL!AB82</f>
        <v>0</v>
      </c>
      <c r="AA639" s="137">
        <f>BUG_GL!AC82</f>
        <v>0</v>
      </c>
      <c r="AB639" s="137">
        <f>BUG_GL!AD82</f>
        <v>0</v>
      </c>
      <c r="AC639" s="139">
        <f>BUG_GL!AE82</f>
        <v>0</v>
      </c>
      <c r="AD639" s="128"/>
      <c r="AE639" s="128"/>
    </row>
    <row r="640" spans="4:31" x14ac:dyDescent="0.25">
      <c r="D640" s="135" t="s">
        <v>143</v>
      </c>
      <c r="E640" s="136"/>
      <c r="F640" s="137">
        <f>CE_GL!H82</f>
        <v>0</v>
      </c>
      <c r="G640" s="202">
        <f>CE_GL!I82</f>
        <v>4421609.683999991</v>
      </c>
      <c r="H640" s="137">
        <f>CE_GL!J82</f>
        <v>0</v>
      </c>
      <c r="I640" s="138">
        <f>CE_GL!K82</f>
        <v>2814753.196</v>
      </c>
      <c r="J640" s="137">
        <f>CE_GL!L82</f>
        <v>0</v>
      </c>
      <c r="K640" s="138">
        <f>CE_GL!M82</f>
        <v>1021431.6520000001</v>
      </c>
      <c r="L640" s="137">
        <f>CE_GL!N82</f>
        <v>0</v>
      </c>
      <c r="M640" s="210">
        <f>CE_GL!O82</f>
        <v>-2227873.8800000004</v>
      </c>
      <c r="N640" s="137">
        <f>CE_GL!P82</f>
        <v>0</v>
      </c>
      <c r="O640" s="138">
        <f>CE_GL!Q82</f>
        <v>26907.406000000607</v>
      </c>
      <c r="P640" s="137">
        <f>CE_GL!R82</f>
        <v>0</v>
      </c>
      <c r="Q640" s="138">
        <f>CE_GL!S82</f>
        <v>64689.061999999285</v>
      </c>
      <c r="R640" s="137">
        <f>CE_GL!T82</f>
        <v>0</v>
      </c>
      <c r="S640" s="138">
        <f>CE_GL!U82</f>
        <v>291785.13600000012</v>
      </c>
      <c r="T640" s="137">
        <f>CE_GL!V82</f>
        <v>0</v>
      </c>
      <c r="U640" s="138">
        <f>CE_GL!W82</f>
        <v>-7738.39</v>
      </c>
      <c r="V640" s="137">
        <f>CE_GL!X82</f>
        <v>0</v>
      </c>
      <c r="W640" s="138">
        <f>CE_GL!Y82</f>
        <v>-206730.04399999979</v>
      </c>
      <c r="X640" s="137">
        <f>CE_GL!Z82</f>
        <v>0</v>
      </c>
      <c r="Y640" s="138">
        <f>CE_GL!AA82</f>
        <v>16093.29</v>
      </c>
      <c r="Z640" s="137">
        <f>CE_GL!AB82</f>
        <v>0</v>
      </c>
      <c r="AA640" s="137">
        <f>CE_GL!AC82</f>
        <v>0</v>
      </c>
      <c r="AB640" s="137">
        <f>CE_GL!AD82</f>
        <v>0</v>
      </c>
      <c r="AC640" s="139">
        <f>CE_GL!AE82</f>
        <v>0</v>
      </c>
    </row>
    <row r="641" spans="4:31" x14ac:dyDescent="0.25">
      <c r="D641" s="135" t="s">
        <v>144</v>
      </c>
      <c r="E641" s="136"/>
      <c r="F641" s="137">
        <f>+'EAST-EGM-GL'!H82</f>
        <v>0</v>
      </c>
      <c r="G641" s="138">
        <f>+'EAST-EGM-GL'!I82</f>
        <v>-13388490.264999993</v>
      </c>
      <c r="H641" s="137">
        <f>+'EAST-EGM-GL'!J82</f>
        <v>0</v>
      </c>
      <c r="I641" s="138">
        <f>+'EAST-EGM-GL'!K82</f>
        <v>-14095723.388000002</v>
      </c>
      <c r="J641" s="137">
        <f>+'EAST-EGM-GL'!L82</f>
        <v>0</v>
      </c>
      <c r="K641" s="138">
        <f>+'EAST-EGM-GL'!M82</f>
        <v>19613516.814999994</v>
      </c>
      <c r="L641" s="137">
        <f>+'EAST-EGM-GL'!N82</f>
        <v>0</v>
      </c>
      <c r="M641" s="138">
        <f>+'EAST-EGM-GL'!O82</f>
        <v>7462998.7649999987</v>
      </c>
      <c r="N641" s="137">
        <f>+'EAST-EGM-GL'!P82</f>
        <v>0</v>
      </c>
      <c r="O641" s="138">
        <f>+'EAST-EGM-GL'!Q82</f>
        <v>-3146912.0279999962</v>
      </c>
      <c r="P641" s="137">
        <f>+'EAST-EGM-GL'!R82</f>
        <v>0</v>
      </c>
      <c r="Q641" s="138">
        <f>+'EAST-EGM-GL'!S82</f>
        <v>-450577.38499999815</v>
      </c>
      <c r="R641" s="137">
        <f>+'EAST-EGM-GL'!T82</f>
        <v>0</v>
      </c>
      <c r="S641" s="137">
        <f>+'EAST-EGM-GL'!U82</f>
        <v>406307.60499999829</v>
      </c>
      <c r="T641" s="137">
        <f>+'EAST-EGM-GL'!V82</f>
        <v>0</v>
      </c>
      <c r="U641" s="138">
        <f>+'EAST-EGM-GL'!W82</f>
        <v>705590.07000000007</v>
      </c>
      <c r="V641" s="137">
        <f>+'EAST-EGM-GL'!X82</f>
        <v>0</v>
      </c>
      <c r="W641" s="138">
        <f>+'EAST-EGM-GL'!Y82</f>
        <v>852823.01500000176</v>
      </c>
      <c r="X641" s="137">
        <f>+'EAST-EGM-GL'!Z82</f>
        <v>0</v>
      </c>
      <c r="Y641" s="138">
        <f>+'EAST-EGM-GL'!AA82</f>
        <v>-366.15500000000065</v>
      </c>
      <c r="Z641" s="137">
        <f>+'EAST-EGM-GL'!AB82</f>
        <v>0</v>
      </c>
      <c r="AA641" s="137">
        <f>+'EAST-EGM-GL'!AC82</f>
        <v>0</v>
      </c>
      <c r="AB641" s="137">
        <f>+'EAST-EGM-GL'!AD82</f>
        <v>0</v>
      </c>
      <c r="AC641" s="139">
        <f>+'EAST-EGM-GL'!AE82</f>
        <v>0</v>
      </c>
      <c r="AD641" s="14"/>
      <c r="AE641" s="14"/>
    </row>
    <row r="642" spans="4:31" x14ac:dyDescent="0.25">
      <c r="D642" s="135" t="s">
        <v>152</v>
      </c>
      <c r="E642" s="136"/>
      <c r="F642" s="137">
        <f>+'EAST-LRC-GL'!H82</f>
        <v>0</v>
      </c>
      <c r="G642" s="138">
        <f>+'EAST-LRC-GL'!I82</f>
        <v>555323.95000000356</v>
      </c>
      <c r="H642" s="137">
        <f>+'EAST-LRC-GL'!J82</f>
        <v>0</v>
      </c>
      <c r="I642" s="138">
        <f>+'EAST-LRC-GL'!K82</f>
        <v>237682.65500000012</v>
      </c>
      <c r="J642" s="137">
        <f>+'EAST-LRC-GL'!L82</f>
        <v>0</v>
      </c>
      <c r="K642" s="138">
        <f>+'EAST-LRC-GL'!M82</f>
        <v>-341956.15100000001</v>
      </c>
      <c r="L642" s="137">
        <f>+'EAST-LRC-GL'!N82</f>
        <v>0</v>
      </c>
      <c r="M642" s="138">
        <f>+'EAST-LRC-GL'!O82</f>
        <v>-33220.602999999981</v>
      </c>
      <c r="N642" s="137">
        <f>+'EAST-LRC-GL'!P82</f>
        <v>0</v>
      </c>
      <c r="O642" s="138">
        <f>+'EAST-LRC-GL'!Q82</f>
        <v>24249.109000000026</v>
      </c>
      <c r="P642" s="137">
        <f>+'EAST-LRC-GL'!R82</f>
        <v>0</v>
      </c>
      <c r="Q642" s="138">
        <f>+'EAST-LRC-GL'!S82</f>
        <v>6943.204999999969</v>
      </c>
      <c r="R642" s="137">
        <f>+'EAST-LRC-GL'!T82</f>
        <v>0</v>
      </c>
      <c r="S642" s="137">
        <f>+'EAST-LRC-GL'!U82</f>
        <v>-1231.2150000000181</v>
      </c>
      <c r="T642" s="137">
        <f>+'EAST-LRC-GL'!V82</f>
        <v>0</v>
      </c>
      <c r="U642" s="138">
        <f>+'EAST-LRC-GL'!W82</f>
        <v>-85172.865000000005</v>
      </c>
      <c r="V642" s="137">
        <f>+'EAST-LRC-GL'!X82</f>
        <v>0</v>
      </c>
      <c r="W642" s="138">
        <f>+'EAST-LRC-GL'!Y82</f>
        <v>82190.329999999973</v>
      </c>
      <c r="X642" s="137">
        <f>+'EAST-LRC-GL'!Z82</f>
        <v>0</v>
      </c>
      <c r="Y642" s="138">
        <f>+'EAST-LRC-GL'!AA82</f>
        <v>-5469.6349999999939</v>
      </c>
      <c r="Z642" s="137">
        <f>+'EAST-LRC-GL'!AB82</f>
        <v>0</v>
      </c>
      <c r="AA642" s="137">
        <f>+'EAST-LRC-GL'!AC82</f>
        <v>0</v>
      </c>
      <c r="AB642" s="137">
        <f>+'EAST-LRC-GL'!AD82</f>
        <v>0</v>
      </c>
      <c r="AC642" s="139">
        <f>+'EAST-LRC-GL'!AE82</f>
        <v>0</v>
      </c>
      <c r="AD642" s="14"/>
      <c r="AE642" s="14"/>
    </row>
    <row r="643" spans="4:31" x14ac:dyDescent="0.25">
      <c r="D643" s="135" t="s">
        <v>153</v>
      </c>
      <c r="E643" s="136"/>
      <c r="F643" s="137">
        <f>+'BGC-EGM-GL'!H82</f>
        <v>0</v>
      </c>
      <c r="G643" s="164">
        <f>+'BGC-EGM-GL'!I82</f>
        <v>0</v>
      </c>
      <c r="H643" s="137">
        <f>+'BGC-EGM-GL'!J82</f>
        <v>0</v>
      </c>
      <c r="I643" s="138">
        <f>+'BGC-EGM-GL'!K82</f>
        <v>0</v>
      </c>
      <c r="J643" s="137">
        <f>+'BGC-EGM-GL'!L82</f>
        <v>0</v>
      </c>
      <c r="K643" s="138">
        <f>+'BGC-EGM-GL'!M82</f>
        <v>0</v>
      </c>
      <c r="L643" s="137">
        <f>+'BGC-EGM-GL'!N82</f>
        <v>0</v>
      </c>
      <c r="M643" s="138">
        <f>+'BGC-EGM-GL'!O82</f>
        <v>0</v>
      </c>
      <c r="N643" s="137">
        <f>+'BGC-EGM-GL'!P82</f>
        <v>0</v>
      </c>
      <c r="O643" s="137">
        <f>+'BGC-EGM-GL'!Q82</f>
        <v>0</v>
      </c>
      <c r="P643" s="137">
        <f>+'BGC-EGM-GL'!R82</f>
        <v>0</v>
      </c>
      <c r="Q643" s="138">
        <f>+'BGC-EGM-GL'!S82</f>
        <v>0</v>
      </c>
      <c r="R643" s="137">
        <f>+'BGC-EGM-GL'!T82</f>
        <v>0</v>
      </c>
      <c r="S643" s="137">
        <f>+'BGC-EGM-GL'!U82</f>
        <v>0</v>
      </c>
      <c r="T643" s="137">
        <f>+'BGC-EGM-GL'!V82</f>
        <v>0</v>
      </c>
      <c r="U643" s="137">
        <f>+'BGC-EGM-GL'!W82</f>
        <v>0</v>
      </c>
      <c r="V643" s="137">
        <f>+'BGC-EGM-GL'!X82</f>
        <v>0</v>
      </c>
      <c r="W643" s="137">
        <f>+'BGC-EGM-GL'!Y82</f>
        <v>0</v>
      </c>
      <c r="X643" s="137">
        <f>+'BGC-EGM-GL'!Z82</f>
        <v>0</v>
      </c>
      <c r="Y643" s="137">
        <f>+'BGC-EGM-GL'!AA82</f>
        <v>0</v>
      </c>
      <c r="Z643" s="137">
        <f>+'BGC-EGM-GL'!AB82</f>
        <v>0</v>
      </c>
      <c r="AA643" s="137">
        <f>+'BGC-EGM-GL'!AC82</f>
        <v>0</v>
      </c>
      <c r="AB643" s="137">
        <f>+'BGC-EGM-GL'!AD82</f>
        <v>0</v>
      </c>
      <c r="AC643" s="139">
        <f>+'BGC-EGM-GL'!AE82</f>
        <v>0</v>
      </c>
      <c r="AD643" s="14"/>
      <c r="AE643" s="14"/>
    </row>
    <row r="644" spans="4:31" x14ac:dyDescent="0.25">
      <c r="D644" s="135" t="s">
        <v>154</v>
      </c>
      <c r="E644" s="136"/>
      <c r="F644" s="137">
        <f>+'EAST-CON-GL '!H82</f>
        <v>0</v>
      </c>
      <c r="G644" s="138">
        <f>+'EAST-CON-GL '!I82</f>
        <v>-12833166.314999975</v>
      </c>
      <c r="H644" s="137">
        <f>+'EAST-CON-GL '!J82</f>
        <v>0</v>
      </c>
      <c r="I644" s="138">
        <f>+'EAST-CON-GL '!K82</f>
        <v>-13858040.732999997</v>
      </c>
      <c r="J644" s="137">
        <f>+'EAST-CON-GL '!L82</f>
        <v>0</v>
      </c>
      <c r="K644" s="138">
        <f>+'EAST-CON-GL '!M82</f>
        <v>19271560.683999997</v>
      </c>
      <c r="L644" s="137">
        <f>+'EAST-CON-GL '!N82</f>
        <v>0</v>
      </c>
      <c r="M644" s="138">
        <f>+'EAST-CON-GL '!O82</f>
        <v>7429778.1620000005</v>
      </c>
      <c r="N644" s="137">
        <f>+'EAST-CON-GL '!P82</f>
        <v>0</v>
      </c>
      <c r="O644" s="137">
        <f>+'EAST-CON-GL '!Q82</f>
        <v>-3122662.9289999986</v>
      </c>
      <c r="P644" s="137">
        <f>+'EAST-CON-GL '!R82</f>
        <v>0</v>
      </c>
      <c r="Q644" s="138">
        <f>+'EAST-CON-GL '!S82</f>
        <v>-443634.17999999959</v>
      </c>
      <c r="R644" s="137">
        <f>+'EAST-CON-GL '!T82</f>
        <v>0</v>
      </c>
      <c r="S644" s="137">
        <f>+'EAST-CON-GL '!U82</f>
        <v>405076.3999999988</v>
      </c>
      <c r="T644" s="137">
        <f>+'EAST-CON-GL '!V82</f>
        <v>0</v>
      </c>
      <c r="U644" s="137">
        <f>+'EAST-CON-GL '!W82</f>
        <v>620417.20499999996</v>
      </c>
      <c r="V644" s="137">
        <f>+'EAST-CON-GL '!X82</f>
        <v>0</v>
      </c>
      <c r="W644" s="138">
        <f>+'EAST-CON-GL '!Y82</f>
        <v>935013.3349999974</v>
      </c>
      <c r="X644" s="137">
        <f>+'EAST-CON-GL '!Z82</f>
        <v>0</v>
      </c>
      <c r="Y644" s="137">
        <f>+'EAST-CON-GL '!AA82</f>
        <v>-5835.7899999999927</v>
      </c>
      <c r="Z644" s="137">
        <f>+'EAST-CON-GL '!AB82</f>
        <v>0</v>
      </c>
      <c r="AA644" s="137">
        <f>+'EAST-CON-GL '!AC82</f>
        <v>0</v>
      </c>
      <c r="AB644" s="137">
        <f>+'EAST-CON-GL '!AD82</f>
        <v>0</v>
      </c>
      <c r="AC644" s="139">
        <f>+'EAST-CON-GL '!AE82</f>
        <v>0</v>
      </c>
      <c r="AD644" s="14"/>
      <c r="AE644" s="14"/>
    </row>
    <row r="645" spans="4:31" x14ac:dyDescent="0.25">
      <c r="D645" s="135" t="s">
        <v>155</v>
      </c>
      <c r="E645" s="136"/>
      <c r="F645" s="137">
        <f>+'TX-EGM-GL'!H82</f>
        <v>0</v>
      </c>
      <c r="G645" s="138">
        <f>+'TX-EGM-GL'!I82</f>
        <v>3240533.34</v>
      </c>
      <c r="H645" s="137">
        <f>+'TX-EGM-GL'!J82</f>
        <v>0</v>
      </c>
      <c r="I645" s="138">
        <f>+'TX-EGM-GL'!K91</f>
        <v>2693849.1090000016</v>
      </c>
      <c r="J645" s="137">
        <f>+'TX-EGM-GL'!L82</f>
        <v>0</v>
      </c>
      <c r="K645" s="138">
        <f>+'TX-EGM-GL'!M82</f>
        <v>-5645718.4100000001</v>
      </c>
      <c r="L645" s="137">
        <f>+'TX-EGM-GL'!N82</f>
        <v>0</v>
      </c>
      <c r="M645" s="138">
        <f>+'TX-EGM-GL'!O82</f>
        <v>225227.22000000003</v>
      </c>
      <c r="N645" s="137">
        <f>+'TX-EGM-GL'!P82</f>
        <v>0</v>
      </c>
      <c r="O645" s="138">
        <f>+'TX-EGM-GL'!Q82</f>
        <v>1513150.4650000001</v>
      </c>
      <c r="P645" s="137">
        <f>+'TX-EGM-GL'!R82</f>
        <v>0</v>
      </c>
      <c r="Q645" s="138">
        <f>+'TX-EGM-GL'!S82</f>
        <v>1098254.9200000002</v>
      </c>
      <c r="R645" s="137">
        <f>+'TX-EGM-GL'!T82</f>
        <v>0</v>
      </c>
      <c r="S645" s="137">
        <f>+'TX-EGM-GL'!U82</f>
        <v>-908564.35</v>
      </c>
      <c r="T645" s="137">
        <f>+'TX-EGM-GL'!V82</f>
        <v>0</v>
      </c>
      <c r="U645" s="138">
        <f>+'TX-EGM-GL'!W82</f>
        <v>1844.8</v>
      </c>
      <c r="V645" s="137">
        <f>+'TX-EGM-GL'!X82</f>
        <v>0</v>
      </c>
      <c r="W645" s="138">
        <f>+'TX-EGM-GL'!Y82</f>
        <v>57241.289999999994</v>
      </c>
      <c r="X645" s="137">
        <f>+'TX-EGM-GL'!Z82</f>
        <v>0</v>
      </c>
      <c r="Y645" s="138">
        <f>+'TX-EGM-GL'!AA82</f>
        <v>3185.5099999999743</v>
      </c>
      <c r="Z645" s="137">
        <f>+'TX-EGM-GL'!AB82</f>
        <v>0</v>
      </c>
      <c r="AA645" s="137">
        <f>+'TX-EGM-GL'!AC82</f>
        <v>0</v>
      </c>
      <c r="AB645" s="137">
        <f>+'TX-EGM-GL'!AD82</f>
        <v>0</v>
      </c>
      <c r="AC645" s="139">
        <f>+'TX-EGM-GL'!AE82</f>
        <v>0</v>
      </c>
      <c r="AD645" s="14"/>
      <c r="AE645" s="14"/>
    </row>
    <row r="646" spans="4:31" x14ac:dyDescent="0.25">
      <c r="D646" s="135" t="s">
        <v>193</v>
      </c>
      <c r="E646" s="136"/>
      <c r="F646" s="137">
        <f>+'TX-HPLR-GL '!H82</f>
        <v>0</v>
      </c>
      <c r="G646" s="138">
        <f>+'TX-HPLR-GL '!I82</f>
        <v>-129450.97000000003</v>
      </c>
      <c r="H646" s="137">
        <f>+'TX-HPLR-GL '!J82</f>
        <v>0</v>
      </c>
      <c r="I646" s="138">
        <f>+'TX-HPLR-GL '!K82</f>
        <v>213222.15230000002</v>
      </c>
      <c r="J646" s="137">
        <f>+'TX-HPLR-GL '!L82</f>
        <v>0</v>
      </c>
      <c r="K646" s="138">
        <f>+'TX-HPLR-GL '!M82</f>
        <v>4109.6475999999984</v>
      </c>
      <c r="L646" s="137">
        <f>+'TX-HPLR-GL '!N82</f>
        <v>0</v>
      </c>
      <c r="M646" s="138">
        <f>+'TX-HPLR-GL '!O82</f>
        <v>5618.1579000000002</v>
      </c>
      <c r="N646" s="137">
        <f>+'TX-HPLR-GL '!P82</f>
        <v>0</v>
      </c>
      <c r="O646" s="137">
        <f>+'TX-HPLR-GL '!Q82</f>
        <v>0</v>
      </c>
      <c r="P646" s="137">
        <f>+'TX-HPLR-GL '!R82</f>
        <v>0</v>
      </c>
      <c r="Q646" s="137">
        <f>+'TX-HPLR-GL '!S82</f>
        <v>0</v>
      </c>
      <c r="R646" s="137">
        <f>+'TX-HPLR-GL '!T82</f>
        <v>0</v>
      </c>
      <c r="S646" s="137">
        <f>+'TX-HPLR-GL '!U82</f>
        <v>0</v>
      </c>
      <c r="T646" s="137">
        <f>+'TX-HPLR-GL '!V82</f>
        <v>0</v>
      </c>
      <c r="U646" s="138">
        <f>+'TX-HPLR-GL '!W82</f>
        <v>-148.80000000000001</v>
      </c>
      <c r="V646" s="137">
        <f>+'TX-HPLR-GL '!X82</f>
        <v>0</v>
      </c>
      <c r="W646" s="138">
        <f>+'TX-HPLR-GL '!Y82</f>
        <v>13.8</v>
      </c>
      <c r="X646" s="137">
        <f>+'TX-HPLR-GL '!Z82</f>
        <v>0</v>
      </c>
      <c r="Y646" s="138">
        <f>+'TX-HPLR-GL '!AA82</f>
        <v>-20.055299999999988</v>
      </c>
      <c r="Z646" s="137">
        <f>+'TX-HPLR-GL '!AB82</f>
        <v>0</v>
      </c>
      <c r="AA646" s="137">
        <f>+'TX-HPLR-GL '!AC82</f>
        <v>0</v>
      </c>
      <c r="AB646" s="137">
        <f>+'TX-HPLR-GL '!AD82</f>
        <v>0</v>
      </c>
      <c r="AC646" s="139">
        <f>+'TX-HPLR-GL '!AE82</f>
        <v>0</v>
      </c>
      <c r="AD646" s="14"/>
      <c r="AE646" s="14"/>
    </row>
    <row r="647" spans="4:31" x14ac:dyDescent="0.25">
      <c r="D647" s="135" t="s">
        <v>192</v>
      </c>
      <c r="E647" s="136"/>
      <c r="F647" s="137">
        <f>+'TX-HPLC-GL'!H82</f>
        <v>0</v>
      </c>
      <c r="G647" s="137">
        <f>+'TX-HPLC-GL'!I82</f>
        <v>4604800</v>
      </c>
      <c r="H647" s="137">
        <f>+'TX-HPLC-GL'!J82</f>
        <v>0</v>
      </c>
      <c r="I647" s="138">
        <f>+'TX-HPLC-GL'!K82</f>
        <v>-1691319</v>
      </c>
      <c r="J647" s="137">
        <f>+'TX-HPLC-GL'!L82</f>
        <v>0</v>
      </c>
      <c r="K647" s="138">
        <f>+'TX-HPLC-GL'!M82</f>
        <v>163528</v>
      </c>
      <c r="L647" s="137">
        <f>+'TX-HPLC-GL'!N82</f>
        <v>0</v>
      </c>
      <c r="M647" s="138">
        <f>+'TX-HPLC-GL'!O82</f>
        <v>1551729</v>
      </c>
      <c r="N647" s="137">
        <f>+'TX-HPLC-GL'!P82</f>
        <v>0</v>
      </c>
      <c r="O647" s="137">
        <f>+'TX-HPLC-GL'!Q82</f>
        <v>-103289</v>
      </c>
      <c r="P647" s="137">
        <f>+'TX-HPLC-GL'!R82</f>
        <v>0</v>
      </c>
      <c r="Q647" s="138">
        <f>+'TX-HPLC-GL'!S82</f>
        <v>350199</v>
      </c>
      <c r="R647" s="137">
        <f>+'TX-HPLC-GL'!T82</f>
        <v>0</v>
      </c>
      <c r="S647" s="137">
        <f>+'TX-HPLC-GL'!U82</f>
        <v>35039</v>
      </c>
      <c r="T647" s="137">
        <f>+'TX-HPLC-GL'!V82</f>
        <v>0</v>
      </c>
      <c r="U647" s="138">
        <f>+'TX-HPLC-GL'!W82</f>
        <v>-16462</v>
      </c>
      <c r="V647" s="137">
        <f>+'TX-HPLC-GL'!X82</f>
        <v>0</v>
      </c>
      <c r="W647" s="138">
        <f>+'TX-HPLC-GL'!Y82</f>
        <v>-24900</v>
      </c>
      <c r="X647" s="137">
        <f>+'TX-HPLC-GL'!Z82</f>
        <v>0</v>
      </c>
      <c r="Y647" s="138">
        <f>+'TX-HPLC-GL'!AA82</f>
        <v>19369</v>
      </c>
      <c r="Z647" s="137">
        <f>+'TX-HPLC-GL'!AB82</f>
        <v>0</v>
      </c>
      <c r="AA647" s="137">
        <f>+'TX-HPLC-GL'!AC82</f>
        <v>0</v>
      </c>
      <c r="AB647" s="137">
        <f>+'TX-HPLC-GL'!AD82</f>
        <v>0</v>
      </c>
      <c r="AC647" s="137">
        <f>+'TX-HPLC-GL'!AE82</f>
        <v>0</v>
      </c>
      <c r="AD647" s="14"/>
      <c r="AE647" s="14"/>
    </row>
    <row r="648" spans="4:31" x14ac:dyDescent="0.25">
      <c r="D648" s="135" t="s">
        <v>156</v>
      </c>
      <c r="E648" s="136"/>
      <c r="F648" s="137">
        <f>+'TX-CON-GL '!H82</f>
        <v>0</v>
      </c>
      <c r="G648" s="138">
        <f>+'TX-CON-GL '!I82</f>
        <v>7715882.3699999936</v>
      </c>
      <c r="H648" s="137">
        <f>+'TX-CON-GL '!J82</f>
        <v>0</v>
      </c>
      <c r="I648" s="138">
        <f>+'TX-CON-GL '!K82</f>
        <v>1215752.2613000004</v>
      </c>
      <c r="J648" s="137">
        <f>+'TX-CON-GL '!L82</f>
        <v>0</v>
      </c>
      <c r="K648" s="138">
        <f>+'TX-CON-GL '!M82</f>
        <v>-5641608.7624000013</v>
      </c>
      <c r="L648" s="137">
        <f>+'TX-CON-GL '!N82</f>
        <v>0</v>
      </c>
      <c r="M648" s="164">
        <f>+'TX-CON-GL '!O82</f>
        <v>230845.37790000002</v>
      </c>
      <c r="N648" s="137">
        <f>+'TX-CON-GL '!P82</f>
        <v>0</v>
      </c>
      <c r="O648" s="137">
        <f>+'TX-CON-GL '!Q82</f>
        <v>1513150.4650000001</v>
      </c>
      <c r="P648" s="137">
        <f>+'TX-CON-GL '!R82</f>
        <v>0</v>
      </c>
      <c r="Q648" s="137">
        <f>+'TX-CON-GL '!S82</f>
        <v>1098254.9200000002</v>
      </c>
      <c r="R648" s="137">
        <f>+'TX-CON-GL '!T82</f>
        <v>0</v>
      </c>
      <c r="S648" s="137">
        <f>+'TX-CON-GL '!U82</f>
        <v>-908564.35</v>
      </c>
      <c r="T648" s="137">
        <f>+'TX-CON-GL '!V82</f>
        <v>0</v>
      </c>
      <c r="U648" s="138">
        <f>+'TX-CON-GL '!W82</f>
        <v>1696</v>
      </c>
      <c r="V648" s="137">
        <f>+'TX-CON-GL '!X82</f>
        <v>0</v>
      </c>
      <c r="W648" s="138">
        <f>+'TX-CON-GL '!Y82</f>
        <v>57255.09</v>
      </c>
      <c r="X648" s="137">
        <f>+'TX-CON-GL '!Z82</f>
        <v>0</v>
      </c>
      <c r="Y648" s="137">
        <f>+'TX-CON-GL '!AA82</f>
        <v>3165.4546999999743</v>
      </c>
      <c r="Z648" s="137">
        <f>+'TX-CON-GL '!AB82</f>
        <v>0</v>
      </c>
      <c r="AA648" s="137">
        <f>+'TX-CON-GL '!AC82</f>
        <v>0</v>
      </c>
      <c r="AB648" s="137">
        <f>+'TX-CON-GL '!AD82</f>
        <v>0</v>
      </c>
      <c r="AC648" s="139">
        <f>+'TX-CON-GL '!AE82</f>
        <v>0</v>
      </c>
      <c r="AD648" s="14"/>
      <c r="AE648" s="14"/>
    </row>
    <row r="649" spans="4:31" x14ac:dyDescent="0.25">
      <c r="D649" s="135" t="s">
        <v>146</v>
      </c>
      <c r="E649" s="136"/>
      <c r="F649" s="137">
        <f>+'WE-GL '!H82</f>
        <v>0</v>
      </c>
      <c r="G649" s="138">
        <f>+'WE-GL '!I82</f>
        <v>-807567.48399999691</v>
      </c>
      <c r="H649" s="137">
        <f>+'WE-GL '!J82</f>
        <v>0</v>
      </c>
      <c r="I649" s="138">
        <f>+'WE-GL '!K82</f>
        <v>-849347.7999999997</v>
      </c>
      <c r="J649" s="137">
        <f>+'WE-GL '!L82</f>
        <v>0</v>
      </c>
      <c r="K649" s="138">
        <f>+'WE-GL '!M82</f>
        <v>-563792.01</v>
      </c>
      <c r="L649" s="137">
        <f>+'WE-GL '!N82</f>
        <v>0</v>
      </c>
      <c r="M649" s="138">
        <f>+'WE-GL '!O82</f>
        <v>363068.92699999979</v>
      </c>
      <c r="N649" s="137">
        <f>+'WE-GL '!P82</f>
        <v>0</v>
      </c>
      <c r="O649" s="137">
        <f>+'WE-GL '!Q82</f>
        <v>-931477</v>
      </c>
      <c r="P649" s="137">
        <f>+'WE-GL '!R82</f>
        <v>0</v>
      </c>
      <c r="Q649" s="137">
        <f>+'WE-GL '!S82</f>
        <v>122360.29999999981</v>
      </c>
      <c r="R649" s="137">
        <f>+'WE-GL '!T82</f>
        <v>0</v>
      </c>
      <c r="S649" s="137">
        <f>+'WE-GL '!U82</f>
        <v>-122360.29999999981</v>
      </c>
      <c r="T649" s="137">
        <f>+'WE-GL '!V82</f>
        <v>0</v>
      </c>
      <c r="U649" s="138">
        <f>+'WE-GL '!W82</f>
        <v>-5796.25</v>
      </c>
      <c r="V649" s="137">
        <f>+'WE-GL '!X82</f>
        <v>0</v>
      </c>
      <c r="W649" s="138">
        <f>+'WE-GL '!Y82</f>
        <v>584522.29999999981</v>
      </c>
      <c r="X649" s="137">
        <f>+'WE-GL '!Z82</f>
        <v>0</v>
      </c>
      <c r="Y649" s="137">
        <f>+'WE-GL '!AA82</f>
        <v>0</v>
      </c>
      <c r="Z649" s="137">
        <f>+'WE-GL '!AB82</f>
        <v>0</v>
      </c>
      <c r="AA649" s="137">
        <f>+'WE-GL '!AC82</f>
        <v>0</v>
      </c>
      <c r="AB649" s="137">
        <f>+'WE-GL '!AD82</f>
        <v>0</v>
      </c>
      <c r="AC649" s="139">
        <f>+'WE-GL '!AE82</f>
        <v>0</v>
      </c>
      <c r="AD649" s="14"/>
      <c r="AE649" s="14"/>
    </row>
    <row r="650" spans="4:31" x14ac:dyDescent="0.25">
      <c r="D650" t="s">
        <v>148</v>
      </c>
      <c r="F650" s="140">
        <f>+STG_GL!H82</f>
        <v>0</v>
      </c>
      <c r="G650" s="165">
        <f>+STG_GL!I82</f>
        <v>-225</v>
      </c>
      <c r="H650" s="140">
        <f>+STG_GL!J82</f>
        <v>0</v>
      </c>
      <c r="I650" s="165">
        <f>+STG_GL!K82</f>
        <v>-90638</v>
      </c>
      <c r="J650" s="140">
        <f>+STG_GL!L82</f>
        <v>0</v>
      </c>
      <c r="K650" s="140">
        <f>+STG_GL!M82</f>
        <v>-109908</v>
      </c>
      <c r="L650" s="140">
        <f>+STG_GL!N82</f>
        <v>0</v>
      </c>
      <c r="M650" s="165">
        <f>+STG_GL!O82</f>
        <v>-574315.76</v>
      </c>
      <c r="N650" s="140">
        <f>+STG_GL!P82</f>
        <v>0</v>
      </c>
      <c r="O650" s="140">
        <f>+STG_GL!Q82</f>
        <v>-511019</v>
      </c>
      <c r="P650" s="140">
        <f>+STG_GL!R82</f>
        <v>0</v>
      </c>
      <c r="Q650" s="140">
        <f>+STG_GL!S82</f>
        <v>0</v>
      </c>
      <c r="R650" s="140">
        <f>+STG_GL!T82</f>
        <v>0</v>
      </c>
      <c r="S650" s="140">
        <f>+STG_GL!U82</f>
        <v>-14792</v>
      </c>
      <c r="T650" s="140">
        <f>+STG_GL!V82</f>
        <v>0</v>
      </c>
      <c r="U650" s="140">
        <f>+STG_GL!W82</f>
        <v>0</v>
      </c>
      <c r="V650" s="140">
        <f>+STG_GL!X82</f>
        <v>0</v>
      </c>
      <c r="W650" s="140">
        <f>+STG_GL!Y82</f>
        <v>-17413</v>
      </c>
      <c r="X650" s="140">
        <f>+STG_GL!Z82</f>
        <v>0</v>
      </c>
      <c r="Y650" s="140">
        <f>+STG_GL!AA82</f>
        <v>0</v>
      </c>
      <c r="Z650" s="140">
        <f>+STG_GL!AB82</f>
        <v>0</v>
      </c>
      <c r="AA650" s="140">
        <f>+STG_GL!AC82</f>
        <v>0</v>
      </c>
      <c r="AB650" s="140">
        <f>+STG_GL!AD82</f>
        <v>0</v>
      </c>
      <c r="AC650" s="140">
        <f>+STG_GL!AE82</f>
        <v>0</v>
      </c>
      <c r="AD650" s="14"/>
      <c r="AE650" s="14"/>
    </row>
    <row r="651" spans="4:31" x14ac:dyDescent="0.25">
      <c r="D651" t="s">
        <v>167</v>
      </c>
      <c r="F651" s="140">
        <f>+'ONT_GL '!H82</f>
        <v>0</v>
      </c>
      <c r="G651" s="205">
        <f>+'ONT_GL '!I82</f>
        <v>-1884940</v>
      </c>
      <c r="H651" s="140">
        <f>+'ONT_GL '!J82</f>
        <v>0</v>
      </c>
      <c r="I651" s="205">
        <f>+'ONT_GL '!K82</f>
        <v>713339</v>
      </c>
      <c r="J651" s="140">
        <f>+'ONT_GL '!L82</f>
        <v>0</v>
      </c>
      <c r="K651" s="205">
        <f>+'ONT_GL '!M82</f>
        <v>259236</v>
      </c>
      <c r="L651" s="140">
        <f>+'ONT_GL '!N82</f>
        <v>0</v>
      </c>
      <c r="M651" s="165">
        <f>+'ONT_GL '!O82</f>
        <v>2759046</v>
      </c>
      <c r="N651" s="140">
        <f>+'ONT_GL '!P82</f>
        <v>0</v>
      </c>
      <c r="O651" s="140">
        <f>+'ONT_GL '!Q82</f>
        <v>0</v>
      </c>
      <c r="P651" s="140">
        <f>+'ONT_GL '!R82</f>
        <v>0</v>
      </c>
      <c r="Q651" s="205">
        <f>+'ONT_GL '!S82</f>
        <v>-861616</v>
      </c>
      <c r="R651" s="140">
        <f>+'ONT_GL '!T82</f>
        <v>0</v>
      </c>
      <c r="S651" s="205">
        <f>+'ONT_GL '!U82</f>
        <v>861616.21</v>
      </c>
      <c r="T651" s="140">
        <f>+'ONT_GL '!V82</f>
        <v>0</v>
      </c>
      <c r="U651" s="140">
        <f>+'ONT_GL '!W82</f>
        <v>0</v>
      </c>
      <c r="V651" s="140">
        <f>+'ONT_GL '!X82</f>
        <v>0</v>
      </c>
      <c r="W651" s="205">
        <f>+'ONT_GL '!Y82</f>
        <v>-861616.21</v>
      </c>
      <c r="X651" s="140">
        <f>+'ONT_GL '!Z82</f>
        <v>0</v>
      </c>
      <c r="Y651" s="205">
        <f>+'ONT_GL '!AA82</f>
        <v>11293.22</v>
      </c>
      <c r="Z651" s="140">
        <f>+'ONT_GL '!AB82</f>
        <v>0</v>
      </c>
      <c r="AA651" s="140">
        <f>+'ONT_GL '!AC82</f>
        <v>0</v>
      </c>
      <c r="AB651" s="140">
        <f>+'ONT_GL '!AD82</f>
        <v>0</v>
      </c>
      <c r="AC651" s="140">
        <f>+'ONT_GL '!AE82</f>
        <v>0</v>
      </c>
      <c r="AD651" s="14"/>
      <c r="AE651" s="14"/>
    </row>
    <row r="652" spans="4:31" x14ac:dyDescent="0.25">
      <c r="G652" s="171"/>
    </row>
    <row r="653" spans="4:31" x14ac:dyDescent="0.25">
      <c r="D653" t="s">
        <v>2</v>
      </c>
    </row>
    <row r="654" spans="4:31" x14ac:dyDescent="0.25">
      <c r="T654" s="14">
        <v>-433218</v>
      </c>
      <c r="U654" s="14">
        <v>-1115812.335</v>
      </c>
    </row>
    <row r="655" spans="4:31" x14ac:dyDescent="0.25">
      <c r="T655" s="14">
        <v>0</v>
      </c>
      <c r="U655" s="14">
        <v>-7738.39</v>
      </c>
    </row>
    <row r="656" spans="4:31" x14ac:dyDescent="0.25">
      <c r="T656" s="14">
        <v>433218</v>
      </c>
      <c r="U656" s="14">
        <v>705590.07</v>
      </c>
    </row>
    <row r="657" spans="20:21" x14ac:dyDescent="0.25">
      <c r="T657" s="14">
        <v>0</v>
      </c>
      <c r="U657" s="14">
        <v>-85172.865000000005</v>
      </c>
    </row>
    <row r="658" spans="20:21" x14ac:dyDescent="0.25">
      <c r="T658" s="14">
        <v>0</v>
      </c>
      <c r="U658" s="14">
        <v>0</v>
      </c>
    </row>
    <row r="659" spans="20:21" x14ac:dyDescent="0.25">
      <c r="T659" s="14">
        <v>433218</v>
      </c>
      <c r="U659" s="14">
        <v>620417.20499999996</v>
      </c>
    </row>
    <row r="660" spans="20:21" x14ac:dyDescent="0.25">
      <c r="T660" s="14">
        <v>0</v>
      </c>
      <c r="U660" s="14">
        <v>1844.8</v>
      </c>
    </row>
    <row r="661" spans="20:21" x14ac:dyDescent="0.25">
      <c r="T661" s="14">
        <v>0</v>
      </c>
      <c r="U661" s="14">
        <v>-148.80000000000001</v>
      </c>
    </row>
    <row r="662" spans="20:21" x14ac:dyDescent="0.25">
      <c r="T662" s="14">
        <v>0</v>
      </c>
      <c r="U662" s="14">
        <v>-16462</v>
      </c>
    </row>
    <row r="663" spans="20:21" x14ac:dyDescent="0.25">
      <c r="T663" s="14">
        <v>0</v>
      </c>
      <c r="U663" s="14">
        <v>1696</v>
      </c>
    </row>
    <row r="664" spans="20:21" x14ac:dyDescent="0.25">
      <c r="T664" s="14">
        <v>0</v>
      </c>
      <c r="U664" s="14">
        <v>-5796.25</v>
      </c>
    </row>
    <row r="665" spans="20:21" x14ac:dyDescent="0.25">
      <c r="T665" s="14">
        <v>0</v>
      </c>
      <c r="U665" s="14">
        <v>0</v>
      </c>
    </row>
    <row r="666" spans="20:21" x14ac:dyDescent="0.25">
      <c r="T666" s="14">
        <v>0</v>
      </c>
      <c r="U666" s="14">
        <v>0</v>
      </c>
    </row>
  </sheetData>
  <mergeCells count="28">
    <mergeCell ref="AB637:AC637"/>
    <mergeCell ref="AD637:AE637"/>
    <mergeCell ref="T637:U637"/>
    <mergeCell ref="V637:W637"/>
    <mergeCell ref="X637:Y637"/>
    <mergeCell ref="Z637:AA637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187"/>
  <sheetViews>
    <sheetView zoomScale="75" workbookViewId="0">
      <pane xSplit="3" ySplit="9" topLeftCell="S66" activePane="bottomRight" state="frozen"/>
      <selection activeCell="A5" sqref="A5"/>
      <selection pane="topRight" activeCell="A5" sqref="A5"/>
      <selection pane="bottomLeft" activeCell="A5" sqref="A5"/>
      <selection pane="bottomRight" activeCell="W74" sqref="W7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92" customWidth="1"/>
    <col min="6" max="27" width="15" customWidth="1"/>
  </cols>
  <sheetData>
    <row r="1" spans="1:27" x14ac:dyDescent="0.25">
      <c r="A1" s="46" t="s">
        <v>81</v>
      </c>
      <c r="B1" s="46"/>
      <c r="C1" s="1"/>
      <c r="D1" s="13"/>
      <c r="E1" s="195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5">
      <c r="A2" s="47" t="s">
        <v>85</v>
      </c>
      <c r="B2" s="46"/>
      <c r="C2" s="1"/>
      <c r="D2" s="13"/>
      <c r="E2" s="195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5">
      <c r="A3" s="1" t="s">
        <v>6</v>
      </c>
      <c r="B3" s="50"/>
      <c r="C3" s="50"/>
      <c r="D3" s="50"/>
      <c r="E3" s="144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5">
      <c r="A4" s="51" t="s">
        <v>7</v>
      </c>
      <c r="B4" s="47"/>
      <c r="C4" s="5"/>
      <c r="D4" s="13"/>
      <c r="E4" s="195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5">
      <c r="A5" s="48" t="str">
        <f>Check!A5</f>
        <v>PRODUCTION MONTH: 9907</v>
      </c>
      <c r="B5" s="48"/>
      <c r="C5" s="5"/>
      <c r="D5" s="13"/>
      <c r="E5" s="195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5">
      <c r="A6" s="4"/>
      <c r="B6" s="5"/>
      <c r="C6" s="5"/>
      <c r="D6" s="13"/>
      <c r="E6" s="195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5">
      <c r="A7" s="4"/>
      <c r="B7" s="19"/>
      <c r="C7" s="19"/>
    </row>
    <row r="8" spans="1:27" x14ac:dyDescent="0.25">
      <c r="A8" s="8"/>
      <c r="B8" s="16"/>
      <c r="C8" s="17"/>
      <c r="D8" s="24" t="s">
        <v>83</v>
      </c>
      <c r="E8" s="196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84</v>
      </c>
      <c r="M8" s="27"/>
      <c r="N8" s="26" t="s">
        <v>18</v>
      </c>
      <c r="O8" s="27"/>
      <c r="P8" s="26" t="s">
        <v>194</v>
      </c>
      <c r="Q8" s="27"/>
      <c r="R8" s="26" t="s">
        <v>17</v>
      </c>
      <c r="S8" s="27"/>
      <c r="T8" s="26" t="s">
        <v>195</v>
      </c>
      <c r="U8" s="27"/>
      <c r="V8" s="26" t="s">
        <v>19</v>
      </c>
      <c r="W8" s="27"/>
      <c r="X8" s="26" t="s">
        <v>165</v>
      </c>
      <c r="Y8" s="27"/>
      <c r="Z8" s="26" t="s">
        <v>115</v>
      </c>
      <c r="AA8" s="27"/>
    </row>
    <row r="9" spans="1:27" s="80" customFormat="1" x14ac:dyDescent="0.25">
      <c r="A9" s="52"/>
      <c r="B9" s="78"/>
      <c r="C9" s="79"/>
      <c r="D9" s="75" t="s">
        <v>23</v>
      </c>
      <c r="E9" s="197" t="s">
        <v>24</v>
      </c>
      <c r="F9" s="77" t="s">
        <v>23</v>
      </c>
      <c r="G9" s="76" t="s">
        <v>24</v>
      </c>
      <c r="H9" s="77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  <c r="N9" s="77" t="s">
        <v>23</v>
      </c>
      <c r="O9" s="76" t="s">
        <v>24</v>
      </c>
      <c r="P9" s="77" t="s">
        <v>23</v>
      </c>
      <c r="Q9" s="76" t="s">
        <v>24</v>
      </c>
      <c r="R9" s="77" t="s">
        <v>23</v>
      </c>
      <c r="S9" s="76" t="s">
        <v>24</v>
      </c>
      <c r="T9" s="77" t="s">
        <v>23</v>
      </c>
      <c r="U9" s="76" t="s">
        <v>24</v>
      </c>
      <c r="V9" s="77" t="s">
        <v>23</v>
      </c>
      <c r="W9" s="76" t="s">
        <v>24</v>
      </c>
      <c r="X9" s="77" t="s">
        <v>23</v>
      </c>
      <c r="Y9" s="76" t="s">
        <v>24</v>
      </c>
      <c r="Z9" s="77" t="s">
        <v>23</v>
      </c>
      <c r="AA9" s="76" t="s">
        <v>24</v>
      </c>
    </row>
    <row r="10" spans="1:27" x14ac:dyDescent="0.25">
      <c r="A10" s="9"/>
      <c r="B10" s="11" t="s">
        <v>25</v>
      </c>
      <c r="C10" s="6"/>
      <c r="D10" s="64"/>
      <c r="E10" s="19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5">
      <c r="A11" s="9">
        <v>1</v>
      </c>
      <c r="B11" s="7"/>
      <c r="C11" s="18" t="s">
        <v>26</v>
      </c>
      <c r="D11" s="60">
        <f t="shared" ref="D11:E15" si="0">F11+H11+J11+L11+N11+P11+R11+V11+X11+Z11+T11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</row>
    <row r="12" spans="1:27" x14ac:dyDescent="0.25">
      <c r="A12" s="9">
        <v>2</v>
      </c>
      <c r="B12" s="7"/>
      <c r="C12" s="18" t="s">
        <v>27</v>
      </c>
      <c r="D12" s="60">
        <f t="shared" si="0"/>
        <v>0</v>
      </c>
      <c r="E12" s="60">
        <f t="shared" si="0"/>
        <v>-1750512.26</v>
      </c>
      <c r="F12" s="65"/>
      <c r="G12" s="38">
        <v>-4266223.46</v>
      </c>
      <c r="H12" s="65">
        <v>0</v>
      </c>
      <c r="I12" s="38">
        <v>2201439.27</v>
      </c>
      <c r="J12" s="65"/>
      <c r="K12" s="38">
        <v>-28437.46</v>
      </c>
      <c r="L12" s="65"/>
      <c r="M12" s="38">
        <v>0</v>
      </c>
      <c r="N12" s="65"/>
      <c r="O12" s="38">
        <v>1693171.48</v>
      </c>
      <c r="P12" s="65"/>
      <c r="Q12" s="38">
        <v>55813.74</v>
      </c>
      <c r="R12" s="65"/>
      <c r="S12" s="38">
        <v>-873243.75</v>
      </c>
      <c r="T12" s="65">
        <v>0</v>
      </c>
      <c r="U12" s="38">
        <v>-450228.25</v>
      </c>
      <c r="V12" s="65"/>
      <c r="W12" s="38">
        <v>0</v>
      </c>
      <c r="X12" s="65"/>
      <c r="Y12" s="38">
        <v>-82803.83</v>
      </c>
      <c r="Z12" s="65"/>
      <c r="AA12" s="38">
        <v>0</v>
      </c>
    </row>
    <row r="13" spans="1:27" x14ac:dyDescent="0.25">
      <c r="A13" s="9">
        <v>3</v>
      </c>
      <c r="B13" s="7"/>
      <c r="C13" s="18" t="s">
        <v>28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5">
      <c r="A14" s="9">
        <v>4</v>
      </c>
      <c r="B14" s="7"/>
      <c r="C14" s="18" t="s">
        <v>29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5">
      <c r="A15" s="9">
        <v>5</v>
      </c>
      <c r="B15" s="7"/>
      <c r="C15" s="18" t="s">
        <v>30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</row>
    <row r="16" spans="1:27" x14ac:dyDescent="0.25">
      <c r="A16" s="9"/>
      <c r="B16" s="7" t="s">
        <v>31</v>
      </c>
      <c r="C16" s="6"/>
      <c r="D16" s="61">
        <f t="shared" ref="D16:AA16" si="1">SUM(D11:D15)</f>
        <v>0</v>
      </c>
      <c r="E16" s="150">
        <f t="shared" si="1"/>
        <v>-1750512.26</v>
      </c>
      <c r="F16" s="61">
        <f t="shared" si="1"/>
        <v>0</v>
      </c>
      <c r="G16" s="39">
        <f t="shared" si="1"/>
        <v>-4266223.46</v>
      </c>
      <c r="H16" s="61">
        <f t="shared" si="1"/>
        <v>0</v>
      </c>
      <c r="I16" s="39">
        <f t="shared" si="1"/>
        <v>2201439.27</v>
      </c>
      <c r="J16" s="61">
        <f t="shared" si="1"/>
        <v>0</v>
      </c>
      <c r="K16" s="39">
        <f t="shared" si="1"/>
        <v>-28437.46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1693171.48</v>
      </c>
      <c r="P16" s="61">
        <f t="shared" si="1"/>
        <v>0</v>
      </c>
      <c r="Q16" s="39">
        <f t="shared" si="1"/>
        <v>55813.74</v>
      </c>
      <c r="R16" s="61">
        <f t="shared" si="1"/>
        <v>0</v>
      </c>
      <c r="S16" s="39">
        <f t="shared" si="1"/>
        <v>-873243.75</v>
      </c>
      <c r="T16" s="61">
        <f>SUM(T11:T15)</f>
        <v>0</v>
      </c>
      <c r="U16" s="39">
        <f>SUM(U11:U15)</f>
        <v>-450228.25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-82803.83</v>
      </c>
      <c r="Z16" s="61">
        <f t="shared" si="1"/>
        <v>0</v>
      </c>
      <c r="AA16" s="39">
        <f t="shared" si="1"/>
        <v>0</v>
      </c>
    </row>
    <row r="17" spans="1:27" x14ac:dyDescent="0.25">
      <c r="A17" s="9"/>
      <c r="B17" s="7"/>
      <c r="C17" s="6"/>
      <c r="D17" s="60"/>
      <c r="E17" s="149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5">
      <c r="A18" s="9"/>
      <c r="B18" s="11" t="s">
        <v>32</v>
      </c>
      <c r="C18" s="6"/>
      <c r="D18" s="60"/>
      <c r="E18" s="149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5">
      <c r="A19" s="9">
        <v>6</v>
      </c>
      <c r="B19" s="7"/>
      <c r="C19" s="18" t="s">
        <v>26</v>
      </c>
      <c r="D19" s="60">
        <f t="shared" ref="D19:E23" si="2">F19+H19+J19+L19+N19+P19+R19+V19+X19+Z19+T19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</row>
    <row r="20" spans="1:27" x14ac:dyDescent="0.25">
      <c r="A20" s="9">
        <v>7</v>
      </c>
      <c r="B20" s="7"/>
      <c r="C20" s="18" t="s">
        <v>27</v>
      </c>
      <c r="D20" s="60">
        <f t="shared" si="2"/>
        <v>0</v>
      </c>
      <c r="E20" s="60">
        <f t="shared" si="2"/>
        <v>-4993466.54</v>
      </c>
      <c r="F20" s="65"/>
      <c r="G20" s="38">
        <v>-982601.25</v>
      </c>
      <c r="H20" s="65"/>
      <c r="I20" s="38">
        <v>-374522.49</v>
      </c>
      <c r="J20" s="65"/>
      <c r="K20" s="38">
        <v>0</v>
      </c>
      <c r="L20" s="65"/>
      <c r="M20" s="38">
        <v>0</v>
      </c>
      <c r="N20" s="65"/>
      <c r="O20" s="38">
        <v>-699173.8</v>
      </c>
      <c r="P20" s="65"/>
      <c r="Q20" s="38">
        <v>0</v>
      </c>
      <c r="R20" s="65"/>
      <c r="S20" s="38">
        <v>-367328.82</v>
      </c>
      <c r="T20" s="65"/>
      <c r="U20" s="38">
        <v>-2670689.64</v>
      </c>
      <c r="V20" s="65"/>
      <c r="W20" s="38">
        <v>0</v>
      </c>
      <c r="X20" s="65">
        <v>0</v>
      </c>
      <c r="Y20" s="38">
        <v>100849.46</v>
      </c>
      <c r="Z20" s="65"/>
      <c r="AA20" s="38">
        <v>0</v>
      </c>
    </row>
    <row r="21" spans="1:27" x14ac:dyDescent="0.25">
      <c r="A21" s="9">
        <v>8</v>
      </c>
      <c r="B21" s="7"/>
      <c r="C21" s="18" t="s">
        <v>28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5">
      <c r="A22" s="9">
        <v>9</v>
      </c>
      <c r="B22" s="7"/>
      <c r="C22" s="18" t="s">
        <v>29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5">
      <c r="A23" s="9">
        <v>10</v>
      </c>
      <c r="B23" s="7"/>
      <c r="C23" s="18" t="s">
        <v>33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5">
      <c r="A24" s="9"/>
      <c r="B24" s="7" t="s">
        <v>34</v>
      </c>
      <c r="C24" s="6"/>
      <c r="D24" s="61">
        <f t="shared" ref="D24:AA24" si="3">SUM(D19:D23)</f>
        <v>0</v>
      </c>
      <c r="E24" s="150">
        <f t="shared" si="3"/>
        <v>-4993466.54</v>
      </c>
      <c r="F24" s="61">
        <f t="shared" si="3"/>
        <v>0</v>
      </c>
      <c r="G24" s="39">
        <f t="shared" si="3"/>
        <v>-982601.25</v>
      </c>
      <c r="H24" s="61">
        <f t="shared" si="3"/>
        <v>0</v>
      </c>
      <c r="I24" s="39">
        <f t="shared" si="3"/>
        <v>-374522.49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-699173.8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-367328.82</v>
      </c>
      <c r="T24" s="61">
        <f>SUM(T19:T23)</f>
        <v>0</v>
      </c>
      <c r="U24" s="39">
        <f>SUM(U19:U23)</f>
        <v>-2670689.64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100849.46</v>
      </c>
      <c r="Z24" s="61">
        <f t="shared" si="3"/>
        <v>0</v>
      </c>
      <c r="AA24" s="39">
        <f t="shared" si="3"/>
        <v>0</v>
      </c>
    </row>
    <row r="25" spans="1:27" x14ac:dyDescent="0.25">
      <c r="A25" s="9"/>
      <c r="B25" s="7"/>
      <c r="C25" s="6"/>
      <c r="D25" s="60"/>
      <c r="E25" s="149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5">
      <c r="A26" s="9"/>
      <c r="B26" s="86" t="s">
        <v>35</v>
      </c>
      <c r="C26" s="6"/>
      <c r="D26" s="60"/>
      <c r="E26" s="149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5">
      <c r="A27" s="9">
        <v>11</v>
      </c>
      <c r="B27" s="7"/>
      <c r="C27" s="18" t="s">
        <v>36</v>
      </c>
      <c r="D27" s="60">
        <f>F27+H27+J27+L27+N27+P27+R27+V27+X27+Z27+T27</f>
        <v>0</v>
      </c>
      <c r="E27" s="60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5">
      <c r="A28" s="9">
        <v>12</v>
      </c>
      <c r="B28" s="7"/>
      <c r="C28" s="18" t="s">
        <v>37</v>
      </c>
      <c r="D28" s="60">
        <f>F28+H28+J28+L28+N28+P28+R28+V28+X28+Z28+T28</f>
        <v>0</v>
      </c>
      <c r="E28" s="60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5">
      <c r="A29" s="9"/>
      <c r="B29" s="7" t="s">
        <v>38</v>
      </c>
      <c r="C29" s="6"/>
      <c r="D29" s="61">
        <f t="shared" ref="D29:AA29" si="4">SUM(D27:D28)</f>
        <v>0</v>
      </c>
      <c r="E29" s="150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>SUM(T27:T28)</f>
        <v>0</v>
      </c>
      <c r="U29" s="39">
        <f>SUM(U27:U28)</f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</row>
    <row r="30" spans="1:27" x14ac:dyDescent="0.25">
      <c r="A30" s="9"/>
      <c r="B30" s="7"/>
      <c r="C30" s="6"/>
      <c r="D30" s="60"/>
      <c r="E30" s="149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5">
      <c r="A31" s="9"/>
      <c r="B31" s="11" t="s">
        <v>39</v>
      </c>
      <c r="C31" s="6"/>
      <c r="D31" s="60"/>
      <c r="E31" s="149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5">
      <c r="A32" s="9">
        <v>13</v>
      </c>
      <c r="B32" s="7"/>
      <c r="C32" s="18" t="s">
        <v>40</v>
      </c>
      <c r="D32" s="60">
        <f t="shared" ref="D32:E35" si="5">F32+H32+J32+L32+N32+P32+R32+V32+X32+Z32+T32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5">
      <c r="A33" s="9">
        <v>14</v>
      </c>
      <c r="B33" s="7"/>
      <c r="C33" s="18" t="s">
        <v>41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5">
      <c r="A34" s="9">
        <v>15</v>
      </c>
      <c r="B34" s="7"/>
      <c r="C34" s="18" t="s">
        <v>42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5">
      <c r="A35" s="9">
        <v>16</v>
      </c>
      <c r="B35" s="7"/>
      <c r="C35" s="18" t="s">
        <v>43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5">
      <c r="A36" s="9"/>
      <c r="B36" s="7" t="s">
        <v>44</v>
      </c>
      <c r="C36" s="6"/>
      <c r="D36" s="61">
        <f>SUM(D32:D35)</f>
        <v>0</v>
      </c>
      <c r="E36" s="150">
        <f>SUM(E32:E35)</f>
        <v>0</v>
      </c>
      <c r="F36" s="61">
        <f t="shared" ref="F36:AA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>SUM(T32:T34)</f>
        <v>0</v>
      </c>
      <c r="U36" s="39">
        <f>SUM(U32:U34)</f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</row>
    <row r="37" spans="1:27" x14ac:dyDescent="0.25">
      <c r="A37" s="9"/>
      <c r="B37" s="7"/>
      <c r="C37" s="6"/>
      <c r="D37" s="60"/>
      <c r="E37" s="149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5">
      <c r="A38" s="9"/>
      <c r="B38" s="11" t="s">
        <v>45</v>
      </c>
      <c r="C38" s="6"/>
      <c r="D38" s="60"/>
      <c r="E38" s="149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5">
      <c r="A39" s="9">
        <v>17</v>
      </c>
      <c r="B39" s="7"/>
      <c r="C39" s="18" t="s">
        <v>46</v>
      </c>
      <c r="D39" s="60">
        <f t="shared" ref="D39:E41" si="7">F39+H39+J39+L39+N39+P39+R39+V39+X39+Z39+T39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5">
      <c r="A40" s="9">
        <v>18</v>
      </c>
      <c r="B40" s="7"/>
      <c r="C40" s="18" t="s">
        <v>47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5">
      <c r="A41" s="9">
        <v>19</v>
      </c>
      <c r="B41" s="7"/>
      <c r="C41" s="18" t="s">
        <v>48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</row>
    <row r="42" spans="1:27" x14ac:dyDescent="0.25">
      <c r="A42" s="9"/>
      <c r="B42" s="7"/>
      <c r="C42" s="53" t="s">
        <v>49</v>
      </c>
      <c r="D42" s="61">
        <f t="shared" ref="D42:AA42" si="8">SUM(D40:D41)</f>
        <v>0</v>
      </c>
      <c r="E42" s="150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>SUM(T40:T41)</f>
        <v>0</v>
      </c>
      <c r="U42" s="39">
        <f>SUM(U40:U41)</f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</row>
    <row r="43" spans="1:27" ht="21" customHeight="1" x14ac:dyDescent="0.25">
      <c r="A43" s="9"/>
      <c r="B43" s="7" t="s">
        <v>50</v>
      </c>
      <c r="C43" s="6"/>
      <c r="D43" s="61">
        <f t="shared" ref="D43:AA43" si="9">D42+D39</f>
        <v>0</v>
      </c>
      <c r="E43" s="150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>T42+T39</f>
        <v>0</v>
      </c>
      <c r="U43" s="39">
        <f>U42+U39</f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</row>
    <row r="44" spans="1:27" x14ac:dyDescent="0.25">
      <c r="A44" s="9"/>
      <c r="B44" s="7"/>
      <c r="C44" s="6"/>
      <c r="D44" s="60"/>
      <c r="E44" s="149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5">
      <c r="A45" s="9">
        <v>20</v>
      </c>
      <c r="B45" s="11" t="s">
        <v>51</v>
      </c>
      <c r="C45" s="6"/>
      <c r="D45" s="60">
        <f>F45+H45+J45+L45+N45+P45+R45+V45+X45+Z45+T45</f>
        <v>0</v>
      </c>
      <c r="E45" s="60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5">
      <c r="A46" s="9"/>
      <c r="B46" s="11"/>
      <c r="C46" s="6"/>
      <c r="D46" s="60"/>
      <c r="E46" s="149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5">
      <c r="A47" s="9">
        <v>21</v>
      </c>
      <c r="B47" s="11" t="s">
        <v>52</v>
      </c>
      <c r="C47" s="6"/>
      <c r="D47" s="60">
        <f>F47+H47+J47+L47+N47+P47+R47+V47+X47+Z47+T47</f>
        <v>0</v>
      </c>
      <c r="E47" s="60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5">
      <c r="A48" s="9"/>
      <c r="B48" s="7"/>
      <c r="C48" s="6"/>
      <c r="D48" s="60"/>
      <c r="E48" s="149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5">
      <c r="A49" s="9">
        <v>22</v>
      </c>
      <c r="B49" s="11" t="s">
        <v>53</v>
      </c>
      <c r="C49" s="6"/>
      <c r="D49" s="60">
        <f>F49+H49+J49+L49+N49+P49+R49+V49+X49+Z49+T49</f>
        <v>0</v>
      </c>
      <c r="E49" s="60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5">
      <c r="A50" s="9"/>
      <c r="B50" s="7"/>
      <c r="C50" s="6"/>
      <c r="D50" s="60"/>
      <c r="E50" s="149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5">
      <c r="A51" s="9">
        <v>23</v>
      </c>
      <c r="B51" s="11" t="s">
        <v>54</v>
      </c>
      <c r="C51" s="6"/>
      <c r="D51" s="60">
        <f>F51+H51+J51+L51+N51+P51+R51+V51+X51+Z51+T51</f>
        <v>0</v>
      </c>
      <c r="E51" s="60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>
        <v>0</v>
      </c>
      <c r="V51" s="60"/>
      <c r="W51" s="38"/>
      <c r="X51" s="60"/>
      <c r="Y51" s="38"/>
      <c r="Z51" s="60"/>
      <c r="AA51" s="38"/>
    </row>
    <row r="52" spans="1:27" x14ac:dyDescent="0.25">
      <c r="A52" s="9"/>
      <c r="B52" s="7"/>
      <c r="C52" s="6"/>
      <c r="D52" s="60"/>
      <c r="E52" s="149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5">
      <c r="A53" s="9"/>
      <c r="B53" s="11" t="s">
        <v>55</v>
      </c>
      <c r="C53" s="6"/>
      <c r="D53" s="60"/>
      <c r="E53" s="149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5">
      <c r="A54" s="9">
        <v>24</v>
      </c>
      <c r="B54" s="7"/>
      <c r="C54" s="18" t="s">
        <v>56</v>
      </c>
      <c r="D54" s="60">
        <f>F54+H54+J54+L54+N54+P54+R54+V54+X54+Z54+T54</f>
        <v>0</v>
      </c>
      <c r="E54" s="60">
        <f>G54+I54+K54+M54+O54+Q54+S54+W54+Y54+AA54+U54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</row>
    <row r="55" spans="1:27" x14ac:dyDescent="0.25">
      <c r="A55" s="9">
        <v>25</v>
      </c>
      <c r="B55" s="7"/>
      <c r="C55" s="18" t="s">
        <v>57</v>
      </c>
      <c r="D55" s="60">
        <f>F55+H55+J55+L55+N55+P55+R55+V55+X55+Z55+T55</f>
        <v>0</v>
      </c>
      <c r="E55" s="60">
        <f>G55+I55+K55+M55+O55+Q55+S55+W55+Y55+AA55+U55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</row>
    <row r="56" spans="1:27" x14ac:dyDescent="0.25">
      <c r="A56" s="9"/>
      <c r="B56" s="7" t="s">
        <v>58</v>
      </c>
      <c r="C56" s="6"/>
      <c r="D56" s="61">
        <f t="shared" ref="D56:AA56" si="10">SUM(D54:D55)</f>
        <v>0</v>
      </c>
      <c r="E56" s="150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>SUM(T54:T55)</f>
        <v>0</v>
      </c>
      <c r="U56" s="39">
        <f>SUM(U54:U55)</f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</row>
    <row r="57" spans="1:27" x14ac:dyDescent="0.25">
      <c r="A57" s="9"/>
      <c r="B57" s="7"/>
      <c r="C57" s="6"/>
      <c r="D57" s="60"/>
      <c r="E57" s="149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5">
      <c r="A58" s="9"/>
      <c r="B58" s="11" t="s">
        <v>59</v>
      </c>
      <c r="C58" s="6"/>
      <c r="D58" s="60"/>
      <c r="E58" s="149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5">
      <c r="A59" s="9">
        <v>26</v>
      </c>
      <c r="B59" s="11"/>
      <c r="C59" s="18" t="s">
        <v>60</v>
      </c>
      <c r="D59" s="60">
        <f>F59+H59+J59+L59+N59+P59+R59+V59+X59+Z59+T59</f>
        <v>0</v>
      </c>
      <c r="E59" s="60">
        <f>G59+I59+K59+M59+O59+Q59+S59+W59+Y59+AA59+U59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</row>
    <row r="60" spans="1:27" x14ac:dyDescent="0.25">
      <c r="A60" s="9">
        <v>27</v>
      </c>
      <c r="B60" s="11"/>
      <c r="C60" s="18" t="s">
        <v>61</v>
      </c>
      <c r="D60" s="60">
        <f>F60+H60+J60+L60+N60+P60+R60+V60+X60+Z60+T60</f>
        <v>0</v>
      </c>
      <c r="E60" s="60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>
        <v>0</v>
      </c>
      <c r="X60" s="60"/>
      <c r="Y60" s="38"/>
      <c r="Z60" s="60"/>
      <c r="AA60" s="38"/>
    </row>
    <row r="61" spans="1:27" x14ac:dyDescent="0.25">
      <c r="A61" s="9"/>
      <c r="B61" s="62" t="s">
        <v>62</v>
      </c>
      <c r="C61" s="6"/>
      <c r="D61" s="61">
        <f t="shared" ref="D61:AA61" si="11">SUM(D59:D60)</f>
        <v>0</v>
      </c>
      <c r="E61" s="150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>SUM(T59:T60)</f>
        <v>0</v>
      </c>
      <c r="U61" s="39">
        <f>SUM(U59:U60)</f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</row>
    <row r="62" spans="1:27" x14ac:dyDescent="0.25">
      <c r="A62" s="9"/>
      <c r="B62" s="62"/>
      <c r="C62" s="6"/>
      <c r="D62" s="60"/>
      <c r="E62" s="149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5">
      <c r="A63" s="9"/>
      <c r="B63" s="86" t="s">
        <v>35</v>
      </c>
      <c r="C63" s="6"/>
      <c r="D63" s="60"/>
      <c r="E63" s="149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5">
      <c r="A64" s="9">
        <v>28</v>
      </c>
      <c r="B64" s="7"/>
      <c r="C64" s="18" t="s">
        <v>63</v>
      </c>
      <c r="D64" s="60">
        <f>F64+H64+J64+L64+N64+P64+R64+V64+X64+Z64+T64</f>
        <v>0</v>
      </c>
      <c r="E64" s="60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5">
      <c r="A65" s="9">
        <v>29</v>
      </c>
      <c r="B65" s="11"/>
      <c r="C65" s="18" t="s">
        <v>64</v>
      </c>
      <c r="D65" s="60">
        <f>F65+H65+J65+L65+N65+P65+R65+V65+X65+Z65+T65</f>
        <v>0</v>
      </c>
      <c r="E65" s="60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0</v>
      </c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/>
      <c r="Z65" s="60"/>
      <c r="AA65" s="38"/>
    </row>
    <row r="66" spans="1:27" x14ac:dyDescent="0.25">
      <c r="A66" s="9"/>
      <c r="B66" s="7" t="s">
        <v>65</v>
      </c>
      <c r="C66" s="6"/>
      <c r="D66" s="61">
        <f t="shared" ref="D66:AA66" si="12">SUM(D64:D65)</f>
        <v>0</v>
      </c>
      <c r="E66" s="150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>SUM(T64:T65)</f>
        <v>0</v>
      </c>
      <c r="U66" s="39">
        <f>SUM(U64:U65)</f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</row>
    <row r="67" spans="1:27" x14ac:dyDescent="0.25">
      <c r="A67" s="9"/>
      <c r="B67" s="7"/>
      <c r="C67" s="6"/>
      <c r="D67" s="60"/>
      <c r="E67" s="149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5">
      <c r="A68" s="9"/>
      <c r="B68" s="11" t="s">
        <v>66</v>
      </c>
      <c r="C68" s="6"/>
      <c r="D68" s="60"/>
      <c r="E68" s="149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5">
      <c r="A69" s="9"/>
      <c r="B69" s="3"/>
      <c r="C69" s="100" t="s">
        <v>67</v>
      </c>
      <c r="D69" s="60"/>
      <c r="E69" s="149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5">
      <c r="A70" s="9">
        <v>30</v>
      </c>
      <c r="B70" s="3"/>
      <c r="C70" s="10" t="s">
        <v>68</v>
      </c>
      <c r="D70" s="60">
        <f>F70+H70+J70+L70+N70+P70+R70+V70+X70+Z70+T70</f>
        <v>0</v>
      </c>
      <c r="E70" s="60">
        <f>G70+I70+K70+M70+O70+Q70+S70+W70+Y70+AA70+U70</f>
        <v>22648219.589999996</v>
      </c>
      <c r="F70" s="60"/>
      <c r="G70" s="38">
        <v>3090114.61</v>
      </c>
      <c r="H70" s="60"/>
      <c r="I70" s="38">
        <v>3210854.25</v>
      </c>
      <c r="J70" s="60"/>
      <c r="K70" s="38">
        <v>0</v>
      </c>
      <c r="L70" s="60"/>
      <c r="M70" s="38">
        <v>0</v>
      </c>
      <c r="N70" s="60">
        <v>0</v>
      </c>
      <c r="O70" s="38">
        <v>4213356.8099999996</v>
      </c>
      <c r="P70" s="60"/>
      <c r="Q70" s="38">
        <v>0</v>
      </c>
      <c r="R70" s="60">
        <v>0</v>
      </c>
      <c r="S70" s="38">
        <v>768386</v>
      </c>
      <c r="T70" s="60">
        <v>0</v>
      </c>
      <c r="U70" s="38">
        <v>0</v>
      </c>
      <c r="V70" s="60"/>
      <c r="W70" s="38">
        <v>5957659</v>
      </c>
      <c r="X70" s="60"/>
      <c r="Y70" s="38">
        <v>-1156439.71</v>
      </c>
      <c r="Z70" s="60"/>
      <c r="AA70" s="38">
        <v>6564288.6299999999</v>
      </c>
    </row>
    <row r="71" spans="1:27" x14ac:dyDescent="0.25">
      <c r="A71" s="9">
        <v>31</v>
      </c>
      <c r="B71" s="3"/>
      <c r="C71" s="10" t="s">
        <v>69</v>
      </c>
      <c r="D71" s="60">
        <f>F71+H71+J71+L71+N71+P71+R71+V71+X71+Z71+T71</f>
        <v>0</v>
      </c>
      <c r="E71" s="60">
        <f>G71+I71+K71+M71+O71+Q71+S71+W71+Y71+AA71+U71</f>
        <v>-15629578.689999999</v>
      </c>
      <c r="F71" s="60"/>
      <c r="G71" s="38">
        <v>-1955927</v>
      </c>
      <c r="H71" s="60"/>
      <c r="I71" s="38">
        <v>-5679557.9500000002</v>
      </c>
      <c r="J71" s="60"/>
      <c r="K71" s="38">
        <v>0</v>
      </c>
      <c r="L71" s="60"/>
      <c r="M71" s="38">
        <v>0</v>
      </c>
      <c r="N71" s="60"/>
      <c r="O71" s="38">
        <v>-2029682</v>
      </c>
      <c r="P71" s="60"/>
      <c r="Q71" s="38">
        <v>0</v>
      </c>
      <c r="R71" s="60"/>
      <c r="S71" s="38">
        <v>-722249</v>
      </c>
      <c r="T71" s="60"/>
      <c r="U71" s="38">
        <v>0</v>
      </c>
      <c r="V71" s="60"/>
      <c r="W71" s="38">
        <v>0</v>
      </c>
      <c r="X71" s="60"/>
      <c r="Y71" s="38">
        <v>832910</v>
      </c>
      <c r="Z71" s="60"/>
      <c r="AA71" s="38">
        <v>-6075072.7400000002</v>
      </c>
    </row>
    <row r="72" spans="1:27" x14ac:dyDescent="0.25">
      <c r="A72" s="9"/>
      <c r="B72" s="3"/>
      <c r="C72" s="55" t="s">
        <v>70</v>
      </c>
      <c r="D72" s="61">
        <f t="shared" ref="D72:AA72" si="13">SUM(D70:D71)</f>
        <v>0</v>
      </c>
      <c r="E72" s="150">
        <f t="shared" si="13"/>
        <v>7018640.8999999966</v>
      </c>
      <c r="F72" s="61">
        <f t="shared" si="13"/>
        <v>0</v>
      </c>
      <c r="G72" s="39">
        <f t="shared" si="13"/>
        <v>1134187.6099999999</v>
      </c>
      <c r="H72" s="61">
        <f t="shared" si="13"/>
        <v>0</v>
      </c>
      <c r="I72" s="39">
        <f t="shared" si="13"/>
        <v>-2468703.7000000002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2183674.8099999996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46137</v>
      </c>
      <c r="T72" s="61">
        <f>SUM(T70:T71)</f>
        <v>0</v>
      </c>
      <c r="U72" s="39">
        <f>SUM(U70:U71)</f>
        <v>0</v>
      </c>
      <c r="V72" s="61">
        <f t="shared" si="13"/>
        <v>0</v>
      </c>
      <c r="W72" s="39">
        <f t="shared" si="13"/>
        <v>5957659</v>
      </c>
      <c r="X72" s="61">
        <f t="shared" si="13"/>
        <v>0</v>
      </c>
      <c r="Y72" s="39">
        <f t="shared" si="13"/>
        <v>-323529.70999999996</v>
      </c>
      <c r="Z72" s="61">
        <f t="shared" si="13"/>
        <v>0</v>
      </c>
      <c r="AA72" s="39">
        <f t="shared" si="13"/>
        <v>489215.88999999966</v>
      </c>
    </row>
    <row r="73" spans="1:27" x14ac:dyDescent="0.25">
      <c r="A73" s="9">
        <v>32</v>
      </c>
      <c r="B73" s="3"/>
      <c r="C73" s="10" t="s">
        <v>71</v>
      </c>
      <c r="D73" s="60">
        <f t="shared" ref="D73:D81" si="14">F73+H73+J73+L73+N73+P73+R73+V73+X73+Z73+T73</f>
        <v>0</v>
      </c>
      <c r="E73" s="60">
        <f t="shared" ref="E73:E81" si="15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5">
      <c r="A74" s="9">
        <v>33</v>
      </c>
      <c r="B74" s="3"/>
      <c r="C74" s="10" t="s">
        <v>72</v>
      </c>
      <c r="D74" s="60">
        <f t="shared" si="14"/>
        <v>0</v>
      </c>
      <c r="E74" s="60">
        <f t="shared" si="15"/>
        <v>-1305102</v>
      </c>
      <c r="F74" s="65"/>
      <c r="G74" s="66">
        <f>-505484</f>
        <v>-505484</v>
      </c>
      <c r="H74" s="65"/>
      <c r="I74" s="66">
        <f>3010163</f>
        <v>3010163</v>
      </c>
      <c r="J74" s="65"/>
      <c r="K74" s="66">
        <v>0</v>
      </c>
      <c r="L74" s="65"/>
      <c r="M74" s="66">
        <v>0</v>
      </c>
      <c r="N74" s="65"/>
      <c r="O74" s="66">
        <f>-819542</f>
        <v>-819542</v>
      </c>
      <c r="P74" s="65"/>
      <c r="Q74" s="66">
        <v>0</v>
      </c>
      <c r="R74" s="65"/>
      <c r="S74" s="66">
        <v>0</v>
      </c>
      <c r="T74" s="65"/>
      <c r="U74" s="66">
        <f>394784-1416080-137974</f>
        <v>-1159270</v>
      </c>
      <c r="V74" s="65"/>
      <c r="W74" s="66">
        <f>-1398253</f>
        <v>-1398253</v>
      </c>
      <c r="X74" s="65"/>
      <c r="Y74" s="66">
        <f>144425</f>
        <v>144425</v>
      </c>
      <c r="Z74" s="65"/>
      <c r="AA74" s="66">
        <v>-577141</v>
      </c>
    </row>
    <row r="75" spans="1:27" x14ac:dyDescent="0.25">
      <c r="A75" s="9">
        <v>34</v>
      </c>
      <c r="B75" s="3"/>
      <c r="C75" s="10" t="s">
        <v>73</v>
      </c>
      <c r="D75" s="60">
        <f t="shared" si="14"/>
        <v>0</v>
      </c>
      <c r="E75" s="60">
        <f t="shared" si="15"/>
        <v>478000</v>
      </c>
      <c r="F75" s="65"/>
      <c r="G75" s="38">
        <v>16200</v>
      </c>
      <c r="H75" s="65"/>
      <c r="I75" s="38">
        <v>274200</v>
      </c>
      <c r="J75" s="65"/>
      <c r="K75" s="38">
        <v>0</v>
      </c>
      <c r="L75" s="65"/>
      <c r="M75" s="38">
        <v>0</v>
      </c>
      <c r="N75" s="65"/>
      <c r="O75" s="38">
        <v>130700</v>
      </c>
      <c r="P75" s="65"/>
      <c r="Q75" s="38"/>
      <c r="R75" s="65"/>
      <c r="S75" s="38">
        <v>56900</v>
      </c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</row>
    <row r="76" spans="1:27" x14ac:dyDescent="0.25">
      <c r="A76" s="9">
        <v>35</v>
      </c>
      <c r="B76" s="3"/>
      <c r="C76" s="10" t="s">
        <v>74</v>
      </c>
      <c r="D76" s="60">
        <f t="shared" si="14"/>
        <v>0</v>
      </c>
      <c r="E76" s="60">
        <f t="shared" si="1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>
        <v>0</v>
      </c>
      <c r="X76" s="60"/>
      <c r="Y76" s="38"/>
      <c r="Z76" s="60"/>
      <c r="AA76" s="38"/>
    </row>
    <row r="77" spans="1:27" x14ac:dyDescent="0.25">
      <c r="A77" s="9">
        <v>36</v>
      </c>
      <c r="B77" s="3"/>
      <c r="C77" s="10" t="s">
        <v>75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>
        <f>-3036809-897000</f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>
        <v>0</v>
      </c>
      <c r="X77" s="65"/>
      <c r="Y77" s="38"/>
      <c r="Z77" s="65"/>
      <c r="AA77" s="38"/>
    </row>
    <row r="78" spans="1:27" x14ac:dyDescent="0.25">
      <c r="A78" s="9">
        <v>37</v>
      </c>
      <c r="B78" s="3"/>
      <c r="C78" s="10" t="s">
        <v>76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5">
      <c r="A79" s="9">
        <v>38</v>
      </c>
      <c r="B79" s="3"/>
      <c r="C79" s="10" t="s">
        <v>77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5">
      <c r="A80" s="9">
        <v>39</v>
      </c>
      <c r="B80" s="3"/>
      <c r="C80" s="10" t="s">
        <v>78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5">
      <c r="A81" s="9">
        <v>40</v>
      </c>
      <c r="B81" s="3"/>
      <c r="C81" s="10" t="s">
        <v>79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v>0</v>
      </c>
      <c r="X81" s="60"/>
      <c r="Y81" s="38"/>
      <c r="Z81" s="60"/>
      <c r="AA81" s="38"/>
    </row>
    <row r="82" spans="1:28" s="49" customFormat="1" ht="20.25" customHeight="1" thickBot="1" x14ac:dyDescent="0.3">
      <c r="A82" s="89"/>
      <c r="B82" s="90"/>
      <c r="C82" s="91" t="s">
        <v>175</v>
      </c>
      <c r="D82" s="92">
        <f>D16+D24+D29+D36+D43+D45+D47+D49</f>
        <v>0</v>
      </c>
      <c r="E82" s="112">
        <f>SUM(E72:E81)+E16+E24+E29+E36+E43+E45+E47+E49+E51+E56+E61+E66</f>
        <v>-4486248.9000000032</v>
      </c>
      <c r="F82" s="92">
        <f>F16+F24+F29+F36+F43+F45+F47+F49</f>
        <v>0</v>
      </c>
      <c r="G82" s="93">
        <f>SUM(G72:G81)+G16+G24+G29+G36+G43+G45+G47+G49+G51+G56+G61+G66</f>
        <v>-4603921.0999999996</v>
      </c>
      <c r="H82" s="92">
        <f>H16+H24+H29+H36+H43+H45+H47+H49</f>
        <v>0</v>
      </c>
      <c r="I82" s="93">
        <f>SUM(I72:I81)+I16+I24+I29+I36+I43+I45+I47+I49+I51+I56+I61+I66</f>
        <v>-1291232.9200000002</v>
      </c>
      <c r="J82" s="92">
        <f>J16+J24+J29+J36+J43+J45+J47+J49</f>
        <v>0</v>
      </c>
      <c r="K82" s="93">
        <f>SUM(K72:K81)+K16+K24+K29+K36+K43+K45+K47+K49+K51+K56+K61+K66</f>
        <v>-28437.46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2488830.4899999993</v>
      </c>
      <c r="P82" s="92">
        <f>P16+P24+P29+P36+P43+P45+P47+P49</f>
        <v>0</v>
      </c>
      <c r="Q82" s="93">
        <f>SUM(Q72:Q81)+Q16+Q24+Q29+Q36+Q43+Q45+Q47+Q49+Q51+Q56+Q61+Q66</f>
        <v>55813.74</v>
      </c>
      <c r="R82" s="92">
        <f>R16+R24+R29+R36+R43+R45+R47+R49</f>
        <v>0</v>
      </c>
      <c r="S82" s="93">
        <f>SUM(S72:S81)+S16+S24+S29+S36+S43+S45+S47+S49+S51+S56+S61+S66</f>
        <v>-1137535.57</v>
      </c>
      <c r="T82" s="92">
        <f>T16+T24+T29+T36+T43+T45+T47+T49</f>
        <v>0</v>
      </c>
      <c r="U82" s="93">
        <f>SUM(U72:U81)+U16+U24+U29+U36+U43+U45+U47+U49+U51+U56+U61+U66</f>
        <v>-4280187.8900000006</v>
      </c>
      <c r="V82" s="92">
        <f>V16+V24+V29+V36+V43+V45+V47+V49</f>
        <v>0</v>
      </c>
      <c r="W82" s="93">
        <f>SUM(W72:W81)+W16+W24+W29+W36+W43+W45+W47+W49+W51+W56+W61+W66</f>
        <v>4559406</v>
      </c>
      <c r="X82" s="92">
        <f>X16+X24+X29+X36+X43+X45+X47+X49</f>
        <v>0</v>
      </c>
      <c r="Y82" s="93">
        <f>SUM(Y72:Y81)+Y16+Y24+Y29+Y36+Y43+Y45+Y47+Y49+Y51+Y56+Y61+Y66</f>
        <v>-161059.07999999996</v>
      </c>
      <c r="Z82" s="92">
        <f>Z16+Z24+Z29+Z36+Z43+Z45+Z47+Z49</f>
        <v>0</v>
      </c>
      <c r="AA82" s="93">
        <f>SUM(AA72:AA81)+AA16+AA24+AA29+AA36+AA43+AA45+AA47+AA49+AA51+AA56+AA61+AA66</f>
        <v>-87925.110000000335</v>
      </c>
      <c r="AB82" s="94"/>
    </row>
    <row r="83" spans="1:28" ht="13.8" thickTop="1" x14ac:dyDescent="0.25">
      <c r="A83" s="4" t="s">
        <v>2</v>
      </c>
      <c r="B83" s="3"/>
    </row>
    <row r="84" spans="1:28" x14ac:dyDescent="0.25">
      <c r="A84" s="4"/>
      <c r="B84" s="3"/>
      <c r="M84" s="45"/>
    </row>
    <row r="85" spans="1:28" x14ac:dyDescent="0.25">
      <c r="A85" s="4" t="s">
        <v>196</v>
      </c>
      <c r="B85" s="3"/>
      <c r="F85" s="31"/>
      <c r="G85" s="31"/>
      <c r="H85" s="31"/>
      <c r="I85" s="31"/>
      <c r="L85" s="45"/>
    </row>
    <row r="86" spans="1:28" s="3" customFormat="1" x14ac:dyDescent="0.25">
      <c r="A86" s="173"/>
      <c r="C86" s="10" t="s">
        <v>173</v>
      </c>
      <c r="D86" s="174">
        <f>F86+H86+J86+L86+N86+P86+R86+V86+X86+Z86</f>
        <v>0</v>
      </c>
      <c r="E86" s="201">
        <f>G86+I86+K86+M86+O86+Q86+S86+W86+Y86+AA86</f>
        <v>-203845</v>
      </c>
      <c r="F86" s="174"/>
      <c r="G86" s="174"/>
      <c r="H86" s="174"/>
      <c r="I86" s="174">
        <v>-614051</v>
      </c>
      <c r="J86" s="174"/>
      <c r="K86" s="174"/>
      <c r="L86" s="174"/>
      <c r="M86" s="174"/>
      <c r="N86" s="174"/>
      <c r="O86" s="174"/>
      <c r="P86" s="174"/>
      <c r="Q86" s="174"/>
      <c r="R86" s="174"/>
      <c r="S86" s="174">
        <v>146724</v>
      </c>
      <c r="T86" s="174"/>
      <c r="U86" s="174">
        <v>0</v>
      </c>
      <c r="V86" s="174"/>
      <c r="W86" s="174"/>
      <c r="X86" s="174"/>
      <c r="Y86" s="174">
        <v>263482</v>
      </c>
      <c r="Z86" s="174"/>
      <c r="AA86" s="174"/>
    </row>
    <row r="87" spans="1:28" s="3" customFormat="1" x14ac:dyDescent="0.25">
      <c r="A87" s="173"/>
      <c r="C87" s="10" t="s">
        <v>72</v>
      </c>
      <c r="D87" s="175">
        <v>0</v>
      </c>
      <c r="E87" s="199">
        <f>G87+I87+K87+M87+O87+Q87+S87+W87+Y87+AA87</f>
        <v>0</v>
      </c>
      <c r="F87" s="175">
        <v>0</v>
      </c>
      <c r="G87" s="175">
        <v>0</v>
      </c>
      <c r="H87" s="175">
        <v>0</v>
      </c>
      <c r="I87" s="175">
        <v>0</v>
      </c>
      <c r="J87" s="175">
        <v>0</v>
      </c>
      <c r="K87" s="175">
        <v>0</v>
      </c>
      <c r="L87" s="175">
        <v>0</v>
      </c>
      <c r="M87" s="175">
        <v>0</v>
      </c>
      <c r="N87" s="175">
        <v>0</v>
      </c>
      <c r="O87" s="175">
        <v>0</v>
      </c>
      <c r="P87" s="175">
        <v>0</v>
      </c>
      <c r="Q87" s="175">
        <v>0</v>
      </c>
      <c r="R87" s="175">
        <v>0</v>
      </c>
      <c r="S87" s="175">
        <f>W87+Y87+AA87+AC87+AE87+AG87+AI87+AK87+AM87+AO87</f>
        <v>0</v>
      </c>
      <c r="T87" s="175">
        <v>0</v>
      </c>
      <c r="U87" s="175">
        <f>Y87+AA87+AC87+AE87+AG87+AI87+AK87+AM87+AO87+AQ87</f>
        <v>0</v>
      </c>
      <c r="V87" s="175">
        <f>X87+Z87+AB87+AD87+AF87+AH87+AJ87+AL87+AN87+AP87</f>
        <v>0</v>
      </c>
      <c r="W87" s="175"/>
      <c r="X87" s="175"/>
      <c r="Y87" s="175"/>
      <c r="Z87" s="175"/>
      <c r="AA87" s="175"/>
    </row>
    <row r="88" spans="1:28" s="3" customFormat="1" x14ac:dyDescent="0.25">
      <c r="A88" s="173"/>
      <c r="C88" s="10" t="s">
        <v>73</v>
      </c>
      <c r="D88" s="176">
        <v>0</v>
      </c>
      <c r="E88" s="200">
        <f>G88+I88+K88+M88+O88+Q88+S88+W88+Y88+AA88</f>
        <v>-56500</v>
      </c>
      <c r="F88" s="176">
        <v>0</v>
      </c>
      <c r="G88" s="176">
        <v>0</v>
      </c>
      <c r="H88" s="176">
        <v>0</v>
      </c>
      <c r="I88" s="176">
        <v>0</v>
      </c>
      <c r="J88" s="176">
        <v>0</v>
      </c>
      <c r="K88" s="176">
        <v>0</v>
      </c>
      <c r="L88" s="176">
        <v>0</v>
      </c>
      <c r="M88" s="176">
        <v>0</v>
      </c>
      <c r="N88" s="176">
        <v>0</v>
      </c>
      <c r="O88" s="176">
        <v>0</v>
      </c>
      <c r="P88" s="176">
        <v>0</v>
      </c>
      <c r="Q88" s="176">
        <v>0</v>
      </c>
      <c r="R88" s="176">
        <v>0</v>
      </c>
      <c r="S88" s="176">
        <v>-56500</v>
      </c>
      <c r="T88" s="176">
        <v>0</v>
      </c>
      <c r="U88" s="176">
        <v>0</v>
      </c>
      <c r="V88" s="176">
        <f>X88+Z88+AB88+AD88+AF88+AH88+AJ88+AL88+AN88+AP88</f>
        <v>0</v>
      </c>
      <c r="W88" s="176"/>
      <c r="X88" s="176"/>
      <c r="Y88" s="176"/>
      <c r="Z88" s="176"/>
      <c r="AA88" s="176"/>
    </row>
    <row r="89" spans="1:28" s="145" customFormat="1" ht="20.25" customHeight="1" x14ac:dyDescent="0.25">
      <c r="A89" s="187"/>
      <c r="B89" s="188"/>
      <c r="C89" s="190" t="s">
        <v>181</v>
      </c>
      <c r="D89" s="189">
        <f>SUM(D86:D88)</f>
        <v>0</v>
      </c>
      <c r="E89" s="189">
        <f t="shared" ref="E89:M89" si="16">SUM(E86:E88)</f>
        <v>-260345</v>
      </c>
      <c r="F89" s="189">
        <f t="shared" si="16"/>
        <v>0</v>
      </c>
      <c r="G89" s="189">
        <f t="shared" si="16"/>
        <v>0</v>
      </c>
      <c r="H89" s="189">
        <f t="shared" si="16"/>
        <v>0</v>
      </c>
      <c r="I89" s="189">
        <f t="shared" si="16"/>
        <v>-614051</v>
      </c>
      <c r="J89" s="189">
        <f t="shared" si="16"/>
        <v>0</v>
      </c>
      <c r="K89" s="189">
        <f t="shared" si="16"/>
        <v>0</v>
      </c>
      <c r="L89" s="189">
        <f t="shared" si="16"/>
        <v>0</v>
      </c>
      <c r="M89" s="189">
        <f t="shared" si="16"/>
        <v>0</v>
      </c>
      <c r="N89" s="189">
        <f t="shared" ref="N89:AA89" si="17">SUM(N86:N88)</f>
        <v>0</v>
      </c>
      <c r="O89" s="189">
        <f t="shared" si="17"/>
        <v>0</v>
      </c>
      <c r="P89" s="189">
        <f t="shared" si="17"/>
        <v>0</v>
      </c>
      <c r="Q89" s="189">
        <f t="shared" si="17"/>
        <v>0</v>
      </c>
      <c r="R89" s="189">
        <f t="shared" si="17"/>
        <v>0</v>
      </c>
      <c r="S89" s="189">
        <f t="shared" si="17"/>
        <v>90224</v>
      </c>
      <c r="T89" s="189">
        <f>SUM(T86:T88)</f>
        <v>0</v>
      </c>
      <c r="U89" s="189">
        <f>SUM(U86:U88)</f>
        <v>0</v>
      </c>
      <c r="V89" s="189">
        <f t="shared" si="17"/>
        <v>0</v>
      </c>
      <c r="W89" s="189">
        <f t="shared" si="17"/>
        <v>0</v>
      </c>
      <c r="X89" s="189">
        <f t="shared" si="17"/>
        <v>0</v>
      </c>
      <c r="Y89" s="189">
        <f t="shared" si="17"/>
        <v>263482</v>
      </c>
      <c r="Z89" s="189">
        <f t="shared" si="17"/>
        <v>0</v>
      </c>
      <c r="AA89" s="189">
        <f t="shared" si="17"/>
        <v>0</v>
      </c>
    </row>
    <row r="90" spans="1:28" x14ac:dyDescent="0.25">
      <c r="A90" s="4"/>
      <c r="B90" s="3"/>
      <c r="F90" s="31"/>
      <c r="G90" s="31"/>
      <c r="H90" s="31"/>
      <c r="I90" s="31"/>
    </row>
    <row r="91" spans="1:28" s="145" customFormat="1" ht="20.25" customHeight="1" x14ac:dyDescent="0.25">
      <c r="A91" s="187"/>
      <c r="B91" s="188"/>
      <c r="C91" s="186" t="s">
        <v>182</v>
      </c>
      <c r="D91" s="189">
        <f>+D82+D89</f>
        <v>0</v>
      </c>
      <c r="E91" s="189">
        <f t="shared" ref="E91:M91" si="18">+E82+E89</f>
        <v>-4746593.9000000032</v>
      </c>
      <c r="F91" s="189">
        <f t="shared" si="18"/>
        <v>0</v>
      </c>
      <c r="G91" s="189">
        <f t="shared" si="18"/>
        <v>-4603921.0999999996</v>
      </c>
      <c r="H91" s="189">
        <f t="shared" si="18"/>
        <v>0</v>
      </c>
      <c r="I91" s="189">
        <f t="shared" si="18"/>
        <v>-1905283.9200000002</v>
      </c>
      <c r="J91" s="189">
        <f t="shared" si="18"/>
        <v>0</v>
      </c>
      <c r="K91" s="189">
        <f t="shared" si="18"/>
        <v>-28437.46</v>
      </c>
      <c r="L91" s="189">
        <f t="shared" si="18"/>
        <v>0</v>
      </c>
      <c r="M91" s="189">
        <f t="shared" si="18"/>
        <v>0</v>
      </c>
      <c r="N91" s="189">
        <f t="shared" ref="N91:AA91" si="19">+N82+N89</f>
        <v>0</v>
      </c>
      <c r="O91" s="189">
        <f t="shared" si="19"/>
        <v>2488830.4899999993</v>
      </c>
      <c r="P91" s="189">
        <f t="shared" si="19"/>
        <v>0</v>
      </c>
      <c r="Q91" s="189">
        <f t="shared" si="19"/>
        <v>55813.74</v>
      </c>
      <c r="R91" s="189">
        <f t="shared" si="19"/>
        <v>0</v>
      </c>
      <c r="S91" s="189">
        <f t="shared" si="19"/>
        <v>-1047311.5700000001</v>
      </c>
      <c r="T91" s="189">
        <f>+T82+T89</f>
        <v>0</v>
      </c>
      <c r="U91" s="189">
        <f>+U82+U89</f>
        <v>-4280187.8900000006</v>
      </c>
      <c r="V91" s="189">
        <f t="shared" si="19"/>
        <v>0</v>
      </c>
      <c r="W91" s="189">
        <f t="shared" si="19"/>
        <v>4559406</v>
      </c>
      <c r="X91" s="189">
        <f t="shared" si="19"/>
        <v>0</v>
      </c>
      <c r="Y91" s="189">
        <f t="shared" si="19"/>
        <v>102422.92000000004</v>
      </c>
      <c r="Z91" s="189">
        <f t="shared" si="19"/>
        <v>0</v>
      </c>
      <c r="AA91" s="189">
        <f t="shared" si="19"/>
        <v>-87925.110000000335</v>
      </c>
    </row>
    <row r="92" spans="1:28" x14ac:dyDescent="0.25">
      <c r="A92" s="4"/>
      <c r="B92" s="3"/>
      <c r="D92" s="31">
        <v>0</v>
      </c>
      <c r="E92" s="192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-1298786.68</v>
      </c>
      <c r="V92">
        <v>0</v>
      </c>
      <c r="W92">
        <v>7357972.9900000002</v>
      </c>
      <c r="X92">
        <v>0</v>
      </c>
      <c r="Y92">
        <v>49985.46</v>
      </c>
      <c r="Z92">
        <v>0</v>
      </c>
      <c r="AA92">
        <v>17891407.899999999</v>
      </c>
    </row>
    <row r="93" spans="1:28" x14ac:dyDescent="0.25">
      <c r="A93" s="4"/>
      <c r="B93" s="3"/>
    </row>
    <row r="94" spans="1:28" x14ac:dyDescent="0.25">
      <c r="A94" s="4"/>
      <c r="B94" s="3"/>
      <c r="E94" s="192">
        <f>+E74+E12+E20</f>
        <v>-8049080.7999999998</v>
      </c>
      <c r="G94" s="192">
        <f>+G12+G20+G74</f>
        <v>-5754308.71</v>
      </c>
      <c r="I94" s="192">
        <f>+I12+I20+I74</f>
        <v>4837079.78</v>
      </c>
      <c r="K94" s="192">
        <f>+K12+K20+K74</f>
        <v>-28437.46</v>
      </c>
      <c r="M94" s="192">
        <f>+M12+M20+M74</f>
        <v>0</v>
      </c>
      <c r="O94" s="192">
        <f>+O12+O20+O74</f>
        <v>174455.67999999993</v>
      </c>
      <c r="Q94" s="192">
        <f>+Q12+Q20+Q74</f>
        <v>55813.74</v>
      </c>
      <c r="S94" s="192">
        <f>+S12+S20+S74</f>
        <v>-1240572.57</v>
      </c>
      <c r="U94" s="192">
        <f>+U12+U20+U74</f>
        <v>-4280187.8900000006</v>
      </c>
      <c r="W94" s="192">
        <f>+W12+W20+W74</f>
        <v>-1398253</v>
      </c>
      <c r="Y94" s="192">
        <f>+Y12+Y20+Y74</f>
        <v>162470.63</v>
      </c>
      <c r="AA94" s="192">
        <f>+AA12+AA20+AA74</f>
        <v>-577141</v>
      </c>
    </row>
    <row r="95" spans="1:28" x14ac:dyDescent="0.25">
      <c r="A95" s="4"/>
      <c r="B95" s="3"/>
      <c r="E95" s="192">
        <v>-6760120</v>
      </c>
    </row>
    <row r="96" spans="1:28" x14ac:dyDescent="0.25">
      <c r="A96" s="4"/>
      <c r="B96" s="3"/>
      <c r="E96" s="192">
        <f>+E94-E95</f>
        <v>-1288960.7999999998</v>
      </c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82" sqref="E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154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52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175">
        <v>58782868</v>
      </c>
      <c r="E11" s="175">
        <v>133608143</v>
      </c>
      <c r="F11" s="60">
        <f>H11-D11</f>
        <v>0</v>
      </c>
      <c r="G11" s="37">
        <f>I11-E11</f>
        <v>0</v>
      </c>
      <c r="H11" s="65">
        <f t="shared" ref="H11:I15" si="0">D11</f>
        <v>58782868</v>
      </c>
      <c r="I11" s="66">
        <f t="shared" si="0"/>
        <v>133608143</v>
      </c>
      <c r="J11" s="37"/>
      <c r="K11" s="38"/>
      <c r="L11" s="60">
        <f t="shared" ref="L11:M15" si="1">H11+J11</f>
        <v>58782868</v>
      </c>
      <c r="M11" s="38">
        <f t="shared" si="1"/>
        <v>133608143</v>
      </c>
    </row>
    <row r="12" spans="1:26" x14ac:dyDescent="0.25">
      <c r="A12" s="9">
        <v>2</v>
      </c>
      <c r="B12" s="7"/>
      <c r="C12" s="18" t="s">
        <v>27</v>
      </c>
      <c r="D12" s="175">
        <v>0</v>
      </c>
      <c r="E12" s="17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28</v>
      </c>
      <c r="D13" s="175">
        <v>17889674</v>
      </c>
      <c r="E13" s="175">
        <v>40884725</v>
      </c>
      <c r="F13" s="60">
        <f t="shared" si="2"/>
        <v>0</v>
      </c>
      <c r="G13" s="37">
        <f t="shared" si="2"/>
        <v>0</v>
      </c>
      <c r="H13" s="65">
        <f t="shared" si="0"/>
        <v>17889674</v>
      </c>
      <c r="I13" s="66">
        <f t="shared" si="0"/>
        <v>40884725</v>
      </c>
      <c r="J13" s="37"/>
      <c r="K13" s="38"/>
      <c r="L13" s="60">
        <f t="shared" si="1"/>
        <v>17889674</v>
      </c>
      <c r="M13" s="38">
        <f t="shared" si="1"/>
        <v>40884725</v>
      </c>
    </row>
    <row r="14" spans="1:26" x14ac:dyDescent="0.25">
      <c r="A14" s="9">
        <v>4</v>
      </c>
      <c r="B14" s="7"/>
      <c r="C14" s="18" t="s">
        <v>29</v>
      </c>
      <c r="D14" s="175">
        <v>0</v>
      </c>
      <c r="E14" s="17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30</v>
      </c>
      <c r="D15" s="175">
        <v>0</v>
      </c>
      <c r="E15" s="17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31</v>
      </c>
      <c r="C16" s="6"/>
      <c r="D16" s="204">
        <v>76672542</v>
      </c>
      <c r="E16" s="204">
        <v>174492868</v>
      </c>
      <c r="F16" s="61">
        <f t="shared" ref="F16:M16" si="3">SUM(F11:F15)</f>
        <v>0</v>
      </c>
      <c r="G16" s="39">
        <f t="shared" si="3"/>
        <v>0</v>
      </c>
      <c r="H16" s="61">
        <f>SUM(H11:H15)</f>
        <v>76672542</v>
      </c>
      <c r="I16" s="39">
        <f>SUM(I11:I15)</f>
        <v>174492868</v>
      </c>
      <c r="J16" s="153">
        <f t="shared" si="3"/>
        <v>0</v>
      </c>
      <c r="K16" s="39">
        <f t="shared" si="3"/>
        <v>0</v>
      </c>
      <c r="L16" s="61">
        <f t="shared" si="3"/>
        <v>76672542</v>
      </c>
      <c r="M16" s="39">
        <f t="shared" si="3"/>
        <v>174492868</v>
      </c>
    </row>
    <row r="17" spans="1:13" x14ac:dyDescent="0.25">
      <c r="A17" s="9"/>
      <c r="B17" s="7"/>
      <c r="C17" s="6"/>
      <c r="D17" s="178"/>
      <c r="E17" s="178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32</v>
      </c>
      <c r="C18" s="6"/>
      <c r="D18" s="178"/>
      <c r="E18" s="17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175">
        <v>-50102777</v>
      </c>
      <c r="E19" s="175">
        <v>-113086264</v>
      </c>
      <c r="F19" s="60">
        <f>H19-D19</f>
        <v>0</v>
      </c>
      <c r="G19" s="37">
        <f>I19-E19</f>
        <v>0</v>
      </c>
      <c r="H19" s="65">
        <f t="shared" si="4"/>
        <v>-50102777</v>
      </c>
      <c r="I19" s="66">
        <f t="shared" si="4"/>
        <v>-113086264</v>
      </c>
      <c r="J19" s="37">
        <v>0</v>
      </c>
      <c r="K19" s="38">
        <v>0</v>
      </c>
      <c r="L19" s="60">
        <f t="shared" ref="L19:M23" si="5">H19+J19</f>
        <v>-50102777</v>
      </c>
      <c r="M19" s="38">
        <f t="shared" si="5"/>
        <v>-113086264</v>
      </c>
    </row>
    <row r="20" spans="1:13" x14ac:dyDescent="0.25">
      <c r="A20" s="9">
        <v>7</v>
      </c>
      <c r="B20" s="7"/>
      <c r="C20" s="18" t="s">
        <v>27</v>
      </c>
      <c r="D20" s="175">
        <v>0</v>
      </c>
      <c r="E20" s="17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175">
        <v>-26260330</v>
      </c>
      <c r="E21" s="175">
        <v>-59849071</v>
      </c>
      <c r="F21" s="60">
        <f t="shared" si="6"/>
        <v>0</v>
      </c>
      <c r="G21" s="37">
        <f t="shared" si="6"/>
        <v>0</v>
      </c>
      <c r="H21" s="65">
        <f t="shared" si="4"/>
        <v>-26260330</v>
      </c>
      <c r="I21" s="66">
        <f t="shared" si="4"/>
        <v>-59849071</v>
      </c>
      <c r="J21" s="37"/>
      <c r="K21" s="38"/>
      <c r="L21" s="60">
        <f t="shared" si="5"/>
        <v>-26260330</v>
      </c>
      <c r="M21" s="38">
        <f t="shared" si="5"/>
        <v>-59849071</v>
      </c>
    </row>
    <row r="22" spans="1:13" x14ac:dyDescent="0.25">
      <c r="A22" s="9">
        <v>9</v>
      </c>
      <c r="B22" s="7"/>
      <c r="C22" s="18" t="s">
        <v>29</v>
      </c>
      <c r="D22" s="175">
        <v>0</v>
      </c>
      <c r="E22" s="17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175">
        <v>234103</v>
      </c>
      <c r="E23" s="175">
        <v>520339</v>
      </c>
      <c r="F23" s="60">
        <f t="shared" si="6"/>
        <v>0</v>
      </c>
      <c r="G23" s="37">
        <f t="shared" si="6"/>
        <v>0</v>
      </c>
      <c r="H23" s="65">
        <f t="shared" si="4"/>
        <v>234103</v>
      </c>
      <c r="I23" s="66">
        <f t="shared" si="4"/>
        <v>520339</v>
      </c>
      <c r="J23" s="37"/>
      <c r="K23" s="38"/>
      <c r="L23" s="60">
        <f t="shared" si="5"/>
        <v>234103</v>
      </c>
      <c r="M23" s="38">
        <f t="shared" si="5"/>
        <v>520339</v>
      </c>
    </row>
    <row r="24" spans="1:13" x14ac:dyDescent="0.25">
      <c r="A24" s="9"/>
      <c r="B24" s="7" t="s">
        <v>34</v>
      </c>
      <c r="C24" s="6"/>
      <c r="D24" s="204">
        <v>-76129004</v>
      </c>
      <c r="E24" s="204">
        <v>-172414996</v>
      </c>
      <c r="F24" s="61">
        <f t="shared" ref="F24:M24" si="7">SUM(F19:F23)</f>
        <v>0</v>
      </c>
      <c r="G24" s="39">
        <f t="shared" si="7"/>
        <v>0</v>
      </c>
      <c r="H24" s="61">
        <f>SUM(H19:H23)</f>
        <v>-76129004</v>
      </c>
      <c r="I24" s="39">
        <f>SUM(I19:I23)</f>
        <v>-172414996</v>
      </c>
      <c r="J24" s="153">
        <f t="shared" si="7"/>
        <v>0</v>
      </c>
      <c r="K24" s="39">
        <f t="shared" si="7"/>
        <v>0</v>
      </c>
      <c r="L24" s="61">
        <f t="shared" si="7"/>
        <v>-76129004</v>
      </c>
      <c r="M24" s="39">
        <f t="shared" si="7"/>
        <v>-172414996</v>
      </c>
    </row>
    <row r="25" spans="1:13" x14ac:dyDescent="0.25">
      <c r="A25" s="9"/>
      <c r="B25" s="7"/>
      <c r="C25" s="6"/>
      <c r="D25" s="178"/>
      <c r="E25" s="178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35</v>
      </c>
      <c r="C26" s="6"/>
      <c r="D26" s="178"/>
      <c r="E26" s="178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175">
        <v>0</v>
      </c>
      <c r="E27" s="17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175">
        <v>0</v>
      </c>
      <c r="E28" s="17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204">
        <v>0</v>
      </c>
      <c r="E29" s="204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8"/>
      <c r="E30" s="178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39</v>
      </c>
      <c r="C31" s="6"/>
      <c r="D31" s="178"/>
      <c r="E31" s="178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175">
        <v>-123472</v>
      </c>
      <c r="E32" s="175">
        <v>-24072</v>
      </c>
      <c r="F32" s="60">
        <f>H32-D32</f>
        <v>0</v>
      </c>
      <c r="G32" s="37">
        <f>I32-E32</f>
        <v>0</v>
      </c>
      <c r="H32" s="65">
        <f t="shared" ref="H32:I35" si="9">D32</f>
        <v>-123472</v>
      </c>
      <c r="I32" s="66">
        <f t="shared" si="9"/>
        <v>-24072</v>
      </c>
      <c r="J32" s="37"/>
      <c r="K32" s="38"/>
      <c r="L32" s="60">
        <f t="shared" ref="L32:M35" si="10">H32+J32</f>
        <v>-123472</v>
      </c>
      <c r="M32" s="38">
        <f t="shared" si="10"/>
        <v>-24072</v>
      </c>
    </row>
    <row r="33" spans="1:13" x14ac:dyDescent="0.25">
      <c r="A33" s="9">
        <v>14</v>
      </c>
      <c r="B33" s="7"/>
      <c r="C33" s="18" t="s">
        <v>41</v>
      </c>
      <c r="D33" s="175">
        <v>0</v>
      </c>
      <c r="E33" s="17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175">
        <v>0</v>
      </c>
      <c r="E34" s="17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175">
        <v>-197338</v>
      </c>
      <c r="E35" s="175">
        <v>-429285</v>
      </c>
      <c r="F35" s="60">
        <f t="shared" si="11"/>
        <v>0</v>
      </c>
      <c r="G35" s="37">
        <f t="shared" si="11"/>
        <v>0</v>
      </c>
      <c r="H35" s="65">
        <f t="shared" si="9"/>
        <v>-197338</v>
      </c>
      <c r="I35" s="66">
        <f t="shared" si="9"/>
        <v>-429285</v>
      </c>
      <c r="J35" s="37">
        <v>0</v>
      </c>
      <c r="K35" s="38">
        <v>0</v>
      </c>
      <c r="L35" s="60">
        <f t="shared" si="10"/>
        <v>-197338</v>
      </c>
      <c r="M35" s="38">
        <f t="shared" si="10"/>
        <v>-429285</v>
      </c>
    </row>
    <row r="36" spans="1:13" x14ac:dyDescent="0.25">
      <c r="A36" s="9"/>
      <c r="B36" s="7" t="s">
        <v>44</v>
      </c>
      <c r="C36" s="6"/>
      <c r="D36" s="204">
        <v>-320810</v>
      </c>
      <c r="E36" s="204">
        <v>-453357</v>
      </c>
      <c r="F36" s="61">
        <f>SUM(F32:F35)</f>
        <v>0</v>
      </c>
      <c r="G36" s="39">
        <f>SUM(G32:G35)</f>
        <v>0</v>
      </c>
      <c r="H36" s="61">
        <f>SUM(H32:H35)</f>
        <v>-320810</v>
      </c>
      <c r="I36" s="39">
        <f>SUM(I32:I35)</f>
        <v>-453357</v>
      </c>
      <c r="J36" s="153">
        <f>SUM(J32:J34)</f>
        <v>0</v>
      </c>
      <c r="K36" s="39">
        <f>SUM(K32:K34)</f>
        <v>0</v>
      </c>
      <c r="L36" s="61">
        <f>SUM(L32:L35)</f>
        <v>-320810</v>
      </c>
      <c r="M36" s="39">
        <f>SUM(M32:M35)</f>
        <v>-453357</v>
      </c>
    </row>
    <row r="37" spans="1:13" x14ac:dyDescent="0.25">
      <c r="A37" s="9"/>
      <c r="B37" s="7"/>
      <c r="C37" s="6"/>
      <c r="D37" s="178"/>
      <c r="E37" s="17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178"/>
      <c r="E38" s="17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175">
        <v>81230</v>
      </c>
      <c r="E39" s="175">
        <v>177233</v>
      </c>
      <c r="F39" s="60">
        <f t="shared" ref="F39:G41" si="13">H39-D39</f>
        <v>0</v>
      </c>
      <c r="G39" s="37">
        <f t="shared" si="13"/>
        <v>0</v>
      </c>
      <c r="H39" s="65">
        <f t="shared" si="12"/>
        <v>81230</v>
      </c>
      <c r="I39" s="66">
        <f t="shared" si="12"/>
        <v>177233</v>
      </c>
      <c r="J39" s="37"/>
      <c r="K39" s="38"/>
      <c r="L39" s="60">
        <f t="shared" ref="L39:M41" si="14">H39+J39</f>
        <v>81230</v>
      </c>
      <c r="M39" s="38">
        <f t="shared" si="14"/>
        <v>177233</v>
      </c>
    </row>
    <row r="40" spans="1:13" ht="22.5" customHeight="1" x14ac:dyDescent="0.25">
      <c r="A40" s="9">
        <v>18</v>
      </c>
      <c r="B40" s="7"/>
      <c r="C40" s="18" t="s">
        <v>47</v>
      </c>
      <c r="D40" s="175">
        <v>-147172</v>
      </c>
      <c r="E40" s="175">
        <v>-324515</v>
      </c>
      <c r="F40" s="60">
        <f t="shared" si="13"/>
        <v>0</v>
      </c>
      <c r="G40" s="37">
        <f t="shared" si="13"/>
        <v>0</v>
      </c>
      <c r="H40" s="65">
        <f t="shared" si="12"/>
        <v>-147172</v>
      </c>
      <c r="I40" s="66">
        <f t="shared" si="12"/>
        <v>-324515</v>
      </c>
      <c r="J40" s="37"/>
      <c r="K40" s="38"/>
      <c r="L40" s="60">
        <f t="shared" si="14"/>
        <v>-147172</v>
      </c>
      <c r="M40" s="38">
        <f t="shared" si="14"/>
        <v>-324515</v>
      </c>
    </row>
    <row r="41" spans="1:13" x14ac:dyDescent="0.25">
      <c r="A41" s="9">
        <v>19</v>
      </c>
      <c r="B41" s="7"/>
      <c r="C41" s="18" t="s">
        <v>48</v>
      </c>
      <c r="D41" s="175">
        <v>0</v>
      </c>
      <c r="E41" s="17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204">
        <v>-147172</v>
      </c>
      <c r="E42" s="204">
        <v>-324515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-147172</v>
      </c>
      <c r="I42" s="39">
        <f>SUM(I40:I41)</f>
        <v>-324515</v>
      </c>
      <c r="J42" s="153">
        <f t="shared" si="15"/>
        <v>0</v>
      </c>
      <c r="K42" s="39">
        <f t="shared" si="15"/>
        <v>0</v>
      </c>
      <c r="L42" s="61">
        <f t="shared" si="15"/>
        <v>-147172</v>
      </c>
      <c r="M42" s="39">
        <f t="shared" si="15"/>
        <v>-324515</v>
      </c>
    </row>
    <row r="43" spans="1:13" ht="21" customHeight="1" x14ac:dyDescent="0.25">
      <c r="A43" s="9"/>
      <c r="B43" s="7" t="s">
        <v>50</v>
      </c>
      <c r="C43" s="6"/>
      <c r="D43" s="204">
        <v>-65942</v>
      </c>
      <c r="E43" s="204">
        <v>-147282</v>
      </c>
      <c r="F43" s="61">
        <f t="shared" ref="F43:M43" si="16">F42+F39</f>
        <v>0</v>
      </c>
      <c r="G43" s="39">
        <f t="shared" si="16"/>
        <v>0</v>
      </c>
      <c r="H43" s="61">
        <f>H42+H39</f>
        <v>-65942</v>
      </c>
      <c r="I43" s="39">
        <f>I42+I39</f>
        <v>-147282</v>
      </c>
      <c r="J43" s="153">
        <f t="shared" si="16"/>
        <v>0</v>
      </c>
      <c r="K43" s="39">
        <f t="shared" si="16"/>
        <v>0</v>
      </c>
      <c r="L43" s="61">
        <f t="shared" si="16"/>
        <v>-65942</v>
      </c>
      <c r="M43" s="39">
        <f t="shared" si="16"/>
        <v>-147282</v>
      </c>
    </row>
    <row r="44" spans="1:13" x14ac:dyDescent="0.25">
      <c r="A44" s="9"/>
      <c r="B44" s="7"/>
      <c r="C44" s="6"/>
      <c r="D44" s="178"/>
      <c r="E44" s="178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175">
        <v>0</v>
      </c>
      <c r="E45" s="17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8"/>
      <c r="E46" s="178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175">
        <v>0</v>
      </c>
      <c r="E47" s="17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8"/>
      <c r="E48" s="178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175">
        <v>-156786</v>
      </c>
      <c r="E49" s="175">
        <v>-348957.81627000001</v>
      </c>
      <c r="F49" s="60">
        <f>H49-D49</f>
        <v>0</v>
      </c>
      <c r="G49" s="37">
        <f>I49-E49</f>
        <v>0</v>
      </c>
      <c r="H49" s="65">
        <f>D49</f>
        <v>-156786</v>
      </c>
      <c r="I49" s="66">
        <f>E49</f>
        <v>-348957.81627000001</v>
      </c>
      <c r="J49" s="37"/>
      <c r="K49" s="38"/>
      <c r="L49" s="60">
        <f>H49+J49</f>
        <v>-156786</v>
      </c>
      <c r="M49" s="38">
        <f>I49+K49</f>
        <v>-348957.81627000001</v>
      </c>
    </row>
    <row r="50" spans="1:15" x14ac:dyDescent="0.25">
      <c r="A50" s="9"/>
      <c r="B50" s="7"/>
      <c r="C50" s="6"/>
      <c r="D50" s="178"/>
      <c r="E50" s="178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175">
        <v>-234103</v>
      </c>
      <c r="E51" s="175">
        <v>-520339</v>
      </c>
      <c r="F51" s="60">
        <f>H51-D51</f>
        <v>0</v>
      </c>
      <c r="G51" s="37">
        <f>I51-E51</f>
        <v>0</v>
      </c>
      <c r="H51" s="65">
        <f>D51</f>
        <v>-234103</v>
      </c>
      <c r="I51" s="66">
        <f>E51</f>
        <v>-520339</v>
      </c>
      <c r="J51" s="37"/>
      <c r="K51" s="38"/>
      <c r="L51" s="60">
        <f>H51+J51</f>
        <v>-234103</v>
      </c>
      <c r="M51" s="38">
        <f>I51+K51</f>
        <v>-520339</v>
      </c>
    </row>
    <row r="52" spans="1:15" x14ac:dyDescent="0.25">
      <c r="A52" s="9"/>
      <c r="B52" s="7"/>
      <c r="C52" s="6"/>
      <c r="D52" s="178"/>
      <c r="E52" s="178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55</v>
      </c>
      <c r="C53" s="6"/>
      <c r="D53" s="178"/>
      <c r="E53" s="178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175">
        <v>0</v>
      </c>
      <c r="E54" s="175">
        <v>-81224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-81224</v>
      </c>
      <c r="J54" s="37"/>
      <c r="K54" s="38"/>
      <c r="L54" s="60">
        <f>H54+J54</f>
        <v>0</v>
      </c>
      <c r="M54" s="38">
        <f>I54+K54</f>
        <v>-81224</v>
      </c>
    </row>
    <row r="55" spans="1:15" x14ac:dyDescent="0.25">
      <c r="A55" s="9">
        <v>25</v>
      </c>
      <c r="B55" s="7"/>
      <c r="C55" s="18" t="s">
        <v>57</v>
      </c>
      <c r="D55" s="175">
        <v>0</v>
      </c>
      <c r="E55" s="175">
        <v>-2198122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-2198122</v>
      </c>
      <c r="J55" s="37"/>
      <c r="K55" s="38"/>
      <c r="L55" s="60">
        <f>H55+J55</f>
        <v>0</v>
      </c>
      <c r="M55" s="38">
        <f>I55+K55</f>
        <v>-2198122</v>
      </c>
    </row>
    <row r="56" spans="1:15" x14ac:dyDescent="0.25">
      <c r="A56" s="9"/>
      <c r="B56" s="7" t="s">
        <v>58</v>
      </c>
      <c r="C56" s="6"/>
      <c r="D56" s="204">
        <v>0</v>
      </c>
      <c r="E56" s="204">
        <v>-2279346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-2279346</v>
      </c>
      <c r="J56" s="15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-2279346</v>
      </c>
    </row>
    <row r="57" spans="1:15" x14ac:dyDescent="0.25">
      <c r="A57" s="9"/>
      <c r="B57" s="7"/>
      <c r="C57" s="6"/>
      <c r="D57" s="178"/>
      <c r="E57" s="178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59</v>
      </c>
      <c r="C58" s="6"/>
      <c r="D58" s="178"/>
      <c r="E58" s="178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175">
        <v>0</v>
      </c>
      <c r="E59" s="17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175">
        <v>0</v>
      </c>
      <c r="E60" s="17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204">
        <v>0</v>
      </c>
      <c r="E61" s="204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8"/>
      <c r="E62" s="178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35</v>
      </c>
      <c r="C63" s="6"/>
      <c r="D63" s="178"/>
      <c r="E63" s="178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175">
        <v>0</v>
      </c>
      <c r="E64" s="17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175">
        <v>0</v>
      </c>
      <c r="E65" s="17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204">
        <v>0</v>
      </c>
      <c r="E66" s="204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8"/>
      <c r="E67" s="178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66</v>
      </c>
      <c r="C68" s="6"/>
      <c r="D68" s="178"/>
      <c r="E68" s="178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100" t="s">
        <v>67</v>
      </c>
      <c r="D69" s="178"/>
      <c r="E69" s="17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175">
        <v>0</v>
      </c>
      <c r="E70" s="175">
        <v>3090114.6058823531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3090114.6058823531</v>
      </c>
      <c r="J70" s="37"/>
      <c r="K70" s="38"/>
      <c r="L70" s="60">
        <f t="shared" si="20"/>
        <v>0</v>
      </c>
      <c r="M70" s="38">
        <f t="shared" si="20"/>
        <v>3090114.6058823531</v>
      </c>
    </row>
    <row r="71" spans="1:13" x14ac:dyDescent="0.25">
      <c r="A71" s="9">
        <v>31</v>
      </c>
      <c r="B71" s="3"/>
      <c r="C71" s="10" t="s">
        <v>69</v>
      </c>
      <c r="D71" s="175">
        <v>0</v>
      </c>
      <c r="E71" s="175">
        <v>-1996369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-1996369</v>
      </c>
      <c r="J71" s="37"/>
      <c r="K71" s="38"/>
      <c r="L71" s="60">
        <f t="shared" si="20"/>
        <v>0</v>
      </c>
      <c r="M71" s="38">
        <f t="shared" si="20"/>
        <v>-1996369</v>
      </c>
    </row>
    <row r="72" spans="1:13" x14ac:dyDescent="0.25">
      <c r="A72" s="9"/>
      <c r="B72" s="3"/>
      <c r="C72" s="55" t="s">
        <v>70</v>
      </c>
      <c r="D72" s="204">
        <v>0</v>
      </c>
      <c r="E72" s="204">
        <v>1093745.6058823531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1093745.6058823531</v>
      </c>
      <c r="J72" s="15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1093745.6058823531</v>
      </c>
    </row>
    <row r="73" spans="1:13" x14ac:dyDescent="0.25">
      <c r="A73" s="9">
        <v>32</v>
      </c>
      <c r="B73" s="3"/>
      <c r="C73" s="10" t="s">
        <v>71</v>
      </c>
      <c r="D73" s="175">
        <v>0</v>
      </c>
      <c r="E73" s="17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72</v>
      </c>
      <c r="D74" s="175">
        <v>0</v>
      </c>
      <c r="E74" s="175">
        <v>1208348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1208348</v>
      </c>
      <c r="J74" s="37"/>
      <c r="K74" s="38"/>
      <c r="L74" s="60">
        <f t="shared" si="24"/>
        <v>0</v>
      </c>
      <c r="M74" s="38">
        <f t="shared" si="24"/>
        <v>1208348</v>
      </c>
    </row>
    <row r="75" spans="1:13" x14ac:dyDescent="0.25">
      <c r="A75" s="9">
        <v>34</v>
      </c>
      <c r="B75" s="3"/>
      <c r="C75" s="10" t="s">
        <v>73</v>
      </c>
      <c r="D75" s="175">
        <v>0</v>
      </c>
      <c r="E75" s="175">
        <v>16174.5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16174.5</v>
      </c>
      <c r="J75" s="37"/>
      <c r="K75" s="38"/>
      <c r="L75" s="60">
        <f t="shared" si="24"/>
        <v>0</v>
      </c>
      <c r="M75" s="38">
        <f t="shared" si="24"/>
        <v>16174.5</v>
      </c>
    </row>
    <row r="76" spans="1:13" x14ac:dyDescent="0.25">
      <c r="A76" s="9">
        <v>35</v>
      </c>
      <c r="B76" s="3"/>
      <c r="C76" s="10" t="s">
        <v>74</v>
      </c>
      <c r="D76" s="175">
        <v>0</v>
      </c>
      <c r="E76" s="175">
        <v>-29510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-29510</v>
      </c>
      <c r="J76" s="37"/>
      <c r="K76" s="38"/>
      <c r="L76" s="60">
        <f t="shared" si="24"/>
        <v>0</v>
      </c>
      <c r="M76" s="38">
        <f t="shared" si="24"/>
        <v>-29510</v>
      </c>
    </row>
    <row r="77" spans="1:13" x14ac:dyDescent="0.25">
      <c r="A77" s="9">
        <v>36</v>
      </c>
      <c r="B77" s="3"/>
      <c r="C77" s="10" t="s">
        <v>75</v>
      </c>
      <c r="D77" s="175">
        <v>0</v>
      </c>
      <c r="E77" s="17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76</v>
      </c>
      <c r="D78" s="175">
        <v>0</v>
      </c>
      <c r="E78" s="17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77</v>
      </c>
      <c r="D79" s="175">
        <v>0</v>
      </c>
      <c r="E79" s="175">
        <v>1591548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1591548</v>
      </c>
      <c r="J79" s="37"/>
      <c r="K79" s="38"/>
      <c r="L79" s="60">
        <f t="shared" si="24"/>
        <v>0</v>
      </c>
      <c r="M79" s="38">
        <f t="shared" si="24"/>
        <v>1591548</v>
      </c>
    </row>
    <row r="80" spans="1:13" x14ac:dyDescent="0.25">
      <c r="A80" s="9">
        <v>39</v>
      </c>
      <c r="B80" s="3"/>
      <c r="C80" s="10" t="s">
        <v>78</v>
      </c>
      <c r="D80" s="175">
        <v>0</v>
      </c>
      <c r="E80" s="17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79</v>
      </c>
      <c r="D81" s="175">
        <v>0</v>
      </c>
      <c r="E81" s="175">
        <v>457370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6">
        <f t="shared" si="23"/>
        <v>457370</v>
      </c>
      <c r="J81" s="37"/>
      <c r="K81" s="38"/>
      <c r="L81" s="60">
        <f t="shared" si="24"/>
        <v>0</v>
      </c>
      <c r="M81" s="38">
        <f t="shared" si="24"/>
        <v>457370</v>
      </c>
    </row>
    <row r="82" spans="1:67" s="44" customFormat="1" ht="20.25" customHeight="1" thickBot="1" x14ac:dyDescent="0.3">
      <c r="A82" s="40"/>
      <c r="B82" s="41"/>
      <c r="C82" s="42" t="s">
        <v>175</v>
      </c>
      <c r="D82" s="73">
        <f>D16+D24+D29+D36+D43+D45+D47+D49</f>
        <v>0</v>
      </c>
      <c r="E82" s="167">
        <f>SUM(E72:E81)+E16+E24+E29+E36+E43+E45+E47+E49+E51+E56+E61+E66</f>
        <v>2666266.2896123463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2666266.2896123463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2666266.2896123463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69" activePane="bottomRight" state="frozen"/>
      <selection activeCell="A5" sqref="A5"/>
      <selection pane="topRight" activeCell="A5" sqref="A5"/>
      <selection pane="bottomLeft" activeCell="A5" sqref="A5"/>
      <selection pane="bottomRight"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95017908</v>
      </c>
      <c r="E11" s="38">
        <v>219210344.60659999</v>
      </c>
      <c r="F11" s="60">
        <f>H11-D11</f>
        <v>0</v>
      </c>
      <c r="G11" s="37">
        <f>I11-E11</f>
        <v>0</v>
      </c>
      <c r="H11" s="65">
        <f>D11</f>
        <v>95017908</v>
      </c>
      <c r="I11" s="66">
        <f>E11</f>
        <v>219210344.60659999</v>
      </c>
      <c r="J11" s="60"/>
      <c r="K11" s="38"/>
      <c r="L11" s="60">
        <f t="shared" ref="L11:M15" si="0">H11+J11</f>
        <v>95017908</v>
      </c>
      <c r="M11" s="38">
        <f t="shared" si="0"/>
        <v>219210344.60659999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42278465</v>
      </c>
      <c r="E13" s="38">
        <v>98353631</v>
      </c>
      <c r="F13" s="60">
        <f t="shared" si="1"/>
        <v>0</v>
      </c>
      <c r="G13" s="37">
        <f t="shared" si="1"/>
        <v>0</v>
      </c>
      <c r="H13" s="65">
        <f t="shared" si="2"/>
        <v>42278465</v>
      </c>
      <c r="I13" s="66">
        <f t="shared" si="2"/>
        <v>98353631</v>
      </c>
      <c r="J13" s="60"/>
      <c r="K13" s="38"/>
      <c r="L13" s="60">
        <f t="shared" si="0"/>
        <v>42278465</v>
      </c>
      <c r="M13" s="38">
        <f t="shared" si="0"/>
        <v>98353631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137296373</v>
      </c>
      <c r="E16" s="39">
        <v>317563975.60659999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137296373</v>
      </c>
      <c r="I16" s="39">
        <f>SUM(I11:I15)</f>
        <v>317563975.60659999</v>
      </c>
      <c r="J16" s="61">
        <f t="shared" si="3"/>
        <v>0</v>
      </c>
      <c r="K16" s="39">
        <f t="shared" si="3"/>
        <v>0</v>
      </c>
      <c r="L16" s="61">
        <f t="shared" si="3"/>
        <v>137296373</v>
      </c>
      <c r="M16" s="39">
        <f t="shared" si="3"/>
        <v>317563975.60659999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-99661365</v>
      </c>
      <c r="E19" s="38">
        <v>-227709439</v>
      </c>
      <c r="F19" s="60">
        <f>H19-D19</f>
        <v>0</v>
      </c>
      <c r="G19" s="37">
        <f>I19-E19</f>
        <v>0</v>
      </c>
      <c r="H19" s="65">
        <f t="shared" si="4"/>
        <v>-99661365</v>
      </c>
      <c r="I19" s="66">
        <f t="shared" si="4"/>
        <v>-227709439</v>
      </c>
      <c r="J19" s="60"/>
      <c r="K19" s="38"/>
      <c r="L19" s="60">
        <f t="shared" ref="L19:M23" si="5">H19+J19</f>
        <v>-99661365</v>
      </c>
      <c r="M19" s="38">
        <f t="shared" si="5"/>
        <v>-227709439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-37849843</v>
      </c>
      <c r="E21" s="38">
        <v>-88446112</v>
      </c>
      <c r="F21" s="60">
        <f t="shared" si="6"/>
        <v>0</v>
      </c>
      <c r="G21" s="37">
        <f t="shared" si="6"/>
        <v>0</v>
      </c>
      <c r="H21" s="65">
        <f t="shared" si="4"/>
        <v>-37849843</v>
      </c>
      <c r="I21" s="66">
        <f t="shared" si="4"/>
        <v>-88446112</v>
      </c>
      <c r="J21" s="60"/>
      <c r="K21" s="38"/>
      <c r="L21" s="60">
        <f t="shared" si="5"/>
        <v>-37849843</v>
      </c>
      <c r="M21" s="38">
        <f t="shared" si="5"/>
        <v>-88446112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178425</v>
      </c>
      <c r="E23" s="38">
        <v>405315</v>
      </c>
      <c r="F23" s="60">
        <f t="shared" si="6"/>
        <v>0</v>
      </c>
      <c r="G23" s="37">
        <f t="shared" si="6"/>
        <v>0</v>
      </c>
      <c r="H23" s="65">
        <f t="shared" si="4"/>
        <v>178425</v>
      </c>
      <c r="I23" s="66">
        <f t="shared" si="4"/>
        <v>405315</v>
      </c>
      <c r="J23" s="60"/>
      <c r="K23" s="38"/>
      <c r="L23" s="60">
        <f t="shared" si="5"/>
        <v>178425</v>
      </c>
      <c r="M23" s="38">
        <f t="shared" si="5"/>
        <v>405315</v>
      </c>
    </row>
    <row r="24" spans="1:13" x14ac:dyDescent="0.25">
      <c r="A24" s="9"/>
      <c r="B24" s="7" t="s">
        <v>34</v>
      </c>
      <c r="C24" s="6"/>
      <c r="D24" s="61">
        <v>-137332783</v>
      </c>
      <c r="E24" s="39">
        <v>-315750236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-137332783</v>
      </c>
      <c r="I24" s="39">
        <f>SUM(I19:I23)</f>
        <v>-315750236</v>
      </c>
      <c r="J24" s="61">
        <f t="shared" si="7"/>
        <v>0</v>
      </c>
      <c r="K24" s="39">
        <f t="shared" si="7"/>
        <v>0</v>
      </c>
      <c r="L24" s="61">
        <f t="shared" si="7"/>
        <v>-137332783</v>
      </c>
      <c r="M24" s="39">
        <f t="shared" si="7"/>
        <v>-315750236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-1564</v>
      </c>
      <c r="E32" s="38">
        <v>-64203</v>
      </c>
      <c r="F32" s="60">
        <f>H32-D32</f>
        <v>0</v>
      </c>
      <c r="G32" s="37">
        <f>I32-E32</f>
        <v>0</v>
      </c>
      <c r="H32" s="65">
        <f t="shared" ref="H32:I35" si="9">D32</f>
        <v>-1564</v>
      </c>
      <c r="I32" s="66">
        <f t="shared" si="9"/>
        <v>-64203</v>
      </c>
      <c r="J32" s="60"/>
      <c r="K32" s="38"/>
      <c r="L32" s="60">
        <f t="shared" ref="L32:M35" si="10">H32+J32</f>
        <v>-1564</v>
      </c>
      <c r="M32" s="38">
        <f t="shared" si="10"/>
        <v>-64203</v>
      </c>
    </row>
    <row r="33" spans="1:13" x14ac:dyDescent="0.25">
      <c r="A33" s="9">
        <v>14</v>
      </c>
      <c r="B33" s="7"/>
      <c r="C33" s="18" t="s">
        <v>41</v>
      </c>
      <c r="D33" s="60">
        <v>364791</v>
      </c>
      <c r="E33" s="38">
        <v>795893</v>
      </c>
      <c r="F33" s="60">
        <f t="shared" ref="F33:G35" si="11">H33-D33</f>
        <v>0</v>
      </c>
      <c r="G33" s="37">
        <f t="shared" si="11"/>
        <v>0</v>
      </c>
      <c r="H33" s="65">
        <f t="shared" si="9"/>
        <v>364791</v>
      </c>
      <c r="I33" s="66">
        <f t="shared" si="9"/>
        <v>795893</v>
      </c>
      <c r="J33" s="60"/>
      <c r="K33" s="38"/>
      <c r="L33" s="60">
        <f t="shared" si="10"/>
        <v>364791</v>
      </c>
      <c r="M33" s="38">
        <f t="shared" si="10"/>
        <v>795893</v>
      </c>
    </row>
    <row r="34" spans="1:13" x14ac:dyDescent="0.25">
      <c r="A34" s="9">
        <v>15</v>
      </c>
      <c r="B34" s="7"/>
      <c r="C34" s="18" t="s">
        <v>42</v>
      </c>
      <c r="D34" s="60">
        <v>-519300</v>
      </c>
      <c r="E34" s="38">
        <v>-1138326</v>
      </c>
      <c r="F34" s="60">
        <f t="shared" si="11"/>
        <v>0</v>
      </c>
      <c r="G34" s="37">
        <f t="shared" si="11"/>
        <v>0</v>
      </c>
      <c r="H34" s="65">
        <f t="shared" si="9"/>
        <v>-519300</v>
      </c>
      <c r="I34" s="66">
        <f t="shared" si="9"/>
        <v>-1138326</v>
      </c>
      <c r="J34" s="60"/>
      <c r="K34" s="38"/>
      <c r="L34" s="60">
        <f t="shared" si="10"/>
        <v>-519300</v>
      </c>
      <c r="M34" s="38">
        <f t="shared" si="10"/>
        <v>-1138326</v>
      </c>
    </row>
    <row r="35" spans="1:13" x14ac:dyDescent="0.25">
      <c r="A35" s="9">
        <v>16</v>
      </c>
      <c r="B35" s="7"/>
      <c r="C35" s="18" t="s">
        <v>43</v>
      </c>
      <c r="D35" s="60">
        <v>196895</v>
      </c>
      <c r="E35" s="38">
        <v>413421</v>
      </c>
      <c r="F35" s="60">
        <f t="shared" si="11"/>
        <v>0</v>
      </c>
      <c r="G35" s="37">
        <f t="shared" si="11"/>
        <v>0</v>
      </c>
      <c r="H35" s="65">
        <f t="shared" si="9"/>
        <v>196895</v>
      </c>
      <c r="I35" s="66">
        <f t="shared" si="9"/>
        <v>413421</v>
      </c>
      <c r="J35" s="60"/>
      <c r="K35" s="38"/>
      <c r="L35" s="60">
        <f t="shared" si="10"/>
        <v>196895</v>
      </c>
      <c r="M35" s="38">
        <f t="shared" si="10"/>
        <v>413421</v>
      </c>
    </row>
    <row r="36" spans="1:13" x14ac:dyDescent="0.25">
      <c r="A36" s="9"/>
      <c r="B36" s="7" t="s">
        <v>44</v>
      </c>
      <c r="C36" s="6"/>
      <c r="D36" s="61">
        <v>40822</v>
      </c>
      <c r="E36" s="39">
        <v>6785</v>
      </c>
      <c r="F36" s="61">
        <f>SUM(F32:F35)</f>
        <v>0</v>
      </c>
      <c r="G36" s="39">
        <f>SUM(G32:G35)</f>
        <v>0</v>
      </c>
      <c r="H36" s="61">
        <f>SUM(H32:H35)</f>
        <v>40822</v>
      </c>
      <c r="I36" s="39">
        <f>SUM(I32:I35)</f>
        <v>6785</v>
      </c>
      <c r="J36" s="61">
        <f>SUM(J32:J34)</f>
        <v>0</v>
      </c>
      <c r="K36" s="39">
        <f>SUM(K32:K34)</f>
        <v>0</v>
      </c>
      <c r="L36" s="61">
        <f>SUM(L32:L35)</f>
        <v>40822</v>
      </c>
      <c r="M36" s="39">
        <f>SUM(M32:M35)</f>
        <v>6785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55588</v>
      </c>
      <c r="E49" s="38">
        <v>131811.8205933327</v>
      </c>
      <c r="F49" s="60">
        <f>H49-D49</f>
        <v>0</v>
      </c>
      <c r="G49" s="37">
        <f>I49-E49</f>
        <v>0</v>
      </c>
      <c r="H49" s="65">
        <f>D49</f>
        <v>55588</v>
      </c>
      <c r="I49" s="66">
        <f>E49</f>
        <v>131811.8205933327</v>
      </c>
      <c r="J49" s="60"/>
      <c r="K49" s="38"/>
      <c r="L49" s="60">
        <f>H49+J49</f>
        <v>55588</v>
      </c>
      <c r="M49" s="38">
        <f>I49+K49</f>
        <v>131811.8205933327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-178425</v>
      </c>
      <c r="E51" s="38">
        <v>-405315</v>
      </c>
      <c r="F51" s="60">
        <f>H51-D51</f>
        <v>0</v>
      </c>
      <c r="G51" s="37">
        <f>I51-E51</f>
        <v>0</v>
      </c>
      <c r="H51" s="65">
        <f>D51</f>
        <v>-178425</v>
      </c>
      <c r="I51" s="66">
        <f>E51</f>
        <v>-405315</v>
      </c>
      <c r="J51" s="60"/>
      <c r="K51" s="38"/>
      <c r="L51" s="60">
        <f>H51+J51</f>
        <v>-178425</v>
      </c>
      <c r="M51" s="38">
        <f>I51+K51</f>
        <v>-405315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38">
        <v>-545222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-545222</v>
      </c>
      <c r="J54" s="60"/>
      <c r="K54" s="38"/>
      <c r="L54" s="60">
        <f>H54+J54</f>
        <v>0</v>
      </c>
      <c r="M54" s="38">
        <f>I54+K54</f>
        <v>-545222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38">
        <v>-354365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-354365</v>
      </c>
      <c r="J55" s="60"/>
      <c r="K55" s="38"/>
      <c r="L55" s="60">
        <f>H55+J55</f>
        <v>0</v>
      </c>
      <c r="M55" s="38">
        <f>I55+K55</f>
        <v>-354365</v>
      </c>
    </row>
    <row r="56" spans="1:15" x14ac:dyDescent="0.25">
      <c r="A56" s="9"/>
      <c r="B56" s="7" t="s">
        <v>58</v>
      </c>
      <c r="C56" s="6"/>
      <c r="D56" s="61">
        <v>0</v>
      </c>
      <c r="E56" s="39">
        <v>-899587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-899587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-899587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38">
        <v>-46484.87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-46484.87</v>
      </c>
      <c r="J60" s="60"/>
      <c r="K60" s="38"/>
      <c r="L60" s="60">
        <f>H60+J60</f>
        <v>0</v>
      </c>
      <c r="M60" s="38">
        <f>I60+K60</f>
        <v>-46484.87</v>
      </c>
    </row>
    <row r="61" spans="1:15" x14ac:dyDescent="0.25">
      <c r="A61" s="9"/>
      <c r="B61" s="62" t="s">
        <v>62</v>
      </c>
      <c r="C61" s="6"/>
      <c r="D61" s="61">
        <v>0</v>
      </c>
      <c r="E61" s="39">
        <v>-46484.87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-46484.87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-46484.87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38">
        <v>48497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48497</v>
      </c>
      <c r="J64" s="60"/>
      <c r="K64" s="38"/>
      <c r="L64" s="60">
        <f>H64+J64</f>
        <v>0</v>
      </c>
      <c r="M64" s="38">
        <f>I64+K64</f>
        <v>48497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48497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48497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48497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0">
        <v>0</v>
      </c>
      <c r="E70" s="38">
        <v>3210854.2476774924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3210854.2476774924</v>
      </c>
      <c r="J70" s="60"/>
      <c r="K70" s="38"/>
      <c r="L70" s="60">
        <f>H70+J70</f>
        <v>0</v>
      </c>
      <c r="M70" s="38">
        <f>I70+K70</f>
        <v>3210854.2476774924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38">
        <v>-5679558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-5679558</v>
      </c>
      <c r="J71" s="60"/>
      <c r="K71" s="38"/>
      <c r="L71" s="60">
        <f>H71+J71</f>
        <v>0</v>
      </c>
      <c r="M71" s="38">
        <f>I71+K71</f>
        <v>-5679558</v>
      </c>
    </row>
    <row r="72" spans="1:13" x14ac:dyDescent="0.25">
      <c r="A72" s="9"/>
      <c r="B72" s="3"/>
      <c r="C72" s="55" t="s">
        <v>70</v>
      </c>
      <c r="D72" s="61">
        <v>0</v>
      </c>
      <c r="E72" s="39">
        <v>-2468703.7523225076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-2468703.7523225076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-2468703.7523225076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38">
        <v>3621706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3621706</v>
      </c>
      <c r="J74" s="60"/>
      <c r="K74" s="38"/>
      <c r="L74" s="60">
        <f t="shared" si="22"/>
        <v>0</v>
      </c>
      <c r="M74" s="38">
        <f t="shared" si="22"/>
        <v>3621706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38">
        <v>274130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274130</v>
      </c>
      <c r="J75" s="60"/>
      <c r="K75" s="38"/>
      <c r="L75" s="60">
        <f t="shared" si="22"/>
        <v>0</v>
      </c>
      <c r="M75" s="38">
        <f t="shared" si="22"/>
        <v>274130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38">
        <v>-23020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-23020</v>
      </c>
      <c r="J76" s="60"/>
      <c r="K76" s="38"/>
      <c r="L76" s="60">
        <f t="shared" si="22"/>
        <v>0</v>
      </c>
      <c r="M76" s="38">
        <f t="shared" si="22"/>
        <v>-23020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38">
        <v>2860191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2860191</v>
      </c>
      <c r="J77" s="60"/>
      <c r="K77" s="38"/>
      <c r="L77" s="60">
        <f t="shared" si="22"/>
        <v>0</v>
      </c>
      <c r="M77" s="38">
        <f t="shared" si="22"/>
        <v>2860191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38">
        <v>-2807834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-2807834</v>
      </c>
      <c r="J81" s="60"/>
      <c r="K81" s="38"/>
      <c r="L81" s="60">
        <f t="shared" si="22"/>
        <v>0</v>
      </c>
      <c r="M81" s="38">
        <f t="shared" si="22"/>
        <v>-2807834</v>
      </c>
    </row>
    <row r="82" spans="1:67" s="44" customFormat="1" ht="20.25" customHeight="1" thickBot="1" x14ac:dyDescent="0.3">
      <c r="A82" s="40"/>
      <c r="B82" s="41"/>
      <c r="C82" s="42" t="s">
        <v>175</v>
      </c>
      <c r="D82" s="168">
        <f>D16+D24+D29+D36+D43+D45+D47+D49</f>
        <v>60000</v>
      </c>
      <c r="E82" s="167">
        <f>SUM(E72:E81)+E16+E24+E29+E36+E43+E45+E47+E49+E51+E56+E61+E66</f>
        <v>2130439.7498708172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5">
        <f>SUM(I72:I81)+I16+I24+I29+I36+I43+I45+I47+I49+I51+I56+I61+I66</f>
        <v>2130439.7498708172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2130439.7498708172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171</v>
      </c>
      <c r="B85" s="3"/>
      <c r="K85" s="45"/>
    </row>
    <row r="86" spans="1:67" s="3" customFormat="1" x14ac:dyDescent="0.25">
      <c r="A86" s="173"/>
      <c r="C86" s="10" t="s">
        <v>173</v>
      </c>
      <c r="D86" s="177">
        <v>0</v>
      </c>
      <c r="E86" s="177">
        <v>-614051</v>
      </c>
      <c r="F86" s="177">
        <v>0</v>
      </c>
      <c r="G86" s="177">
        <v>0</v>
      </c>
      <c r="H86" s="177">
        <f t="shared" ref="H86:I88" si="24">D86</f>
        <v>0</v>
      </c>
      <c r="I86" s="177">
        <f t="shared" si="24"/>
        <v>-614051</v>
      </c>
      <c r="J86" s="177">
        <v>0</v>
      </c>
      <c r="K86" s="177">
        <v>0</v>
      </c>
      <c r="L86" s="177">
        <f t="shared" ref="L86:M88" si="25">H86</f>
        <v>0</v>
      </c>
      <c r="M86" s="177">
        <f t="shared" si="25"/>
        <v>-614051</v>
      </c>
    </row>
    <row r="87" spans="1:67" s="3" customFormat="1" x14ac:dyDescent="0.25">
      <c r="A87" s="173"/>
      <c r="C87" s="10" t="s">
        <v>72</v>
      </c>
      <c r="D87" s="178">
        <v>0</v>
      </c>
      <c r="E87" s="178">
        <v>0</v>
      </c>
      <c r="F87" s="178">
        <v>0</v>
      </c>
      <c r="G87" s="178">
        <v>0</v>
      </c>
      <c r="H87" s="178">
        <f t="shared" si="24"/>
        <v>0</v>
      </c>
      <c r="I87" s="178">
        <f t="shared" si="24"/>
        <v>0</v>
      </c>
      <c r="J87" s="178">
        <v>0</v>
      </c>
      <c r="K87" s="178">
        <v>0</v>
      </c>
      <c r="L87" s="178">
        <f t="shared" si="25"/>
        <v>0</v>
      </c>
      <c r="M87" s="178">
        <f t="shared" si="25"/>
        <v>0</v>
      </c>
    </row>
    <row r="88" spans="1:67" s="3" customFormat="1" x14ac:dyDescent="0.25">
      <c r="A88" s="173"/>
      <c r="C88" s="10" t="s">
        <v>73</v>
      </c>
      <c r="D88" s="179">
        <v>0</v>
      </c>
      <c r="E88" s="179">
        <v>0</v>
      </c>
      <c r="F88" s="179">
        <v>0</v>
      </c>
      <c r="G88" s="179">
        <v>0</v>
      </c>
      <c r="H88" s="179">
        <f t="shared" si="24"/>
        <v>0</v>
      </c>
      <c r="I88" s="179">
        <f t="shared" si="24"/>
        <v>0</v>
      </c>
      <c r="J88" s="179">
        <v>0</v>
      </c>
      <c r="K88" s="179">
        <v>0</v>
      </c>
      <c r="L88" s="179">
        <f t="shared" si="25"/>
        <v>0</v>
      </c>
      <c r="M88" s="179">
        <f t="shared" si="25"/>
        <v>0</v>
      </c>
    </row>
    <row r="89" spans="1:67" s="44" customFormat="1" ht="20.25" customHeight="1" x14ac:dyDescent="0.25">
      <c r="A89" s="180"/>
      <c r="B89" s="181"/>
      <c r="C89" s="182" t="s">
        <v>176</v>
      </c>
      <c r="D89" s="185">
        <f>SUM(D86:D88)</f>
        <v>0</v>
      </c>
      <c r="E89" s="185">
        <f t="shared" ref="E89:M89" si="26">SUM(E86:E88)</f>
        <v>-614051</v>
      </c>
      <c r="F89" s="185">
        <f t="shared" si="26"/>
        <v>0</v>
      </c>
      <c r="G89" s="185">
        <f t="shared" si="26"/>
        <v>0</v>
      </c>
      <c r="H89" s="185">
        <f t="shared" si="26"/>
        <v>0</v>
      </c>
      <c r="I89" s="185">
        <f t="shared" si="26"/>
        <v>-614051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-614051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0"/>
      <c r="B91" s="181"/>
      <c r="C91" s="182" t="s">
        <v>174</v>
      </c>
      <c r="D91" s="185">
        <f>+D82+D89</f>
        <v>60000</v>
      </c>
      <c r="E91" s="185">
        <f t="shared" ref="E91:M91" si="27">+E82+E89</f>
        <v>1516388.7498708172</v>
      </c>
      <c r="F91" s="185">
        <f t="shared" si="27"/>
        <v>0</v>
      </c>
      <c r="G91" s="185">
        <f t="shared" si="27"/>
        <v>0</v>
      </c>
      <c r="H91" s="185">
        <f t="shared" si="27"/>
        <v>60000</v>
      </c>
      <c r="I91" s="185">
        <f t="shared" si="27"/>
        <v>1516388.7498708172</v>
      </c>
      <c r="J91" s="185">
        <f t="shared" si="27"/>
        <v>0</v>
      </c>
      <c r="K91" s="185">
        <f t="shared" si="27"/>
        <v>0</v>
      </c>
      <c r="L91" s="185">
        <f t="shared" si="27"/>
        <v>60000</v>
      </c>
      <c r="M91" s="185">
        <f t="shared" si="27"/>
        <v>1516388.7498708172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75" activePane="bottomRight" state="frozen"/>
      <selection activeCell="A5" sqref="A5"/>
      <selection pane="topRight" activeCell="A5" sqref="A5"/>
      <selection pane="bottomLeft" activeCell="A5" sqref="A5"/>
      <selection pane="bottomRight" activeCell="I79" sqref="I7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11184016</v>
      </c>
      <c r="E11" s="65">
        <v>25440090.050000001</v>
      </c>
      <c r="F11" s="65">
        <f>H11-D11</f>
        <v>-465921</v>
      </c>
      <c r="G11" s="63">
        <f>I11-E11</f>
        <v>-723074.6566000022</v>
      </c>
      <c r="H11" s="65">
        <v>10718095</v>
      </c>
      <c r="I11" s="66">
        <v>24717015.393399999</v>
      </c>
      <c r="J11" s="60"/>
      <c r="K11" s="38"/>
      <c r="L11" s="60">
        <f t="shared" ref="L11:M15" si="0">H11+J11</f>
        <v>10718095</v>
      </c>
      <c r="M11" s="38">
        <f t="shared" si="0"/>
        <v>24717015.393399999</v>
      </c>
    </row>
    <row r="12" spans="1:26" x14ac:dyDescent="0.25">
      <c r="A12" s="9">
        <v>2</v>
      </c>
      <c r="B12" s="7"/>
      <c r="C12" s="18" t="s">
        <v>27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v>0</v>
      </c>
      <c r="I12" s="66"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v>0</v>
      </c>
      <c r="I13" s="66"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29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v>0</v>
      </c>
      <c r="I14" s="66"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v>0</v>
      </c>
      <c r="I15" s="66"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11184016</v>
      </c>
      <c r="E16" s="39">
        <v>25440090.050000001</v>
      </c>
      <c r="F16" s="61">
        <f t="shared" ref="F16:M16" si="2">SUM(F11:F15)</f>
        <v>-465921</v>
      </c>
      <c r="G16" s="39">
        <f t="shared" si="2"/>
        <v>-723074.6566000022</v>
      </c>
      <c r="H16" s="61">
        <v>10718095</v>
      </c>
      <c r="I16" s="39">
        <v>24717015.393399999</v>
      </c>
      <c r="J16" s="61">
        <f t="shared" si="2"/>
        <v>0</v>
      </c>
      <c r="K16" s="39">
        <f t="shared" si="2"/>
        <v>0</v>
      </c>
      <c r="L16" s="61">
        <f t="shared" si="2"/>
        <v>10718095</v>
      </c>
      <c r="M16" s="39">
        <f t="shared" si="2"/>
        <v>24717015.393399999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/>
      <c r="I18" s="66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5">
        <v>-11095958</v>
      </c>
      <c r="E19" s="65">
        <v>-25412684</v>
      </c>
      <c r="F19" s="65">
        <f>H19-D19</f>
        <v>562246</v>
      </c>
      <c r="G19" s="63">
        <f>I19-E19</f>
        <v>1376338</v>
      </c>
      <c r="H19" s="65">
        <v>-10533712</v>
      </c>
      <c r="I19" s="66">
        <v>-24036346</v>
      </c>
      <c r="J19" s="60"/>
      <c r="K19" s="38"/>
      <c r="L19" s="60">
        <f t="shared" ref="L19:M23" si="3">H19+J19</f>
        <v>-10533712</v>
      </c>
      <c r="M19" s="38">
        <f t="shared" si="3"/>
        <v>-24036346</v>
      </c>
    </row>
    <row r="20" spans="1:13" x14ac:dyDescent="0.25">
      <c r="A20" s="9">
        <v>7</v>
      </c>
      <c r="B20" s="7"/>
      <c r="C20" s="18" t="s">
        <v>27</v>
      </c>
      <c r="D20" s="65">
        <v>0</v>
      </c>
      <c r="E20" s="65">
        <v>0</v>
      </c>
      <c r="F20" s="65">
        <f t="shared" ref="F20:G23" si="4">H20-D20</f>
        <v>0</v>
      </c>
      <c r="G20" s="63">
        <f t="shared" si="4"/>
        <v>0</v>
      </c>
      <c r="H20" s="65">
        <v>0</v>
      </c>
      <c r="I20" s="66">
        <v>0</v>
      </c>
      <c r="J20" s="60"/>
      <c r="K20" s="38"/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28</v>
      </c>
      <c r="D21" s="65">
        <v>0</v>
      </c>
      <c r="E21" s="65">
        <v>0</v>
      </c>
      <c r="F21" s="65">
        <f t="shared" si="4"/>
        <v>0</v>
      </c>
      <c r="G21" s="63">
        <f t="shared" si="4"/>
        <v>0</v>
      </c>
      <c r="H21" s="65">
        <v>0</v>
      </c>
      <c r="I21" s="66">
        <v>0</v>
      </c>
      <c r="J21" s="60"/>
      <c r="K21" s="38"/>
      <c r="L21" s="60">
        <f t="shared" si="3"/>
        <v>0</v>
      </c>
      <c r="M21" s="38">
        <f t="shared" si="3"/>
        <v>0</v>
      </c>
    </row>
    <row r="22" spans="1:13" x14ac:dyDescent="0.25">
      <c r="A22" s="9">
        <v>9</v>
      </c>
      <c r="B22" s="7"/>
      <c r="C22" s="18" t="s">
        <v>29</v>
      </c>
      <c r="D22" s="65">
        <v>0</v>
      </c>
      <c r="E22" s="65">
        <v>0</v>
      </c>
      <c r="F22" s="65">
        <f t="shared" si="4"/>
        <v>0</v>
      </c>
      <c r="G22" s="63">
        <f t="shared" si="4"/>
        <v>0</v>
      </c>
      <c r="H22" s="65">
        <v>0</v>
      </c>
      <c r="I22" s="66">
        <v>0</v>
      </c>
      <c r="J22" s="60"/>
      <c r="K22" s="38"/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33</v>
      </c>
      <c r="D23" s="65">
        <v>0</v>
      </c>
      <c r="E23" s="65">
        <v>0</v>
      </c>
      <c r="F23" s="65">
        <f t="shared" si="4"/>
        <v>0</v>
      </c>
      <c r="G23" s="63">
        <f t="shared" si="4"/>
        <v>0</v>
      </c>
      <c r="H23" s="65">
        <v>0</v>
      </c>
      <c r="I23" s="66">
        <v>0</v>
      </c>
      <c r="J23" s="60"/>
      <c r="K23" s="38"/>
      <c r="L23" s="60">
        <f t="shared" si="3"/>
        <v>0</v>
      </c>
      <c r="M23" s="38">
        <f t="shared" si="3"/>
        <v>0</v>
      </c>
    </row>
    <row r="24" spans="1:13" x14ac:dyDescent="0.25">
      <c r="A24" s="9"/>
      <c r="B24" s="7" t="s">
        <v>34</v>
      </c>
      <c r="C24" s="6"/>
      <c r="D24" s="61">
        <v>-11095958</v>
      </c>
      <c r="E24" s="39">
        <v>-25412684</v>
      </c>
      <c r="F24" s="61">
        <f t="shared" ref="F24:M24" si="5">SUM(F19:F23)</f>
        <v>562246</v>
      </c>
      <c r="G24" s="39">
        <f t="shared" si="5"/>
        <v>1376338</v>
      </c>
      <c r="H24" s="61">
        <v>-10533712</v>
      </c>
      <c r="I24" s="39">
        <v>-24036346</v>
      </c>
      <c r="J24" s="61">
        <f t="shared" si="5"/>
        <v>0</v>
      </c>
      <c r="K24" s="39">
        <f t="shared" si="5"/>
        <v>0</v>
      </c>
      <c r="L24" s="61">
        <f t="shared" si="5"/>
        <v>-10533712</v>
      </c>
      <c r="M24" s="39">
        <f t="shared" si="5"/>
        <v>-24036346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v>0</v>
      </c>
      <c r="I27" s="66"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v>0</v>
      </c>
      <c r="I28" s="66"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6">SUM(F27:F28)</f>
        <v>0</v>
      </c>
      <c r="G29" s="39">
        <f t="shared" si="6"/>
        <v>0</v>
      </c>
      <c r="H29" s="61">
        <v>0</v>
      </c>
      <c r="I29" s="39"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v>0</v>
      </c>
      <c r="I32" s="66">
        <v>0</v>
      </c>
      <c r="J32" s="60"/>
      <c r="K32" s="38"/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41</v>
      </c>
      <c r="D33" s="65">
        <v>0</v>
      </c>
      <c r="E33" s="65">
        <v>0</v>
      </c>
      <c r="F33" s="65">
        <f t="shared" ref="F33:G35" si="8">H33-D33</f>
        <v>0</v>
      </c>
      <c r="G33" s="63">
        <f t="shared" si="8"/>
        <v>0</v>
      </c>
      <c r="H33" s="65">
        <v>0</v>
      </c>
      <c r="I33" s="66">
        <v>0</v>
      </c>
      <c r="J33" s="60"/>
      <c r="K33" s="38"/>
      <c r="L33" s="60">
        <f t="shared" si="7"/>
        <v>0</v>
      </c>
      <c r="M33" s="38">
        <f t="shared" si="7"/>
        <v>0</v>
      </c>
    </row>
    <row r="34" spans="1:13" x14ac:dyDescent="0.25">
      <c r="A34" s="9">
        <v>15</v>
      </c>
      <c r="B34" s="7"/>
      <c r="C34" s="18" t="s">
        <v>42</v>
      </c>
      <c r="D34" s="65">
        <v>0</v>
      </c>
      <c r="E34" s="65">
        <v>0</v>
      </c>
      <c r="F34" s="65">
        <f t="shared" si="8"/>
        <v>0</v>
      </c>
      <c r="G34" s="63">
        <f t="shared" si="8"/>
        <v>0</v>
      </c>
      <c r="H34" s="65">
        <v>0</v>
      </c>
      <c r="I34" s="66">
        <v>0</v>
      </c>
      <c r="J34" s="60"/>
      <c r="K34" s="38"/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43</v>
      </c>
      <c r="D35" s="65">
        <v>0</v>
      </c>
      <c r="E35" s="65">
        <v>0</v>
      </c>
      <c r="F35" s="65">
        <f t="shared" si="8"/>
        <v>0</v>
      </c>
      <c r="G35" s="63">
        <f t="shared" si="8"/>
        <v>0</v>
      </c>
      <c r="H35" s="65">
        <v>0</v>
      </c>
      <c r="I35" s="66">
        <v>0</v>
      </c>
      <c r="J35" s="60"/>
      <c r="K35" s="38"/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v>0</v>
      </c>
      <c r="I36" s="39"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/>
      <c r="I38" s="66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5">
        <v>913477</v>
      </c>
      <c r="E39" s="65">
        <v>2037051</v>
      </c>
      <c r="F39" s="65">
        <f t="shared" ref="F39:G41" si="9">H39-D39</f>
        <v>-395169</v>
      </c>
      <c r="G39" s="63">
        <f t="shared" si="9"/>
        <v>-855309</v>
      </c>
      <c r="H39" s="65">
        <v>518308</v>
      </c>
      <c r="I39" s="66">
        <v>1181742</v>
      </c>
      <c r="J39" s="60"/>
      <c r="K39" s="38"/>
      <c r="L39" s="60">
        <f t="shared" ref="L39:M41" si="10">H39+J39</f>
        <v>518308</v>
      </c>
      <c r="M39" s="38">
        <f t="shared" si="10"/>
        <v>1181742</v>
      </c>
    </row>
    <row r="40" spans="1:13" ht="22.5" customHeight="1" x14ac:dyDescent="0.25">
      <c r="A40" s="9">
        <v>18</v>
      </c>
      <c r="B40" s="7"/>
      <c r="C40" s="18" t="s">
        <v>47</v>
      </c>
      <c r="D40" s="65">
        <v>-244706</v>
      </c>
      <c r="E40" s="65">
        <v>-545695</v>
      </c>
      <c r="F40" s="65">
        <f t="shared" si="9"/>
        <v>-680534</v>
      </c>
      <c r="G40" s="63">
        <f t="shared" si="9"/>
        <v>-1563854</v>
      </c>
      <c r="H40" s="65">
        <v>-925240</v>
      </c>
      <c r="I40" s="66">
        <v>-2109549</v>
      </c>
      <c r="J40" s="60"/>
      <c r="K40" s="38"/>
      <c r="L40" s="60">
        <f t="shared" si="10"/>
        <v>-925240</v>
      </c>
      <c r="M40" s="38">
        <f t="shared" si="10"/>
        <v>-2109549</v>
      </c>
    </row>
    <row r="41" spans="1:13" x14ac:dyDescent="0.25">
      <c r="A41" s="9">
        <v>19</v>
      </c>
      <c r="B41" s="7"/>
      <c r="C41" s="18" t="s">
        <v>48</v>
      </c>
      <c r="D41" s="65">
        <v>0</v>
      </c>
      <c r="E41" s="65">
        <v>0</v>
      </c>
      <c r="F41" s="65">
        <f t="shared" si="9"/>
        <v>0</v>
      </c>
      <c r="G41" s="66">
        <f t="shared" si="9"/>
        <v>0</v>
      </c>
      <c r="H41" s="65">
        <v>0</v>
      </c>
      <c r="I41" s="66">
        <v>0</v>
      </c>
      <c r="J41" s="37"/>
      <c r="K41" s="37"/>
      <c r="L41" s="60">
        <f t="shared" si="10"/>
        <v>0</v>
      </c>
      <c r="M41" s="38">
        <f t="shared" si="10"/>
        <v>0</v>
      </c>
    </row>
    <row r="42" spans="1:13" x14ac:dyDescent="0.25">
      <c r="A42" s="9"/>
      <c r="B42" s="7"/>
      <c r="C42" s="53" t="s">
        <v>49</v>
      </c>
      <c r="D42" s="61">
        <v>-244706</v>
      </c>
      <c r="E42" s="39">
        <v>-545695</v>
      </c>
      <c r="F42" s="61">
        <f t="shared" ref="F42:M42" si="11">SUM(F40:F41)</f>
        <v>-680534</v>
      </c>
      <c r="G42" s="39">
        <f t="shared" si="11"/>
        <v>-1563854</v>
      </c>
      <c r="H42" s="61">
        <v>-925240</v>
      </c>
      <c r="I42" s="39">
        <v>-2109549</v>
      </c>
      <c r="J42" s="61">
        <f t="shared" si="11"/>
        <v>0</v>
      </c>
      <c r="K42" s="39">
        <f t="shared" si="11"/>
        <v>0</v>
      </c>
      <c r="L42" s="61">
        <f t="shared" si="11"/>
        <v>-925240</v>
      </c>
      <c r="M42" s="39">
        <f t="shared" si="11"/>
        <v>-2109549</v>
      </c>
    </row>
    <row r="43" spans="1:13" ht="21" customHeight="1" x14ac:dyDescent="0.25">
      <c r="A43" s="9"/>
      <c r="B43" s="7" t="s">
        <v>50</v>
      </c>
      <c r="C43" s="6"/>
      <c r="D43" s="61">
        <v>668771</v>
      </c>
      <c r="E43" s="39">
        <v>1491356</v>
      </c>
      <c r="F43" s="61">
        <f t="shared" ref="F43:M43" si="12">F42+F39</f>
        <v>-1075703</v>
      </c>
      <c r="G43" s="39">
        <f t="shared" si="12"/>
        <v>-2419163</v>
      </c>
      <c r="H43" s="61">
        <v>-406932</v>
      </c>
      <c r="I43" s="39">
        <v>-927807</v>
      </c>
      <c r="J43" s="61">
        <f t="shared" si="12"/>
        <v>0</v>
      </c>
      <c r="K43" s="39">
        <f t="shared" si="12"/>
        <v>0</v>
      </c>
      <c r="L43" s="61">
        <f t="shared" si="12"/>
        <v>-406932</v>
      </c>
      <c r="M43" s="39">
        <f t="shared" si="12"/>
        <v>-927807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v>0</v>
      </c>
      <c r="I45" s="66"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>
        <v>0</v>
      </c>
      <c r="I46" s="38">
        <v>0</v>
      </c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v>0</v>
      </c>
      <c r="I47" s="66"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>
        <v>0</v>
      </c>
      <c r="I48" s="38">
        <v>0</v>
      </c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5">
        <v>-816829</v>
      </c>
      <c r="E49" s="65">
        <v>-1800711.7348383139</v>
      </c>
      <c r="F49" s="65">
        <f>H49-D49</f>
        <v>979378</v>
      </c>
      <c r="G49" s="63">
        <f>I49-E49</f>
        <v>2163052.0772675001</v>
      </c>
      <c r="H49" s="65">
        <v>162549</v>
      </c>
      <c r="I49" s="66">
        <v>362340.34242918628</v>
      </c>
      <c r="J49" s="60"/>
      <c r="K49" s="38"/>
      <c r="L49" s="60">
        <f>H49+J49</f>
        <v>162549</v>
      </c>
      <c r="M49" s="38">
        <f>I49+K49</f>
        <v>362340.34242918628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>
        <v>0</v>
      </c>
      <c r="I50" s="38">
        <v>0</v>
      </c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v>0</v>
      </c>
      <c r="I51" s="66"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>
        <v>0</v>
      </c>
      <c r="I52" s="38">
        <v>0</v>
      </c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5">
        <v>0</v>
      </c>
      <c r="E53" s="65">
        <v>0</v>
      </c>
      <c r="F53" s="60"/>
      <c r="G53" s="38"/>
      <c r="H53" s="65">
        <v>0</v>
      </c>
      <c r="I53" s="66">
        <v>0</v>
      </c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v>0</v>
      </c>
      <c r="I54" s="66"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57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v>0</v>
      </c>
      <c r="I55" s="66"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3">SUM(F54:F55)</f>
        <v>0</v>
      </c>
      <c r="G56" s="39">
        <f t="shared" si="13"/>
        <v>0</v>
      </c>
      <c r="H56" s="61">
        <v>0</v>
      </c>
      <c r="I56" s="39">
        <v>0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v>0</v>
      </c>
      <c r="I59" s="66"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5">
        <v>0</v>
      </c>
      <c r="E60" s="65">
        <v>46484.87</v>
      </c>
      <c r="F60" s="65">
        <f>H60-D60</f>
        <v>0</v>
      </c>
      <c r="G60" s="63">
        <f>I60-E60</f>
        <v>0</v>
      </c>
      <c r="H60" s="65">
        <v>0</v>
      </c>
      <c r="I60" s="66">
        <v>46484.87</v>
      </c>
      <c r="J60" s="60"/>
      <c r="K60" s="38"/>
      <c r="L60" s="60">
        <f>H60+J60</f>
        <v>0</v>
      </c>
      <c r="M60" s="38">
        <f>I60+K60</f>
        <v>46484.87</v>
      </c>
    </row>
    <row r="61" spans="1:15" x14ac:dyDescent="0.25">
      <c r="A61" s="9"/>
      <c r="B61" s="62" t="s">
        <v>62</v>
      </c>
      <c r="C61" s="6"/>
      <c r="D61" s="61">
        <v>0</v>
      </c>
      <c r="E61" s="39">
        <v>46484.87</v>
      </c>
      <c r="F61" s="61">
        <f t="shared" ref="F61:M61" si="14">SUM(F59:F60)</f>
        <v>0</v>
      </c>
      <c r="G61" s="39">
        <f t="shared" si="14"/>
        <v>0</v>
      </c>
      <c r="H61" s="61">
        <v>0</v>
      </c>
      <c r="I61" s="39">
        <v>46484.87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46484.87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v>0</v>
      </c>
      <c r="I64" s="66"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v>0</v>
      </c>
      <c r="I65" s="66"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v>0</v>
      </c>
      <c r="I66" s="39"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v>0</v>
      </c>
      <c r="I70" s="66"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69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v>0</v>
      </c>
      <c r="I71" s="66"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16">SUM(F70:F71)</f>
        <v>0</v>
      </c>
      <c r="G72" s="39">
        <f t="shared" si="16"/>
        <v>0</v>
      </c>
      <c r="H72" s="61">
        <v>0</v>
      </c>
      <c r="I72" s="39">
        <v>0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0</v>
      </c>
    </row>
    <row r="73" spans="1:13" x14ac:dyDescent="0.25">
      <c r="A73" s="9">
        <v>32</v>
      </c>
      <c r="B73" s="3"/>
      <c r="C73" s="10" t="s">
        <v>71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v>0</v>
      </c>
      <c r="I73" s="66">
        <v>0</v>
      </c>
      <c r="J73" s="60"/>
      <c r="K73" s="38"/>
      <c r="L73" s="60">
        <f t="shared" ref="L73:M81" si="17">H73+J73</f>
        <v>0</v>
      </c>
      <c r="M73" s="38">
        <f t="shared" si="17"/>
        <v>0</v>
      </c>
    </row>
    <row r="74" spans="1:13" x14ac:dyDescent="0.25">
      <c r="A74" s="9">
        <v>33</v>
      </c>
      <c r="B74" s="3"/>
      <c r="C74" s="10" t="s">
        <v>72</v>
      </c>
      <c r="D74" s="65">
        <v>0</v>
      </c>
      <c r="E74" s="65">
        <v>0</v>
      </c>
      <c r="F74" s="65">
        <f t="shared" ref="F74:G81" si="18">H74-D74</f>
        <v>0</v>
      </c>
      <c r="G74" s="63">
        <f t="shared" si="18"/>
        <v>0</v>
      </c>
      <c r="H74" s="65">
        <v>0</v>
      </c>
      <c r="I74" s="66">
        <v>0</v>
      </c>
      <c r="J74" s="60"/>
      <c r="K74" s="38"/>
      <c r="L74" s="60">
        <f t="shared" si="17"/>
        <v>0</v>
      </c>
      <c r="M74" s="38">
        <f t="shared" si="17"/>
        <v>0</v>
      </c>
    </row>
    <row r="75" spans="1:13" x14ac:dyDescent="0.25">
      <c r="A75" s="9">
        <v>34</v>
      </c>
      <c r="B75" s="3"/>
      <c r="C75" s="10" t="s">
        <v>73</v>
      </c>
      <c r="D75" s="65">
        <v>0</v>
      </c>
      <c r="E75" s="65">
        <v>0</v>
      </c>
      <c r="F75" s="65">
        <f t="shared" si="18"/>
        <v>0</v>
      </c>
      <c r="G75" s="63">
        <f t="shared" si="18"/>
        <v>0</v>
      </c>
      <c r="H75" s="65">
        <v>0</v>
      </c>
      <c r="I75" s="66">
        <v>0</v>
      </c>
      <c r="J75" s="60"/>
      <c r="K75" s="38"/>
      <c r="L75" s="60">
        <f t="shared" si="17"/>
        <v>0</v>
      </c>
      <c r="M75" s="38">
        <f t="shared" si="17"/>
        <v>0</v>
      </c>
    </row>
    <row r="76" spans="1:13" x14ac:dyDescent="0.25">
      <c r="A76" s="9">
        <v>35</v>
      </c>
      <c r="B76" s="3"/>
      <c r="C76" s="10" t="s">
        <v>74</v>
      </c>
      <c r="D76" s="65">
        <v>0</v>
      </c>
      <c r="E76" s="65">
        <v>0</v>
      </c>
      <c r="F76" s="65">
        <f t="shared" si="18"/>
        <v>0</v>
      </c>
      <c r="G76" s="63">
        <f t="shared" si="18"/>
        <v>0</v>
      </c>
      <c r="H76" s="65">
        <v>0</v>
      </c>
      <c r="I76" s="66">
        <v>0</v>
      </c>
      <c r="J76" s="60"/>
      <c r="K76" s="38"/>
      <c r="L76" s="60">
        <f t="shared" si="17"/>
        <v>0</v>
      </c>
      <c r="M76" s="38">
        <f t="shared" si="17"/>
        <v>0</v>
      </c>
    </row>
    <row r="77" spans="1:13" x14ac:dyDescent="0.25">
      <c r="A77" s="9">
        <v>36</v>
      </c>
      <c r="B77" s="3"/>
      <c r="C77" s="10" t="s">
        <v>75</v>
      </c>
      <c r="D77" s="65">
        <v>0</v>
      </c>
      <c r="E77" s="65">
        <v>-3897000</v>
      </c>
      <c r="F77" s="65">
        <f t="shared" si="18"/>
        <v>0</v>
      </c>
      <c r="G77" s="63">
        <f t="shared" si="18"/>
        <v>0</v>
      </c>
      <c r="H77" s="65">
        <v>0</v>
      </c>
      <c r="I77" s="66">
        <v>-3897000</v>
      </c>
      <c r="J77" s="60"/>
      <c r="K77" s="38"/>
      <c r="L77" s="60">
        <f t="shared" si="17"/>
        <v>0</v>
      </c>
      <c r="M77" s="38">
        <f t="shared" si="17"/>
        <v>-3897000</v>
      </c>
    </row>
    <row r="78" spans="1:13" x14ac:dyDescent="0.25">
      <c r="A78" s="9">
        <v>37</v>
      </c>
      <c r="B78" s="3"/>
      <c r="C78" s="10" t="s">
        <v>76</v>
      </c>
      <c r="D78" s="65">
        <v>0</v>
      </c>
      <c r="E78" s="65">
        <v>0</v>
      </c>
      <c r="F78" s="65">
        <f t="shared" si="18"/>
        <v>0</v>
      </c>
      <c r="G78" s="63">
        <f t="shared" si="18"/>
        <v>0</v>
      </c>
      <c r="H78" s="65">
        <v>0</v>
      </c>
      <c r="I78" s="66">
        <v>0</v>
      </c>
      <c r="J78" s="60"/>
      <c r="K78" s="38"/>
      <c r="L78" s="60">
        <f t="shared" si="17"/>
        <v>0</v>
      </c>
      <c r="M78" s="38">
        <f t="shared" si="17"/>
        <v>0</v>
      </c>
    </row>
    <row r="79" spans="1:13" x14ac:dyDescent="0.25">
      <c r="A79" s="9">
        <v>38</v>
      </c>
      <c r="B79" s="3"/>
      <c r="C79" s="10" t="s">
        <v>77</v>
      </c>
      <c r="D79" s="65">
        <v>0</v>
      </c>
      <c r="E79" s="65">
        <v>0</v>
      </c>
      <c r="F79" s="65">
        <f t="shared" si="18"/>
        <v>0</v>
      </c>
      <c r="G79" s="63">
        <f t="shared" si="18"/>
        <v>0</v>
      </c>
      <c r="H79" s="65">
        <v>0</v>
      </c>
      <c r="I79" s="66">
        <v>0</v>
      </c>
      <c r="J79" s="60"/>
      <c r="K79" s="38"/>
      <c r="L79" s="60">
        <f t="shared" si="17"/>
        <v>0</v>
      </c>
      <c r="M79" s="38">
        <f t="shared" si="17"/>
        <v>0</v>
      </c>
    </row>
    <row r="80" spans="1:13" x14ac:dyDescent="0.25">
      <c r="A80" s="9">
        <v>39</v>
      </c>
      <c r="B80" s="3"/>
      <c r="C80" s="10" t="s">
        <v>78</v>
      </c>
      <c r="D80" s="65">
        <v>0</v>
      </c>
      <c r="E80" s="65">
        <v>0</v>
      </c>
      <c r="F80" s="65">
        <f t="shared" si="18"/>
        <v>0</v>
      </c>
      <c r="G80" s="63">
        <f t="shared" si="18"/>
        <v>0</v>
      </c>
      <c r="H80" s="65">
        <v>0</v>
      </c>
      <c r="I80" s="66">
        <v>0</v>
      </c>
      <c r="J80" s="60"/>
      <c r="K80" s="38"/>
      <c r="L80" s="60">
        <f t="shared" si="17"/>
        <v>0</v>
      </c>
      <c r="M80" s="38">
        <f t="shared" si="17"/>
        <v>0</v>
      </c>
    </row>
    <row r="81" spans="1:67" s="49" customFormat="1" x14ac:dyDescent="0.25">
      <c r="A81" s="56">
        <v>40</v>
      </c>
      <c r="B81" s="57"/>
      <c r="C81" s="10" t="s">
        <v>79</v>
      </c>
      <c r="D81" s="65">
        <v>0</v>
      </c>
      <c r="E81" s="65">
        <v>0</v>
      </c>
      <c r="F81" s="65">
        <f t="shared" si="18"/>
        <v>0</v>
      </c>
      <c r="G81" s="63">
        <f t="shared" si="18"/>
        <v>0</v>
      </c>
      <c r="H81" s="65">
        <v>0</v>
      </c>
      <c r="I81" s="156">
        <v>0</v>
      </c>
      <c r="J81" s="65"/>
      <c r="K81" s="66"/>
      <c r="L81" s="60">
        <f t="shared" si="17"/>
        <v>0</v>
      </c>
      <c r="M81" s="38">
        <f t="shared" si="17"/>
        <v>0</v>
      </c>
    </row>
    <row r="82" spans="1:67" s="44" customFormat="1" ht="20.25" customHeight="1" thickBot="1" x14ac:dyDescent="0.3">
      <c r="A82" s="40"/>
      <c r="B82" s="41"/>
      <c r="C82" s="42" t="s">
        <v>175</v>
      </c>
      <c r="D82" s="168">
        <f>D16+D24+D29+D36+D43+D45+D47+D49</f>
        <v>-60000</v>
      </c>
      <c r="E82" s="167">
        <f>SUM(E72:E81)+E16+E24+E29+E36+E43+E45+E47+E49+E51+E56+E61+E66</f>
        <v>-4132464.814838313</v>
      </c>
      <c r="F82" s="73">
        <f>F16+F24+F29+F36+F43+F45+F47+F49</f>
        <v>0</v>
      </c>
      <c r="G82" s="74">
        <f>SUM(G72:G81)+G16+G24+G29+G36+G43+G45+G47+G49+G51+G56+G61+G66</f>
        <v>397152.42066749791</v>
      </c>
      <c r="H82" s="73">
        <f>H16+H24+H29+H36+H43+H45+H47+H49</f>
        <v>-60000</v>
      </c>
      <c r="I82" s="155">
        <f>SUM(I72:I81)+I16+I24+I29+I36+I43+I45+I47+I49+I51+I56+I61+I66</f>
        <v>-3735312.3941708151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-3735312.3941708151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f>'EAST-EGM-FLSH'!D11+'EAST-LRC-FLSH'!D11</f>
        <v>106201924</v>
      </c>
      <c r="E11" s="66">
        <f>'EAST-EGM-FLSH'!E11+'EAST-LRC-FLSH'!E11</f>
        <v>244650434.6566</v>
      </c>
      <c r="F11" s="37">
        <f>H11-D11</f>
        <v>-465921</v>
      </c>
      <c r="G11" s="37">
        <f>I11-E11</f>
        <v>-723074.65659999847</v>
      </c>
      <c r="H11" s="60">
        <f>'EAST-EGM-FLSH'!H11+'EAST-LRC-FLSH'!H11</f>
        <v>105736003</v>
      </c>
      <c r="I11" s="38">
        <f>'EAST-EGM-FLSH'!I11+'EAST-LRC-FLSH'!I11</f>
        <v>243927360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105736003</v>
      </c>
      <c r="M11" s="38">
        <f t="shared" si="0"/>
        <v>243927360</v>
      </c>
    </row>
    <row r="12" spans="1:26" x14ac:dyDescent="0.25">
      <c r="A12" s="9">
        <v>2</v>
      </c>
      <c r="B12" s="7"/>
      <c r="C12" s="18" t="s">
        <v>27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5">
        <f>'EAST-EGM-FLSH'!D13+'EAST-LRC-FLSH'!D13</f>
        <v>42278465</v>
      </c>
      <c r="E13" s="66">
        <f>'EAST-EGM-FLSH'!E13+'EAST-LRC-FLSH'!E13</f>
        <v>98353631</v>
      </c>
      <c r="F13" s="60">
        <f t="shared" si="1"/>
        <v>0</v>
      </c>
      <c r="G13" s="37">
        <f t="shared" si="1"/>
        <v>0</v>
      </c>
      <c r="H13" s="60">
        <f>'EAST-EGM-FLSH'!H13+'EAST-LRC-FLSH'!H13</f>
        <v>42278465</v>
      </c>
      <c r="I13" s="38">
        <f>'EAST-EGM-FLSH'!I13+'EAST-LRC-FLSH'!I13</f>
        <v>98353631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42278465</v>
      </c>
      <c r="M13" s="38">
        <f t="shared" si="0"/>
        <v>98353631</v>
      </c>
    </row>
    <row r="14" spans="1:26" x14ac:dyDescent="0.25">
      <c r="A14" s="9">
        <v>4</v>
      </c>
      <c r="B14" s="7"/>
      <c r="C14" s="18" t="s">
        <v>29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f>SUM(D11:D15)</f>
        <v>148480389</v>
      </c>
      <c r="E16" s="39">
        <f>SUM(E11:E15)</f>
        <v>343004065.6566</v>
      </c>
      <c r="F16" s="61">
        <f t="shared" ref="F16:M16" si="2">SUM(F11:F15)</f>
        <v>-465921</v>
      </c>
      <c r="G16" s="39">
        <f t="shared" si="2"/>
        <v>-723074.65659999847</v>
      </c>
      <c r="H16" s="61">
        <f t="shared" si="2"/>
        <v>148014468</v>
      </c>
      <c r="I16" s="39">
        <f t="shared" si="2"/>
        <v>342280991</v>
      </c>
      <c r="J16" s="61">
        <f t="shared" si="2"/>
        <v>0</v>
      </c>
      <c r="K16" s="39">
        <f t="shared" si="2"/>
        <v>0</v>
      </c>
      <c r="L16" s="61">
        <f t="shared" si="2"/>
        <v>148014468</v>
      </c>
      <c r="M16" s="39">
        <f t="shared" si="2"/>
        <v>342280991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5">
        <f>'EAST-EGM-FLSH'!D19+'EAST-LRC-FLSH'!D19</f>
        <v>-110757323</v>
      </c>
      <c r="E19" s="66">
        <f>'EAST-EGM-FLSH'!E19+'EAST-LRC-FLSH'!E19</f>
        <v>-253122123</v>
      </c>
      <c r="F19" s="60">
        <f>H19-D19</f>
        <v>562246</v>
      </c>
      <c r="G19" s="37">
        <f>I19-E19</f>
        <v>1376338</v>
      </c>
      <c r="H19" s="60">
        <f>'EAST-EGM-FLSH'!H19+'EAST-LRC-FLSH'!H19</f>
        <v>-110195077</v>
      </c>
      <c r="I19" s="38">
        <f>'EAST-EGM-FLSH'!I19+'EAST-LRC-FLSH'!I19</f>
        <v>-251745785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-110195077</v>
      </c>
      <c r="M19" s="38">
        <f t="shared" si="3"/>
        <v>-251745785</v>
      </c>
    </row>
    <row r="20" spans="1:13" x14ac:dyDescent="0.25">
      <c r="A20" s="9">
        <v>7</v>
      </c>
      <c r="B20" s="7"/>
      <c r="C20" s="18" t="s">
        <v>27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28</v>
      </c>
      <c r="D21" s="65">
        <f>'EAST-EGM-FLSH'!D21+'EAST-LRC-FLSH'!D21</f>
        <v>-37849843</v>
      </c>
      <c r="E21" s="66">
        <f>'EAST-EGM-FLSH'!E21+'EAST-LRC-FLSH'!E21</f>
        <v>-88446112</v>
      </c>
      <c r="F21" s="60">
        <f t="shared" si="4"/>
        <v>0</v>
      </c>
      <c r="G21" s="37">
        <f t="shared" si="4"/>
        <v>0</v>
      </c>
      <c r="H21" s="60">
        <f>'EAST-EGM-FLSH'!H21+'EAST-LRC-FLSH'!H21</f>
        <v>-37849843</v>
      </c>
      <c r="I21" s="38">
        <f>'EAST-EGM-FLSH'!I21+'EAST-LRC-FLSH'!I21</f>
        <v>-88446112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-37849843</v>
      </c>
      <c r="M21" s="38">
        <f t="shared" si="3"/>
        <v>-88446112</v>
      </c>
    </row>
    <row r="22" spans="1:13" x14ac:dyDescent="0.25">
      <c r="A22" s="9">
        <v>9</v>
      </c>
      <c r="B22" s="7"/>
      <c r="C22" s="18" t="s">
        <v>29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33</v>
      </c>
      <c r="D23" s="65">
        <f>'EAST-EGM-FLSH'!D23+'EAST-LRC-FLSH'!D23</f>
        <v>178425</v>
      </c>
      <c r="E23" s="66">
        <f>'EAST-EGM-FLSH'!E23+'EAST-LRC-FLSH'!E23</f>
        <v>405315</v>
      </c>
      <c r="F23" s="60">
        <f t="shared" si="4"/>
        <v>0</v>
      </c>
      <c r="G23" s="37">
        <f t="shared" si="4"/>
        <v>0</v>
      </c>
      <c r="H23" s="60">
        <f>'EAST-EGM-FLSH'!H23+'EAST-LRC-FLSH'!H23</f>
        <v>178425</v>
      </c>
      <c r="I23" s="38">
        <f>'EAST-EGM-FLSH'!I23+'EAST-LRC-FLSH'!I23</f>
        <v>405315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178425</v>
      </c>
      <c r="M23" s="38">
        <f t="shared" si="3"/>
        <v>405315</v>
      </c>
    </row>
    <row r="24" spans="1:13" x14ac:dyDescent="0.25">
      <c r="A24" s="9"/>
      <c r="B24" s="7" t="s">
        <v>34</v>
      </c>
      <c r="C24" s="6"/>
      <c r="D24" s="61">
        <f>SUM(D19:D23)</f>
        <v>-148428741</v>
      </c>
      <c r="E24" s="39">
        <f>SUM(E19:E23)</f>
        <v>-341162920</v>
      </c>
      <c r="F24" s="61">
        <f t="shared" ref="F24:M24" si="5">SUM(F19:F23)</f>
        <v>562246</v>
      </c>
      <c r="G24" s="39">
        <f t="shared" si="5"/>
        <v>1376338</v>
      </c>
      <c r="H24" s="61">
        <f t="shared" si="5"/>
        <v>-147866495</v>
      </c>
      <c r="I24" s="39">
        <f t="shared" si="5"/>
        <v>-339786582</v>
      </c>
      <c r="J24" s="61">
        <f t="shared" si="5"/>
        <v>0</v>
      </c>
      <c r="K24" s="39">
        <f t="shared" si="5"/>
        <v>0</v>
      </c>
      <c r="L24" s="61">
        <f t="shared" si="5"/>
        <v>-147866495</v>
      </c>
      <c r="M24" s="39">
        <f t="shared" si="5"/>
        <v>-339786582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5">
        <f>'EAST-EGM-FLSH'!D32+'EAST-LRC-FLSH'!D32</f>
        <v>-1564</v>
      </c>
      <c r="E32" s="66">
        <f>'EAST-EGM-FLSH'!E32+'EAST-LRC-FLSH'!E32</f>
        <v>-64203</v>
      </c>
      <c r="F32" s="60">
        <f>H32-D32</f>
        <v>0</v>
      </c>
      <c r="G32" s="37">
        <f>I32-E32</f>
        <v>0</v>
      </c>
      <c r="H32" s="60">
        <f>'EAST-EGM-FLSH'!H32+'EAST-LRC-FLSH'!H32</f>
        <v>-1564</v>
      </c>
      <c r="I32" s="38">
        <f>'EAST-EGM-FLSH'!I32+'EAST-LRC-FLSH'!I32</f>
        <v>-64203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-1564</v>
      </c>
      <c r="M32" s="38">
        <f t="shared" si="7"/>
        <v>-64203</v>
      </c>
    </row>
    <row r="33" spans="1:13" x14ac:dyDescent="0.25">
      <c r="A33" s="9">
        <v>14</v>
      </c>
      <c r="B33" s="7"/>
      <c r="C33" s="18" t="s">
        <v>41</v>
      </c>
      <c r="D33" s="65">
        <f>'EAST-EGM-FLSH'!D33+'EAST-LRC-FLSH'!D33</f>
        <v>364791</v>
      </c>
      <c r="E33" s="66">
        <f>'EAST-EGM-FLSH'!E33+'EAST-LRC-FLSH'!E33</f>
        <v>795893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364791</v>
      </c>
      <c r="I33" s="38">
        <f>'EAST-EGM-FLSH'!I33+'EAST-LRC-FLSH'!I33</f>
        <v>795893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364791</v>
      </c>
      <c r="M33" s="38">
        <f t="shared" si="7"/>
        <v>795893</v>
      </c>
    </row>
    <row r="34" spans="1:13" x14ac:dyDescent="0.25">
      <c r="A34" s="9">
        <v>15</v>
      </c>
      <c r="B34" s="7"/>
      <c r="C34" s="18" t="s">
        <v>42</v>
      </c>
      <c r="D34" s="65">
        <f>'EAST-EGM-FLSH'!D34+'EAST-LRC-FLSH'!D34</f>
        <v>-519300</v>
      </c>
      <c r="E34" s="66">
        <f>'EAST-EGM-FLSH'!E34+'EAST-LRC-FLSH'!E34</f>
        <v>-1138326</v>
      </c>
      <c r="F34" s="60">
        <f t="shared" si="8"/>
        <v>0</v>
      </c>
      <c r="G34" s="37">
        <f t="shared" si="8"/>
        <v>0</v>
      </c>
      <c r="H34" s="60">
        <f>'EAST-EGM-FLSH'!H34+'EAST-LRC-FLSH'!H34</f>
        <v>-519300</v>
      </c>
      <c r="I34" s="38">
        <f>'EAST-EGM-FLSH'!I34+'EAST-LRC-FLSH'!I34</f>
        <v>-1138326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-519300</v>
      </c>
      <c r="M34" s="38">
        <f t="shared" si="7"/>
        <v>-1138326</v>
      </c>
    </row>
    <row r="35" spans="1:13" x14ac:dyDescent="0.25">
      <c r="A35" s="9">
        <v>16</v>
      </c>
      <c r="B35" s="7"/>
      <c r="C35" s="18" t="s">
        <v>43</v>
      </c>
      <c r="D35" s="65">
        <f>'EAST-EGM-FLSH'!D35+'EAST-LRC-FLSH'!D35</f>
        <v>196895</v>
      </c>
      <c r="E35" s="66">
        <f>'EAST-EGM-FLSH'!E35+'EAST-LRC-FLSH'!E35</f>
        <v>413421</v>
      </c>
      <c r="F35" s="60">
        <f t="shared" si="8"/>
        <v>0</v>
      </c>
      <c r="G35" s="37">
        <f t="shared" si="8"/>
        <v>0</v>
      </c>
      <c r="H35" s="60">
        <f>'EAST-EGM-FLSH'!H35+'EAST-LRC-FLSH'!H35</f>
        <v>196895</v>
      </c>
      <c r="I35" s="38">
        <f>'EAST-EGM-FLSH'!I35+'EAST-LRC-FLSH'!I35</f>
        <v>413421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196895</v>
      </c>
      <c r="M35" s="38">
        <f t="shared" si="7"/>
        <v>413421</v>
      </c>
    </row>
    <row r="36" spans="1:13" x14ac:dyDescent="0.25">
      <c r="A36" s="9"/>
      <c r="B36" s="7" t="s">
        <v>44</v>
      </c>
      <c r="C36" s="6"/>
      <c r="D36" s="61">
        <f t="shared" ref="D36:I36" si="9">SUM(D32:D35)</f>
        <v>40822</v>
      </c>
      <c r="E36" s="39">
        <f t="shared" si="9"/>
        <v>6785</v>
      </c>
      <c r="F36" s="61">
        <f t="shared" si="9"/>
        <v>0</v>
      </c>
      <c r="G36" s="39">
        <f t="shared" si="9"/>
        <v>0</v>
      </c>
      <c r="H36" s="61">
        <f t="shared" si="9"/>
        <v>40822</v>
      </c>
      <c r="I36" s="39">
        <f t="shared" si="9"/>
        <v>6785</v>
      </c>
      <c r="J36" s="61">
        <f>SUM(J32:J34)</f>
        <v>0</v>
      </c>
      <c r="K36" s="39">
        <f>SUM(K32:K34)</f>
        <v>0</v>
      </c>
      <c r="L36" s="61">
        <f>SUM(L32:L35)</f>
        <v>40822</v>
      </c>
      <c r="M36" s="39">
        <f>SUM(M32:M35)</f>
        <v>6785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5">
        <f>'EAST-EGM-FLSH'!D39+'EAST-LRC-FLSH'!D39</f>
        <v>913477</v>
      </c>
      <c r="E39" s="66">
        <f>'EAST-EGM-FLSH'!E39+'EAST-LRC-FLSH'!E39</f>
        <v>2037051</v>
      </c>
      <c r="F39" s="60">
        <f t="shared" ref="F39:G41" si="10">H39-D39</f>
        <v>-395169</v>
      </c>
      <c r="G39" s="37">
        <f t="shared" si="10"/>
        <v>-855309</v>
      </c>
      <c r="H39" s="60">
        <f>'EAST-EGM-FLSH'!H39+'EAST-LRC-FLSH'!H39</f>
        <v>518308</v>
      </c>
      <c r="I39" s="38">
        <f>'EAST-EGM-FLSH'!I39+'EAST-LRC-FLSH'!I39</f>
        <v>1181742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518308</v>
      </c>
      <c r="M39" s="38">
        <f t="shared" si="11"/>
        <v>1181742</v>
      </c>
    </row>
    <row r="40" spans="1:13" ht="22.5" customHeight="1" x14ac:dyDescent="0.25">
      <c r="A40" s="9">
        <v>18</v>
      </c>
      <c r="B40" s="7"/>
      <c r="C40" s="18" t="s">
        <v>47</v>
      </c>
      <c r="D40" s="65">
        <f>'EAST-EGM-FLSH'!D40+'EAST-LRC-FLSH'!D40</f>
        <v>-244706</v>
      </c>
      <c r="E40" s="66">
        <f>'EAST-EGM-FLSH'!E40+'EAST-LRC-FLSH'!E40</f>
        <v>-545695</v>
      </c>
      <c r="F40" s="60">
        <f t="shared" si="10"/>
        <v>-680534</v>
      </c>
      <c r="G40" s="37">
        <f t="shared" si="10"/>
        <v>-1563854</v>
      </c>
      <c r="H40" s="60">
        <f>'EAST-EGM-FLSH'!H40+'EAST-LRC-FLSH'!H40</f>
        <v>-925240</v>
      </c>
      <c r="I40" s="38">
        <f>'EAST-EGM-FLSH'!I40+'EAST-LRC-FLSH'!I40</f>
        <v>-2109549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-925240</v>
      </c>
      <c r="M40" s="38">
        <f t="shared" si="11"/>
        <v>-2109549</v>
      </c>
    </row>
    <row r="41" spans="1:13" x14ac:dyDescent="0.25">
      <c r="A41" s="9">
        <v>19</v>
      </c>
      <c r="B41" s="7"/>
      <c r="C41" s="18" t="s">
        <v>48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49</v>
      </c>
      <c r="D42" s="61">
        <f>SUM(D40:D41)</f>
        <v>-244706</v>
      </c>
      <c r="E42" s="39">
        <f>SUM(E40:E41)</f>
        <v>-545695</v>
      </c>
      <c r="F42" s="61">
        <f t="shared" ref="F42:M42" si="12">SUM(F40:F41)</f>
        <v>-680534</v>
      </c>
      <c r="G42" s="39">
        <f t="shared" si="12"/>
        <v>-1563854</v>
      </c>
      <c r="H42" s="61">
        <f t="shared" si="12"/>
        <v>-925240</v>
      </c>
      <c r="I42" s="39">
        <f t="shared" si="12"/>
        <v>-2109549</v>
      </c>
      <c r="J42" s="61">
        <f t="shared" si="12"/>
        <v>0</v>
      </c>
      <c r="K42" s="39">
        <f t="shared" si="12"/>
        <v>0</v>
      </c>
      <c r="L42" s="61">
        <f t="shared" si="12"/>
        <v>-925240</v>
      </c>
      <c r="M42" s="39">
        <f t="shared" si="12"/>
        <v>-2109549</v>
      </c>
    </row>
    <row r="43" spans="1:13" ht="21" customHeight="1" x14ac:dyDescent="0.25">
      <c r="A43" s="9"/>
      <c r="B43" s="7" t="s">
        <v>50</v>
      </c>
      <c r="C43" s="6"/>
      <c r="D43" s="61">
        <f>D42+D39</f>
        <v>668771</v>
      </c>
      <c r="E43" s="39">
        <f>E42+E39</f>
        <v>1491356</v>
      </c>
      <c r="F43" s="61">
        <f t="shared" ref="F43:M43" si="13">F42+F39</f>
        <v>-1075703</v>
      </c>
      <c r="G43" s="39">
        <f t="shared" si="13"/>
        <v>-2419163</v>
      </c>
      <c r="H43" s="61">
        <f t="shared" si="13"/>
        <v>-406932</v>
      </c>
      <c r="I43" s="39">
        <f t="shared" si="13"/>
        <v>-927807</v>
      </c>
      <c r="J43" s="61">
        <f t="shared" si="13"/>
        <v>0</v>
      </c>
      <c r="K43" s="39">
        <f t="shared" si="13"/>
        <v>0</v>
      </c>
      <c r="L43" s="61">
        <f t="shared" si="13"/>
        <v>-406932</v>
      </c>
      <c r="M43" s="39">
        <f t="shared" si="13"/>
        <v>-927807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5">
        <f>'EAST-EGM-FLSH'!D49+'EAST-LRC-FLSH'!D49</f>
        <v>-761241</v>
      </c>
      <c r="E49" s="66">
        <f>'EAST-EGM-FLSH'!E49+'EAST-LRC-FLSH'!E49</f>
        <v>-1668899.9142449812</v>
      </c>
      <c r="F49" s="60">
        <f>H49-D49</f>
        <v>979378</v>
      </c>
      <c r="G49" s="37">
        <f>I49-E49</f>
        <v>2163052.0772675001</v>
      </c>
      <c r="H49" s="60">
        <f>'EAST-EGM-FLSH'!H49+'EAST-LRC-FLSH'!H49</f>
        <v>218137</v>
      </c>
      <c r="I49" s="38">
        <f>'EAST-EGM-FLSH'!I49+'EAST-LRC-FLSH'!I49</f>
        <v>494152.16302251897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218137</v>
      </c>
      <c r="M49" s="38">
        <f>I49+K49</f>
        <v>494152.16302251897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5">
        <f>'EAST-EGM-FLSH'!D51+'EAST-LRC-FLSH'!D51</f>
        <v>-178425</v>
      </c>
      <c r="E51" s="66">
        <f>'EAST-EGM-FLSH'!E51+'EAST-LRC-FLSH'!E51</f>
        <v>-405315</v>
      </c>
      <c r="F51" s="60">
        <f>H51-D51</f>
        <v>0</v>
      </c>
      <c r="G51" s="37">
        <f>I51-E51</f>
        <v>0</v>
      </c>
      <c r="H51" s="60">
        <f>'EAST-EGM-FLSH'!H51+'EAST-LRC-FLSH'!H51</f>
        <v>-178425</v>
      </c>
      <c r="I51" s="38">
        <f>'EAST-EGM-FLSH'!I51+'EAST-LRC-FLSH'!I51</f>
        <v>-405315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-178425</v>
      </c>
      <c r="M51" s="38">
        <f>I51+K51</f>
        <v>-405315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5">
        <f>'EAST-EGM-FLSH'!D54+'EAST-LRC-FLSH'!D54</f>
        <v>0</v>
      </c>
      <c r="E54" s="66">
        <f>'EAST-EGM-FLSH'!E54+'EAST-LRC-FLSH'!E54</f>
        <v>-545222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-545222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-545222</v>
      </c>
    </row>
    <row r="55" spans="1:15" x14ac:dyDescent="0.25">
      <c r="A55" s="9">
        <v>25</v>
      </c>
      <c r="B55" s="7"/>
      <c r="C55" s="18" t="s">
        <v>57</v>
      </c>
      <c r="D55" s="65">
        <f>'EAST-EGM-FLSH'!D55+'EAST-LRC-FLSH'!D55</f>
        <v>0</v>
      </c>
      <c r="E55" s="66">
        <f>'EAST-EGM-FLSH'!E55+'EAST-LRC-FLSH'!E55</f>
        <v>-354365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-354365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-354365</v>
      </c>
    </row>
    <row r="56" spans="1:15" x14ac:dyDescent="0.25">
      <c r="A56" s="9"/>
      <c r="B56" s="7" t="s">
        <v>58</v>
      </c>
      <c r="C56" s="6"/>
      <c r="D56" s="61">
        <f>SUM(D54:D55)</f>
        <v>0</v>
      </c>
      <c r="E56" s="39">
        <f>SUM(E54:E55)</f>
        <v>-899587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-899587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-899587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5">
        <f>'EAST-EGM-FLSH'!D64+'EAST-LRC-FLSH'!D64</f>
        <v>0</v>
      </c>
      <c r="E64" s="66">
        <f>'EAST-EGM-FLSH'!E64+'EAST-LRC-FLSH'!E64</f>
        <v>48497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48497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48497</v>
      </c>
    </row>
    <row r="65" spans="1:13" x14ac:dyDescent="0.25">
      <c r="A65" s="9">
        <v>29</v>
      </c>
      <c r="B65" s="11"/>
      <c r="C65" s="18" t="s">
        <v>64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f>SUM(D64:D65)</f>
        <v>0</v>
      </c>
      <c r="E66" s="39">
        <f>SUM(E64:E65)</f>
        <v>48497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48497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48497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5">
        <f>'EAST-EGM-FLSH'!D70+'EAST-LRC-FLSH'!D70</f>
        <v>0</v>
      </c>
      <c r="E70" s="66">
        <f>'EAST-EGM-FLSH'!E70+'EAST-LRC-FLSH'!E70</f>
        <v>3210854.2476774924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3210854.2476774924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3210854.2476774924</v>
      </c>
    </row>
    <row r="71" spans="1:13" x14ac:dyDescent="0.25">
      <c r="A71" s="9">
        <v>31</v>
      </c>
      <c r="B71" s="3"/>
      <c r="C71" s="10" t="s">
        <v>69</v>
      </c>
      <c r="D71" s="65">
        <f>'EAST-EGM-FLSH'!D71+'EAST-LRC-FLSH'!D71</f>
        <v>0</v>
      </c>
      <c r="E71" s="66">
        <f>'EAST-EGM-FLSH'!E71+'EAST-LRC-FLSH'!E71</f>
        <v>-5679558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-5679558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-5679558</v>
      </c>
    </row>
    <row r="72" spans="1:13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-2468703.7523225076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-2468703.7523225076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-2468703.7523225076</v>
      </c>
    </row>
    <row r="73" spans="1:13" x14ac:dyDescent="0.25">
      <c r="A73" s="9">
        <v>32</v>
      </c>
      <c r="B73" s="3"/>
      <c r="C73" s="10" t="s">
        <v>71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72</v>
      </c>
      <c r="D74" s="65">
        <f>'EAST-EGM-FLSH'!D74+'EAST-LRC-FLSH'!D74</f>
        <v>0</v>
      </c>
      <c r="E74" s="66">
        <f>'EAST-EGM-FLSH'!E74+'EAST-LRC-FLSH'!E74</f>
        <v>3621706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3621706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3621706</v>
      </c>
    </row>
    <row r="75" spans="1:13" x14ac:dyDescent="0.25">
      <c r="A75" s="9">
        <v>34</v>
      </c>
      <c r="B75" s="3"/>
      <c r="C75" s="10" t="s">
        <v>73</v>
      </c>
      <c r="D75" s="65">
        <f>'EAST-EGM-FLSH'!D75+'EAST-LRC-FLSH'!D75</f>
        <v>0</v>
      </c>
      <c r="E75" s="66">
        <f>'EAST-EGM-FLSH'!E75+'EAST-LRC-FLSH'!E75</f>
        <v>274130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274130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274130</v>
      </c>
    </row>
    <row r="76" spans="1:13" x14ac:dyDescent="0.25">
      <c r="A76" s="9">
        <v>35</v>
      </c>
      <c r="B76" s="3"/>
      <c r="C76" s="10" t="s">
        <v>74</v>
      </c>
      <c r="D76" s="65">
        <f>'EAST-EGM-FLSH'!D76+'EAST-LRC-FLSH'!D76</f>
        <v>0</v>
      </c>
      <c r="E76" s="66">
        <f>'EAST-EGM-FLSH'!E76+'EAST-LRC-FLSH'!E76</f>
        <v>-23020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-23020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-23020</v>
      </c>
    </row>
    <row r="77" spans="1:13" x14ac:dyDescent="0.25">
      <c r="A77" s="9">
        <v>36</v>
      </c>
      <c r="B77" s="3"/>
      <c r="C77" s="10" t="s">
        <v>75</v>
      </c>
      <c r="D77" s="65">
        <f>'EAST-EGM-FLSH'!D77+'EAST-LRC-FLSH'!D77</f>
        <v>0</v>
      </c>
      <c r="E77" s="66">
        <f>'EAST-EGM-FLSH'!E77+'EAST-LRC-FLSH'!E77</f>
        <v>-1036809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-1036809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-1036809</v>
      </c>
    </row>
    <row r="78" spans="1:13" x14ac:dyDescent="0.25">
      <c r="A78" s="9">
        <v>37</v>
      </c>
      <c r="B78" s="3"/>
      <c r="C78" s="10" t="s">
        <v>76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5">
      <c r="A79" s="9">
        <v>38</v>
      </c>
      <c r="B79" s="3"/>
      <c r="C79" s="10" t="s">
        <v>77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78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79</v>
      </c>
      <c r="D81" s="60"/>
      <c r="E81" s="66">
        <f>'EAST-EGM-FLSH'!E81+'EAST-LRC-FLSH'!E81</f>
        <v>-2807834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-2807834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-2807834</v>
      </c>
    </row>
    <row r="82" spans="1:67" s="44" customFormat="1" ht="20.25" customHeight="1" thickBot="1" x14ac:dyDescent="0.3">
      <c r="A82" s="40"/>
      <c r="B82" s="41"/>
      <c r="C82" s="42" t="s">
        <v>175</v>
      </c>
      <c r="D82" s="73">
        <f>D16+D24+D29+D36+D43+D45+D47+D49</f>
        <v>0</v>
      </c>
      <c r="E82" s="74">
        <f>SUM(E72:E81)+E16+E24+E29+E36+E43+E45+E47+E49+E51+E56+E61+E66</f>
        <v>-2002025.0649674849</v>
      </c>
      <c r="F82" s="73">
        <f>F16+F24+F29+F36+F43+F45+F47+F49</f>
        <v>0</v>
      </c>
      <c r="G82" s="74">
        <f>SUM(G72:G81)+G16+G24+G29+G36+G43+G45+G47+G49+G51+G56+G61+G66</f>
        <v>397152.42066750163</v>
      </c>
      <c r="H82" s="73">
        <f>H16+H24+H29+H36+H43+H45+H47+H49</f>
        <v>0</v>
      </c>
      <c r="I82" s="74">
        <f>SUM(I72:I81)+I16+I24+I29+I36+I43+I45+I47+I49+I51+I56+I61+I66</f>
        <v>-1604872.644299983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-1604872.644299983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-2002025.0649674959</v>
      </c>
      <c r="M84" s="45"/>
    </row>
    <row r="85" spans="1:67" x14ac:dyDescent="0.25">
      <c r="A85" s="4" t="s">
        <v>171</v>
      </c>
      <c r="B85" s="3"/>
    </row>
    <row r="86" spans="1:67" s="3" customFormat="1" x14ac:dyDescent="0.25">
      <c r="A86" s="173"/>
      <c r="C86" s="10" t="s">
        <v>173</v>
      </c>
      <c r="D86" s="174">
        <f>'EAST-EGM-FLSH'!D86+'EAST-LRC-FLSH'!D86</f>
        <v>0</v>
      </c>
      <c r="E86" s="174">
        <f>'EAST-EGM-FLSH'!E86+'EAST-LRC-FLSH'!E86</f>
        <v>-614051</v>
      </c>
      <c r="F86" s="174">
        <f>'EAST-EGM-FLSH'!F86+'EAST-LRC-FLSH'!F86</f>
        <v>0</v>
      </c>
      <c r="G86" s="174">
        <f>'EAST-EGM-FLSH'!G86+'EAST-LRC-FLSH'!G86</f>
        <v>0</v>
      </c>
      <c r="H86" s="174">
        <f>'EAST-EGM-FLSH'!H86+'EAST-LRC-FLSH'!H86</f>
        <v>0</v>
      </c>
      <c r="I86" s="174">
        <f>'EAST-EGM-FLSH'!I86+'EAST-LRC-FLSH'!I86</f>
        <v>-614051</v>
      </c>
      <c r="J86" s="174">
        <f>'EAST-EGM-FLSH'!J86+'EAST-LRC-FLSH'!J86</f>
        <v>0</v>
      </c>
      <c r="K86" s="174">
        <f>'EAST-EGM-FLSH'!K86+'EAST-LRC-FLSH'!K86</f>
        <v>0</v>
      </c>
      <c r="L86" s="174">
        <f>'EAST-EGM-FLSH'!L86+'EAST-LRC-FLSH'!L86</f>
        <v>0</v>
      </c>
      <c r="M86" s="174">
        <f>'EAST-EGM-FLSH'!M86+'EAST-LRC-FLSH'!M86</f>
        <v>-614051</v>
      </c>
    </row>
    <row r="87" spans="1:67" s="3" customFormat="1" x14ac:dyDescent="0.25">
      <c r="A87" s="173"/>
      <c r="C87" s="10" t="s">
        <v>72</v>
      </c>
      <c r="D87" s="175">
        <f>'EAST-EGM-FLSH'!D87+'EAST-LRC-FLSH'!D87</f>
        <v>0</v>
      </c>
      <c r="E87" s="175">
        <f>'EAST-EGM-FLSH'!E87+'EAST-LRC-FLSH'!E87</f>
        <v>0</v>
      </c>
      <c r="F87" s="175">
        <f>'EAST-EGM-FLSH'!F87+'EAST-LRC-FLSH'!F87</f>
        <v>0</v>
      </c>
      <c r="G87" s="175">
        <f>'EAST-EGM-FLSH'!G87+'EAST-LRC-FLSH'!G87</f>
        <v>0</v>
      </c>
      <c r="H87" s="175">
        <f>'EAST-EGM-FLSH'!H87+'EAST-LRC-FLSH'!H87</f>
        <v>0</v>
      </c>
      <c r="I87" s="175">
        <f>'EAST-EGM-FLSH'!I87+'EAST-LRC-FLSH'!I87</f>
        <v>0</v>
      </c>
      <c r="J87" s="175">
        <f>'EAST-EGM-FLSH'!J87+'EAST-LRC-FLSH'!J87</f>
        <v>0</v>
      </c>
      <c r="K87" s="175">
        <f>'EAST-EGM-FLSH'!K87+'EAST-LRC-FLSH'!K87</f>
        <v>0</v>
      </c>
      <c r="L87" s="175">
        <f>'EAST-EGM-FLSH'!L87+'EAST-LRC-FLSH'!L87</f>
        <v>0</v>
      </c>
      <c r="M87" s="175">
        <f>'EAST-EGM-FLSH'!M87+'EAST-LRC-FLSH'!M87</f>
        <v>0</v>
      </c>
    </row>
    <row r="88" spans="1:67" s="3" customFormat="1" x14ac:dyDescent="0.25">
      <c r="A88" s="173"/>
      <c r="C88" s="10" t="s">
        <v>73</v>
      </c>
      <c r="D88" s="176">
        <f>'EAST-EGM-FLSH'!D88+'EAST-LRC-FLSH'!D88</f>
        <v>0</v>
      </c>
      <c r="E88" s="176">
        <f>'EAST-EGM-FLSH'!E88+'EAST-LRC-FLSH'!E88</f>
        <v>0</v>
      </c>
      <c r="F88" s="176">
        <f>'EAST-EGM-FLSH'!F88+'EAST-LRC-FLSH'!F88</f>
        <v>0</v>
      </c>
      <c r="G88" s="176">
        <f>'EAST-EGM-FLSH'!G88+'EAST-LRC-FLSH'!G88</f>
        <v>0</v>
      </c>
      <c r="H88" s="176">
        <f>'EAST-EGM-FLSH'!H88+'EAST-LRC-FLSH'!H88</f>
        <v>0</v>
      </c>
      <c r="I88" s="176">
        <f>'EAST-EGM-FLSH'!I88+'EAST-LRC-FLSH'!I88</f>
        <v>0</v>
      </c>
      <c r="J88" s="176">
        <f>'EAST-EGM-FLSH'!J88+'EAST-LRC-FLSH'!J88</f>
        <v>0</v>
      </c>
      <c r="K88" s="176">
        <f>'EAST-EGM-FLSH'!K88+'EAST-LRC-FLSH'!K88</f>
        <v>0</v>
      </c>
      <c r="L88" s="176">
        <f>'EAST-EGM-FLSH'!L88+'EAST-LRC-FLSH'!L88</f>
        <v>0</v>
      </c>
      <c r="M88" s="176">
        <f>'EAST-EGM-FLSH'!M88+'EAST-LRC-FLSH'!M88</f>
        <v>0</v>
      </c>
    </row>
    <row r="89" spans="1:67" s="44" customFormat="1" ht="20.25" customHeight="1" x14ac:dyDescent="0.25">
      <c r="A89" s="180"/>
      <c r="B89" s="181"/>
      <c r="C89" s="182" t="s">
        <v>176</v>
      </c>
      <c r="D89" s="184">
        <f>SUM(D86:D88)</f>
        <v>0</v>
      </c>
      <c r="E89" s="184">
        <f t="shared" ref="E89:M89" si="20">SUM(E86:E88)</f>
        <v>-614051</v>
      </c>
      <c r="F89" s="184">
        <f t="shared" si="20"/>
        <v>0</v>
      </c>
      <c r="G89" s="184">
        <f t="shared" si="20"/>
        <v>0</v>
      </c>
      <c r="H89" s="184">
        <f t="shared" si="20"/>
        <v>0</v>
      </c>
      <c r="I89" s="184">
        <f t="shared" si="20"/>
        <v>-614051</v>
      </c>
      <c r="J89" s="184">
        <f t="shared" si="20"/>
        <v>0</v>
      </c>
      <c r="K89" s="184">
        <f t="shared" si="20"/>
        <v>0</v>
      </c>
      <c r="L89" s="184">
        <f t="shared" si="20"/>
        <v>0</v>
      </c>
      <c r="M89" s="184">
        <f t="shared" si="20"/>
        <v>-614051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0"/>
      <c r="B91" s="181"/>
      <c r="C91" s="182" t="s">
        <v>174</v>
      </c>
      <c r="D91" s="184">
        <f>+D82+D89</f>
        <v>0</v>
      </c>
      <c r="E91" s="184">
        <f t="shared" ref="E91:M91" si="21">+E82+E89</f>
        <v>-2616076.0649674851</v>
      </c>
      <c r="F91" s="184">
        <f t="shared" si="21"/>
        <v>0</v>
      </c>
      <c r="G91" s="184">
        <f t="shared" si="21"/>
        <v>397152.42066750163</v>
      </c>
      <c r="H91" s="184">
        <f t="shared" si="21"/>
        <v>0</v>
      </c>
      <c r="I91" s="184">
        <f t="shared" si="21"/>
        <v>-2218923.644299983</v>
      </c>
      <c r="J91" s="184">
        <f t="shared" si="21"/>
        <v>0</v>
      </c>
      <c r="K91" s="184">
        <f t="shared" si="21"/>
        <v>0</v>
      </c>
      <c r="L91" s="184">
        <f t="shared" si="21"/>
        <v>0</v>
      </c>
      <c r="M91" s="184">
        <f t="shared" si="21"/>
        <v>-2218923.644299983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26</vt:i4>
      </vt:variant>
    </vt:vector>
  </HeadingPairs>
  <TitlesOfParts>
    <vt:vector size="71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2000-01-14T23:17:39Z</cp:lastPrinted>
  <dcterms:created xsi:type="dcterms:W3CDTF">1997-07-11T21:57:33Z</dcterms:created>
  <dcterms:modified xsi:type="dcterms:W3CDTF">2023-09-10T12:19:18Z</dcterms:modified>
</cp:coreProperties>
</file>