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Sithe" sheetId="7" r:id="rId1"/>
  </sheets>
  <definedNames>
    <definedName name="_xlnm.Print_Area" localSheetId="0">Sithe!$A$1:$W$73</definedName>
  </definedNames>
  <calcPr calcId="92512"/>
</workbook>
</file>

<file path=xl/calcChain.xml><?xml version="1.0" encoding="utf-8"?>
<calcChain xmlns="http://schemas.openxmlformats.org/spreadsheetml/2006/main">
  <c r="W8" i="7" l="1"/>
  <c r="W12" i="7"/>
  <c r="W13" i="7"/>
  <c r="W14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W15" i="7"/>
  <c r="W17" i="7"/>
  <c r="K18" i="7"/>
  <c r="L18" i="7"/>
  <c r="M18" i="7"/>
  <c r="N18" i="7"/>
  <c r="O18" i="7"/>
  <c r="Q18" i="7"/>
  <c r="R18" i="7"/>
  <c r="S18" i="7"/>
  <c r="W18" i="7"/>
  <c r="W22" i="7"/>
  <c r="W23" i="7"/>
  <c r="W24" i="7"/>
  <c r="W25" i="7"/>
  <c r="W26" i="7"/>
  <c r="W27" i="7"/>
  <c r="W28" i="7"/>
  <c r="W29" i="7"/>
  <c r="W30" i="7"/>
  <c r="F31" i="7"/>
  <c r="R31" i="7"/>
  <c r="S31" i="7"/>
  <c r="T31" i="7"/>
  <c r="W31" i="7"/>
  <c r="W33" i="7"/>
  <c r="W34" i="7"/>
  <c r="M35" i="7"/>
  <c r="N35" i="7"/>
  <c r="P35" i="7"/>
  <c r="Q35" i="7"/>
  <c r="R35" i="7"/>
  <c r="W35" i="7"/>
  <c r="M36" i="7"/>
  <c r="O36" i="7"/>
  <c r="P36" i="7"/>
  <c r="Q36" i="7"/>
  <c r="W36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W37" i="7"/>
  <c r="W39" i="7"/>
  <c r="W40" i="7"/>
  <c r="W41" i="7"/>
  <c r="W42" i="7"/>
  <c r="M43" i="7"/>
  <c r="N43" i="7"/>
  <c r="O43" i="7"/>
  <c r="Q43" i="7"/>
  <c r="R43" i="7"/>
  <c r="S43" i="7"/>
  <c r="W43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W44" i="7"/>
  <c r="W46" i="7"/>
  <c r="W47" i="7"/>
  <c r="P48" i="7"/>
  <c r="W48" i="7"/>
  <c r="F49" i="7"/>
  <c r="J49" i="7"/>
  <c r="K49" i="7"/>
  <c r="M49" i="7"/>
  <c r="N49" i="7"/>
  <c r="O49" i="7"/>
  <c r="P49" i="7"/>
  <c r="Q49" i="7"/>
  <c r="R49" i="7"/>
  <c r="S49" i="7"/>
  <c r="W49" i="7"/>
  <c r="W51" i="7"/>
  <c r="U52" i="7"/>
  <c r="W52" i="7"/>
  <c r="W56" i="7"/>
  <c r="M57" i="7"/>
  <c r="R57" i="7"/>
  <c r="S57" i="7"/>
  <c r="W57" i="7"/>
  <c r="W60" i="7"/>
  <c r="W61" i="7"/>
  <c r="W62" i="7"/>
  <c r="W63" i="7"/>
  <c r="W64" i="7"/>
  <c r="W65" i="7"/>
  <c r="W66" i="7"/>
  <c r="W67" i="7"/>
  <c r="W68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W69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W71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W73" i="7"/>
</calcChain>
</file>

<file path=xl/comments1.xml><?xml version="1.0" encoding="utf-8"?>
<comments xmlns="http://schemas.openxmlformats.org/spreadsheetml/2006/main">
  <authors>
    <author>mbowen</author>
    <author>jlee</author>
    <author>csprowl</author>
  </authors>
  <commentList>
    <comment ref="F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Union Strg Adj 3/01 GL
for 11/99</t>
        </r>
      </text>
    </comment>
    <comment ref="J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3/01Gl PMA GRLK Commodity</t>
        </r>
      </text>
    </comment>
    <comment ref="L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GRLK Commodity 3/01 PMA</t>
        </r>
      </text>
    </comment>
    <comment ref="M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Synthetic Storage</t>
        </r>
      </text>
    </comment>
    <comment ref="S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Commodity - ($159)
Coastal Merch - Commodity-$3,875
GRLK - Commodity - ($6,332)
Various - Commodity - ($85)
DPR vs Consol - $145
Syn Strg - $20,778
</t>
        </r>
      </text>
    </comment>
    <comment ref="C2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Manual entries prepared by Connie Lo, per Jim Pond,(10/20/00)  these are storage vaule adjustments, gas accounting can't do anything about. Economic should take these to the desk.  Jim Pond will talk to Diane Cook on 10/23/00. </t>
        </r>
      </text>
    </comment>
    <comment ref="M35" authorId="2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Tied to Debny's schedule</t>
        </r>
      </text>
    </comment>
    <comment ref="N3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Enron Canada $ (48,224)
Sithe/Independence  (83,231)</t>
        </r>
      </text>
    </comment>
    <comment ref="O35" authorId="1" shapeId="0">
      <text>
        <r>
          <rPr>
            <b/>
            <sz val="8"/>
            <color indexed="81"/>
            <rFont val="Tahoma"/>
          </rPr>
          <t>jlee:
Sales</t>
        </r>
        <r>
          <rPr>
            <sz val="8"/>
            <color indexed="81"/>
            <rFont val="Tahoma"/>
            <family val="2"/>
          </rPr>
          <t xml:space="preserve">
Amerada Hess    $(83)
Enron Canada-Deferred Revenue  $659,454
Sithe transport reimb $ (602,957.31)
Sithe/Independence power (13,448)  $ (667,485)
</t>
        </r>
        <r>
          <rPr>
            <b/>
            <sz val="8"/>
            <color indexed="81"/>
            <rFont val="Tahoma"/>
            <family val="2"/>
          </rPr>
          <t xml:space="preserve">Purchases
</t>
        </r>
        <r>
          <rPr>
            <sz val="8"/>
            <color indexed="81"/>
            <rFont val="Tahoma"/>
            <family val="2"/>
          </rPr>
          <t xml:space="preserve">Sithe/Independence power $(279,025)
Enron Power Marketing  (37,950) $(197,530)
</t>
        </r>
        <r>
          <rPr>
            <b/>
            <sz val="8"/>
            <color indexed="81"/>
            <rFont val="Tahoma"/>
            <family val="2"/>
          </rPr>
          <t>Commodity</t>
        </r>
        <r>
          <rPr>
            <sz val="8"/>
            <color indexed="81"/>
            <rFont val="Tahoma"/>
            <family val="2"/>
          </rPr>
          <t xml:space="preserve">
Enron Canada $645,469 
</t>
        </r>
      </text>
    </comment>
    <comment ref="P35" authorId="1" shapeId="0">
      <text>
        <r>
          <rPr>
            <b/>
            <sz val="8"/>
            <color indexed="81"/>
            <rFont val="Tahoma"/>
          </rPr>
          <t xml:space="preserve">jlee:
</t>
        </r>
        <r>
          <rPr>
            <sz val="8"/>
            <color indexed="81"/>
            <rFont val="Tahoma"/>
            <family val="2"/>
          </rPr>
          <t>Amerada Hess Corporation $ (1,473)</t>
        </r>
        <r>
          <rPr>
            <sz val="8"/>
            <color indexed="81"/>
            <rFont val="Tahoma"/>
          </rPr>
          <t xml:space="preserve">
Enron Canada-sithe transp ?? (66,031) 
Liquidations         214,147 not in PMA
Sithe/Indep         (472,602)
</t>
        </r>
      </text>
    </comment>
    <comment ref="Q3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Sithe/Independence  (394,458) 
</t>
        </r>
      </text>
    </comment>
    <comment ref="R3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</rPr>
          <t xml:space="preserve">
Enron Canada        (133,110)
</t>
        </r>
        <r>
          <rPr>
            <b/>
            <sz val="8"/>
            <color indexed="81"/>
            <rFont val="Tahoma"/>
            <family val="2"/>
          </rPr>
          <t xml:space="preserve">Purchases:
</t>
        </r>
        <r>
          <rPr>
            <sz val="8"/>
            <color indexed="81"/>
            <rFont val="Tahoma"/>
            <family val="2"/>
          </rPr>
          <t xml:space="preserve">Bridgeline Gas           (49,289)
Sithe/Indep            (1,079,319)
</t>
        </r>
        <r>
          <rPr>
            <b/>
            <sz val="8"/>
            <color indexed="81"/>
            <rFont val="Tahoma"/>
            <family val="2"/>
          </rPr>
          <t xml:space="preserve">Commodity:
</t>
        </r>
        <r>
          <rPr>
            <sz val="8"/>
            <color indexed="81"/>
            <rFont val="Tahoma"/>
            <family val="2"/>
          </rPr>
          <t>Enron Canada           649,600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per Jane Saladino on 10/19, $26,961.85 &amp;
$402,175.85 are part of Sithe Transport, s/b offset w/ $(62,941.41)</t>
        </r>
      </text>
    </comment>
    <comment ref="O36" authorId="1" shapeId="0">
      <text>
        <r>
          <rPr>
            <b/>
            <sz val="8"/>
            <color indexed="81"/>
            <rFont val="Tahoma"/>
          </rPr>
          <t>jlee:
          Volume                      $</t>
        </r>
        <r>
          <rPr>
            <sz val="8"/>
            <color indexed="81"/>
            <rFont val="Tahoma"/>
          </rPr>
          <t xml:space="preserve">
     64,747                           75,481</t>
        </r>
      </text>
    </comment>
    <comment ref="P36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Enron Canada $(616,426)
Reclass to Ontario Volume (430), $(21,399)</t>
        </r>
      </text>
    </comment>
    <comment ref="Q36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Enron purchases variances and sales buy/back </t>
        </r>
      </text>
    </comment>
    <comment ref="P37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tied to J. Saladino's schedule. See reconciliations
</t>
        </r>
      </text>
    </comment>
    <comment ref="Q37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tied to J. Saladino's schedule. See reconciliations
</t>
        </r>
      </text>
    </comment>
    <comment ref="Q42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ANR Pipeline
</t>
        </r>
      </text>
    </comment>
    <comment ref="M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 $467,908</t>
        </r>
      </text>
    </comment>
    <comment ref="N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O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P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Q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R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P48" authorId="1" shapeId="0">
      <text>
        <r>
          <rPr>
            <b/>
            <sz val="8"/>
            <color indexed="81"/>
            <rFont val="Tahoma"/>
          </rPr>
          <t xml:space="preserve">jlee:
</t>
        </r>
        <r>
          <rPr>
            <sz val="8"/>
            <color indexed="81"/>
            <rFont val="Tahoma"/>
            <family val="2"/>
          </rPr>
          <t>in actual not flash
Tagg#Q10848.1</t>
        </r>
      </text>
    </comment>
    <comment ref="R48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Fred file</t>
        </r>
      </text>
    </comment>
    <comment ref="C6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entries made by gas accting (sign was incorrect), per Connie Lo (12/15/00) they will be corrected in 12/00 gl </t>
        </r>
      </text>
    </comment>
    <comment ref="R6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Union Storage
Tagg#NX8240.F $  70,857.03
       #NX8240.H $(715,507.19)</t>
        </r>
      </text>
    </comment>
    <comment ref="C67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Per Diane Cook, reclass to deferred revenue</t>
        </r>
      </text>
    </comment>
  </commentList>
</comments>
</file>

<file path=xl/sharedStrings.xml><?xml version="1.0" encoding="utf-8"?>
<sst xmlns="http://schemas.openxmlformats.org/spreadsheetml/2006/main" count="74" uniqueCount="68">
  <si>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</si>
  <si>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</si>
  <si>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</si>
  <si>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</si>
  <si>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</si>
  <si>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</si>
  <si>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</si>
  <si>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</si>
  <si>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(Income)/ Expense to Desk</t>
  </si>
  <si>
    <t>OA Group Not Analyzed</t>
  </si>
  <si>
    <t>Unexplained Variance</t>
  </si>
  <si>
    <t xml:space="preserve">Outstanding Variances </t>
  </si>
  <si>
    <t>Enron North America</t>
  </si>
  <si>
    <t>Fuel volume variance</t>
  </si>
  <si>
    <t xml:space="preserve">Total Flash to Actual Variance </t>
  </si>
  <si>
    <t>SITHE  Desk</t>
  </si>
  <si>
    <t>0001</t>
  </si>
  <si>
    <t xml:space="preserve">Economics -  agreed upon  not yet taken </t>
  </si>
  <si>
    <t>0002</t>
  </si>
  <si>
    <t>0003</t>
  </si>
  <si>
    <t>0004</t>
  </si>
  <si>
    <t>0005</t>
  </si>
  <si>
    <t>0006</t>
  </si>
  <si>
    <t>PMAs</t>
  </si>
  <si>
    <t>Financial Liquidations - Reclass to/from Ontario</t>
  </si>
  <si>
    <t>Enron Canada Purchase Variance</t>
  </si>
  <si>
    <t>0007</t>
  </si>
  <si>
    <t xml:space="preserve"> Market to Market-Prior Month Book Balance</t>
  </si>
  <si>
    <t>0008</t>
  </si>
  <si>
    <t>Synthetic Storage</t>
  </si>
  <si>
    <t>Interdesk purchase variance</t>
  </si>
  <si>
    <t>Interdesk sales variance</t>
  </si>
  <si>
    <t>0009</t>
  </si>
  <si>
    <t>0010</t>
  </si>
  <si>
    <t>Financial Liquidations - Reclass to/from East</t>
  </si>
  <si>
    <t>Storage value adjustments</t>
  </si>
  <si>
    <t>Deferred revenue for trans saving sharing (sec 4.6)</t>
  </si>
  <si>
    <t>0011</t>
  </si>
  <si>
    <t>Manual entry made by gas accounting</t>
  </si>
  <si>
    <t>Financial Liquidations - in GL not in Flash</t>
  </si>
  <si>
    <t xml:space="preserve"> Physical liquidations-difference between OA flash and details</t>
  </si>
  <si>
    <t>0012</t>
  </si>
  <si>
    <t>DPR vs. Consol. Flash Variance</t>
  </si>
  <si>
    <t>Purchases or sales from Storage</t>
  </si>
  <si>
    <t>Current Month</t>
  </si>
  <si>
    <t>0101</t>
  </si>
  <si>
    <t>Pre 2000</t>
  </si>
  <si>
    <t xml:space="preserve"> Union Storage - Tagg#NX8240 (presithe)</t>
  </si>
  <si>
    <t>Sithe Sales/Purchases Variance - (pre Sithe)</t>
  </si>
  <si>
    <t>Sithe Sales/Purchases Variance - (Sithe)</t>
  </si>
  <si>
    <t>4.6a never been reversed out</t>
  </si>
  <si>
    <t xml:space="preserve">Reclass to deferred revenue </t>
  </si>
  <si>
    <t>0201</t>
  </si>
  <si>
    <t>Special Revenue - Sithe Credit</t>
  </si>
  <si>
    <t>Transporation - Commodity, Demand</t>
  </si>
  <si>
    <t>Requested entries - Various</t>
  </si>
  <si>
    <t>0301</t>
  </si>
  <si>
    <t>Requested Reclasses</t>
  </si>
  <si>
    <t>Interdesk Variance - Purchases</t>
  </si>
  <si>
    <t>Union Storage Variance</t>
  </si>
  <si>
    <t>Fin Liq Variance</t>
  </si>
  <si>
    <t>Purchase Liq - Union</t>
  </si>
  <si>
    <t>Sithe Purchase Variance</t>
  </si>
  <si>
    <t>Imbalance - In Kind</t>
  </si>
  <si>
    <t>Missing UA4 entry on 3/01 GL PMA</t>
  </si>
  <si>
    <t>stated as of 3/31/01 GL</t>
  </si>
  <si>
    <t>Proposed Adjustments to NGP&amp;L, 4/30/01</t>
  </si>
  <si>
    <t>Outstanding Variances, resolution expected 4/01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</si>
</sst>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1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sz val="10"/>
      <color indexed="4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0" fontId="10" fillId="0" borderId="0" xfId="0" applyFont="1"/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0" fillId="0" borderId="1" xfId="1" applyNumberFormat="1" applyFont="1" applyBorder="1"/>
    <xf numFmtId="164" fontId="5" fillId="0" borderId="0" xfId="1" applyNumberFormat="1" applyFont="1" applyFill="1" applyBorder="1"/>
    <xf numFmtId="164" fontId="1" fillId="0" borderId="0" xfId="1" applyNumberFormat="1" applyFont="1"/>
    <xf numFmtId="164" fontId="1" fillId="0" borderId="1" xfId="1" applyNumberFormat="1" applyFont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3" fontId="9" fillId="0" borderId="0" xfId="0" applyNumberFormat="1" applyFont="1"/>
    <xf numFmtId="3" fontId="11" fillId="0" borderId="0" xfId="0" applyNumberFormat="1" applyFont="1" applyAlignment="1">
      <alignment horizontal="center"/>
    </xf>
    <xf numFmtId="3" fontId="12" fillId="0" borderId="0" xfId="0" applyNumberFormat="1" applyFont="1"/>
    <xf numFmtId="3" fontId="8" fillId="0" borderId="0" xfId="0" applyNumberFormat="1" applyFont="1" applyAlignment="1">
      <alignment horizontal="center"/>
    </xf>
    <xf numFmtId="3" fontId="8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2" fillId="0" borderId="0" xfId="1" applyNumberFormat="1" applyFont="1" applyFill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" fontId="10" fillId="0" borderId="0" xfId="0" applyNumberFormat="1" applyFont="1"/>
    <xf numFmtId="3" fontId="5" fillId="0" borderId="0" xfId="0" applyNumberFormat="1" applyFont="1" applyFill="1"/>
    <xf numFmtId="3" fontId="5" fillId="0" borderId="0" xfId="0" applyNumberFormat="1" applyFont="1" applyFill="1" applyBorder="1"/>
    <xf numFmtId="3" fontId="10" fillId="0" borderId="0" xfId="1" applyNumberFormat="1" applyFont="1"/>
    <xf numFmtId="3" fontId="10" fillId="0" borderId="0" xfId="1" applyNumberFormat="1" applyFont="1" applyBorder="1"/>
    <xf numFmtId="3" fontId="0" fillId="0" borderId="0" xfId="0" applyNumberFormat="1"/>
    <xf numFmtId="164" fontId="1" fillId="0" borderId="0" xfId="1" applyNumberFormat="1" applyFont="1" applyBorder="1"/>
    <xf numFmtId="165" fontId="13" fillId="0" borderId="0" xfId="2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6" fillId="0" borderId="0" xfId="1" applyNumberFormat="1" applyFont="1" applyBorder="1"/>
    <xf numFmtId="164" fontId="7" fillId="0" borderId="0" xfId="1" applyNumberFormat="1" applyFont="1" applyAlignment="1">
      <alignment horizontal="center"/>
    </xf>
    <xf numFmtId="164" fontId="5" fillId="0" borderId="2" xfId="1" applyNumberFormat="1" applyFont="1" applyBorder="1"/>
    <xf numFmtId="164" fontId="5" fillId="0" borderId="0" xfId="1" applyNumberFormat="1" applyFont="1" applyBorder="1"/>
    <xf numFmtId="164" fontId="1" fillId="0" borderId="0" xfId="1" applyNumberFormat="1"/>
    <xf numFmtId="43" fontId="10" fillId="0" borderId="0" xfId="1" applyFont="1"/>
    <xf numFmtId="164" fontId="0" fillId="0" borderId="0" xfId="1" applyNumberFormat="1" applyFont="1"/>
    <xf numFmtId="3" fontId="14" fillId="0" borderId="0" xfId="0" applyNumberFormat="1" applyFont="1"/>
    <xf numFmtId="164" fontId="0" fillId="0" borderId="0" xfId="1" applyNumberFormat="1" applyFont="1" applyBorder="1"/>
    <xf numFmtId="164" fontId="1" fillId="0" borderId="0" xfId="1" applyNumberFormat="1" applyFont="1" applyFill="1"/>
    <xf numFmtId="164" fontId="1" fillId="0" borderId="1" xfId="1" applyNumberFormat="1" applyFont="1" applyFill="1" applyBorder="1"/>
    <xf numFmtId="164" fontId="10" fillId="0" borderId="0" xfId="1" applyNumberFormat="1" applyFont="1" applyFill="1"/>
    <xf numFmtId="43" fontId="0" fillId="0" borderId="0" xfId="1" applyFont="1"/>
    <xf numFmtId="164" fontId="1" fillId="0" borderId="0" xfId="1" applyNumberFormat="1" applyFont="1" applyFill="1" applyBorder="1"/>
    <xf numFmtId="164" fontId="10" fillId="0" borderId="0" xfId="1" applyNumberFormat="1" applyFont="1" applyFill="1" applyBorder="1"/>
    <xf numFmtId="3" fontId="6" fillId="0" borderId="0" xfId="0" applyNumberFormat="1" applyFont="1"/>
    <xf numFmtId="43" fontId="2" fillId="0" borderId="0" xfId="1" applyNumberFormat="1" applyFont="1" applyFill="1" applyAlignment="1">
      <alignment horizontal="center"/>
    </xf>
    <xf numFmtId="43" fontId="8" fillId="0" borderId="0" xfId="1" applyFont="1" applyAlignment="1">
      <alignment horizontal="center"/>
    </xf>
    <xf numFmtId="43" fontId="9" fillId="0" borderId="0" xfId="1" applyFont="1"/>
    <xf numFmtId="43" fontId="11" fillId="0" borderId="0" xfId="1" applyFont="1" applyAlignment="1">
      <alignment horizontal="center"/>
    </xf>
    <xf numFmtId="43" fontId="5" fillId="0" borderId="0" xfId="1" applyFont="1" applyAlignment="1">
      <alignment horizontal="center"/>
    </xf>
    <xf numFmtId="43" fontId="2" fillId="0" borderId="0" xfId="1" applyFont="1" applyFill="1" applyAlignment="1">
      <alignment horizontal="center"/>
    </xf>
    <xf numFmtId="43" fontId="2" fillId="0" borderId="0" xfId="1" applyFont="1" applyFill="1"/>
    <xf numFmtId="43" fontId="5" fillId="0" borderId="0" xfId="1" applyFont="1" applyFill="1"/>
    <xf numFmtId="164" fontId="7" fillId="0" borderId="0" xfId="1" applyNumberFormat="1" applyFont="1"/>
    <xf numFmtId="164" fontId="17" fillId="0" borderId="0" xfId="1" applyNumberFormat="1" applyFont="1"/>
    <xf numFmtId="164" fontId="17" fillId="0" borderId="1" xfId="1" applyNumberFormat="1" applyFont="1" applyBorder="1"/>
    <xf numFmtId="164" fontId="17" fillId="0" borderId="0" xfId="1" applyNumberFormat="1" applyFont="1" applyBorder="1"/>
    <xf numFmtId="43" fontId="10" fillId="0" borderId="0" xfId="1" applyNumberFormat="1" applyFont="1"/>
    <xf numFmtId="164" fontId="20" fillId="0" borderId="0" xfId="1" applyNumberFormat="1" applyFont="1"/>
    <xf numFmtId="164" fontId="20" fillId="0" borderId="0" xfId="1" applyNumberFormat="1" applyFont="1" applyBorder="1"/>
    <xf numFmtId="0" fontId="4" fillId="0" borderId="1" xfId="0" applyNumberFormat="1" applyFont="1" applyBorder="1" applyAlignment="1">
      <alignment horizontal="center"/>
    </xf>
    <xf numFmtId="0" fontId="4" fillId="0" borderId="1" xfId="0" quotePrefix="1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43" fontId="20" fillId="0" borderId="0" xfId="1" applyFont="1"/>
    <xf numFmtId="0" fontId="20" fillId="0" borderId="0" xfId="0" applyNumberFormat="1" applyFont="1"/>
    <xf numFmtId="164" fontId="8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4" fillId="0" borderId="1" xfId="1" quotePrefix="1" applyNumberFormat="1" applyFont="1" applyBorder="1" applyAlignment="1">
      <alignment horizontal="center"/>
    </xf>
    <xf numFmtId="43" fontId="7" fillId="0" borderId="0" xfId="1" applyFont="1"/>
    <xf numFmtId="43" fontId="7" fillId="0" borderId="0" xfId="1" applyNumberFormat="1" applyFont="1"/>
    <xf numFmtId="3" fontId="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64" fontId="8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89"/>
  <sheetViews>
    <sheetView tabSelected="1" workbookViewId="0">
      <pane xSplit="4" ySplit="7" topLeftCell="S39" activePane="bottomRight" state="frozen"/>
      <selection pane="topRight" activeCell="E1" sqref="E1"/>
      <selection pane="bottomLeft" activeCell="A8" sqref="A8"/>
      <selection pane="bottomRight" activeCell="D73" sqref="D73"/>
    </sheetView>
  </sheetViews>
  <sheetFormatPr defaultColWidth="9.28515625" defaultRowHeight="10.199999999999999" x14ac:dyDescent="0.2"/>
  <cols>
    <col min="1" max="1" width="3.140625" style="6" customWidth="1"/>
    <col min="2" max="2" width="8.28515625" style="6" customWidth="1"/>
    <col min="3" max="3" width="49.85546875" style="7" customWidth="1"/>
    <col min="4" max="4" width="6.42578125" style="6" customWidth="1"/>
    <col min="5" max="5" width="18.7109375" style="7" customWidth="1"/>
    <col min="6" max="15" width="16.28515625" style="6" customWidth="1"/>
    <col min="16" max="16" width="17.140625" style="6" customWidth="1"/>
    <col min="17" max="21" width="16.28515625" style="6" customWidth="1"/>
    <col min="22" max="22" width="5.28515625" style="24" customWidth="1"/>
    <col min="23" max="23" width="17.140625" style="24" customWidth="1"/>
    <col min="24" max="24" width="20.7109375" style="41" customWidth="1"/>
    <col min="25" max="25" width="14.7109375" style="41" bestFit="1" customWidth="1"/>
    <col min="26" max="26" width="12.7109375" style="24" bestFit="1" customWidth="1"/>
    <col min="27" max="16384" width="9.28515625" style="24"/>
  </cols>
  <sheetData>
    <row r="1" spans="1:256" s="15" customFormat="1" ht="15.75" customHeight="1" x14ac:dyDescent="0.3">
      <c r="A1" s="81" t="s">
        <v>12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72"/>
      <c r="U1" s="72"/>
      <c r="X1" s="54"/>
      <c r="Y1" s="54"/>
    </row>
    <row r="2" spans="1:256" s="17" customFormat="1" ht="20.399999999999999" x14ac:dyDescent="0.35">
      <c r="A2" s="82" t="s">
        <v>15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73"/>
      <c r="U2" s="73"/>
      <c r="V2" s="16"/>
      <c r="W2" s="16"/>
      <c r="X2" s="55"/>
      <c r="Y2" s="55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0"/>
      <c r="IV2" s="80"/>
    </row>
    <row r="3" spans="1:256" s="19" customFormat="1" ht="15.6" x14ac:dyDescent="0.3">
      <c r="A3" s="81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72"/>
      <c r="U3" s="72"/>
      <c r="V3" s="18"/>
      <c r="W3" s="18"/>
      <c r="X3" s="53"/>
      <c r="Y3" s="53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9"/>
      <c r="HO3" s="79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79"/>
      <c r="IQ3" s="79"/>
      <c r="IR3" s="79"/>
      <c r="IS3" s="79"/>
      <c r="IT3" s="79"/>
      <c r="IU3" s="79"/>
      <c r="IV3" s="79"/>
    </row>
    <row r="4" spans="1:256" s="21" customFormat="1" ht="10.5" customHeight="1" x14ac:dyDescent="0.2">
      <c r="A4" s="83" t="s">
        <v>8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74"/>
      <c r="U4" s="74"/>
      <c r="V4" s="20"/>
      <c r="W4" s="20"/>
      <c r="X4" s="56"/>
      <c r="Y4" s="56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</row>
    <row r="5" spans="1:256" ht="12.75" customHeight="1" x14ac:dyDescent="0.25">
      <c r="A5" s="1"/>
      <c r="B5" s="1"/>
      <c r="C5" s="2"/>
      <c r="F5" s="11"/>
      <c r="G5" s="1"/>
      <c r="H5" s="1"/>
      <c r="I5" s="1"/>
      <c r="J5" s="1"/>
      <c r="K5" s="1"/>
      <c r="L5" s="52"/>
      <c r="M5" s="1"/>
      <c r="N5" s="52"/>
      <c r="O5" s="1"/>
      <c r="P5" s="52"/>
      <c r="Q5" s="1"/>
      <c r="R5" s="1"/>
      <c r="S5" s="1"/>
      <c r="T5" s="1"/>
      <c r="U5" s="1"/>
      <c r="V5" s="23"/>
      <c r="W5" s="22"/>
      <c r="X5" s="57"/>
      <c r="Y5" s="57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</row>
    <row r="6" spans="1:256" ht="30.75" customHeight="1" x14ac:dyDescent="0.25">
      <c r="A6" s="1"/>
      <c r="B6" s="1"/>
      <c r="C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3"/>
      <c r="W6" s="22"/>
      <c r="X6" s="57"/>
      <c r="Y6" s="57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</row>
    <row r="7" spans="1:256" s="71" customFormat="1" ht="10.5" customHeight="1" x14ac:dyDescent="0.25">
      <c r="A7" s="65"/>
      <c r="B7" s="65"/>
      <c r="C7" s="66"/>
      <c r="D7" s="65"/>
      <c r="E7" s="66"/>
      <c r="F7" s="67" t="s">
        <v>46</v>
      </c>
      <c r="G7" s="68" t="s">
        <v>16</v>
      </c>
      <c r="H7" s="68" t="s">
        <v>18</v>
      </c>
      <c r="I7" s="68" t="s">
        <v>19</v>
      </c>
      <c r="J7" s="68" t="s">
        <v>20</v>
      </c>
      <c r="K7" s="68" t="s">
        <v>21</v>
      </c>
      <c r="L7" s="68" t="s">
        <v>22</v>
      </c>
      <c r="M7" s="68" t="s">
        <v>26</v>
      </c>
      <c r="N7" s="68" t="s">
        <v>28</v>
      </c>
      <c r="O7" s="68" t="s">
        <v>32</v>
      </c>
      <c r="P7" s="68" t="s">
        <v>33</v>
      </c>
      <c r="Q7" s="68" t="s">
        <v>37</v>
      </c>
      <c r="R7" s="68" t="s">
        <v>41</v>
      </c>
      <c r="S7" s="75" t="s">
        <v>45</v>
      </c>
      <c r="T7" s="68" t="s">
        <v>52</v>
      </c>
      <c r="U7" s="68" t="s">
        <v>56</v>
      </c>
      <c r="V7" s="69"/>
      <c r="W7" s="67" t="s">
        <v>1</v>
      </c>
      <c r="X7" s="70"/>
      <c r="Y7" s="70"/>
    </row>
    <row r="8" spans="1:256" s="4" customFormat="1" ht="21.75" customHeight="1" x14ac:dyDescent="0.25">
      <c r="A8" s="32" t="s">
        <v>14</v>
      </c>
      <c r="B8" s="32"/>
      <c r="C8" s="33"/>
      <c r="D8" s="13"/>
      <c r="E8" s="13"/>
      <c r="F8" s="13">
        <v>-14792</v>
      </c>
      <c r="G8" s="13">
        <v>1</v>
      </c>
      <c r="H8" s="13">
        <v>-2</v>
      </c>
      <c r="I8" s="13">
        <v>-1</v>
      </c>
      <c r="J8" s="13">
        <v>368</v>
      </c>
      <c r="K8" s="13">
        <v>-1</v>
      </c>
      <c r="L8" s="13">
        <v>-62</v>
      </c>
      <c r="M8" s="13">
        <v>133862</v>
      </c>
      <c r="N8" s="13">
        <v>339423</v>
      </c>
      <c r="O8" s="13">
        <v>276692</v>
      </c>
      <c r="P8" s="13">
        <v>91053</v>
      </c>
      <c r="Q8" s="13">
        <v>568600</v>
      </c>
      <c r="R8" s="13">
        <v>-141918</v>
      </c>
      <c r="S8" s="13">
        <v>338837</v>
      </c>
      <c r="T8" s="13">
        <v>14491772</v>
      </c>
      <c r="U8" s="13">
        <v>4152864</v>
      </c>
      <c r="W8" s="31">
        <f>SUM(F8:V8)</f>
        <v>20236696</v>
      </c>
      <c r="X8" s="58"/>
      <c r="Y8" s="58"/>
    </row>
    <row r="9" spans="1:256" s="3" customFormat="1" ht="12" customHeight="1" x14ac:dyDescent="0.2">
      <c r="A9" s="34"/>
      <c r="B9" s="34" t="s">
        <v>65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X9" s="59"/>
      <c r="Y9" s="59"/>
    </row>
    <row r="10" spans="1:256" s="25" customFormat="1" ht="12" customHeight="1" x14ac:dyDescent="0.2">
      <c r="A10" s="34"/>
      <c r="B10" s="34"/>
      <c r="C10" s="10"/>
      <c r="D10" s="34"/>
      <c r="E10" s="3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6"/>
      <c r="W10" s="26"/>
      <c r="X10" s="59"/>
      <c r="Y10" s="59"/>
    </row>
    <row r="11" spans="1:256" ht="12" x14ac:dyDescent="0.25">
      <c r="B11" s="35" t="s">
        <v>66</v>
      </c>
      <c r="V11" s="28"/>
      <c r="W11" s="27"/>
    </row>
    <row r="12" spans="1:256" ht="12" x14ac:dyDescent="0.25">
      <c r="B12" s="35"/>
      <c r="C12" s="7" t="s">
        <v>44</v>
      </c>
      <c r="F12" s="12">
        <v>-14791.82</v>
      </c>
      <c r="G12" s="8"/>
      <c r="H12" s="8"/>
      <c r="I12" s="8"/>
      <c r="J12" s="8">
        <v>369.32</v>
      </c>
      <c r="K12" s="8"/>
      <c r="L12" s="8">
        <v>-62</v>
      </c>
      <c r="M12" s="12">
        <v>88590</v>
      </c>
      <c r="N12" s="8"/>
      <c r="O12" s="8"/>
      <c r="P12" s="8"/>
      <c r="Q12" s="8"/>
      <c r="R12" s="8">
        <v>-2485</v>
      </c>
      <c r="S12" s="8">
        <v>-23325</v>
      </c>
      <c r="T12" s="8">
        <v>-4343</v>
      </c>
      <c r="U12" s="8"/>
      <c r="V12" s="28"/>
      <c r="W12" s="12">
        <f>SUM(F12:V12)</f>
        <v>43952.5</v>
      </c>
    </row>
    <row r="13" spans="1:256" ht="12" hidden="1" x14ac:dyDescent="0.25">
      <c r="B13" s="35"/>
      <c r="C13" s="24" t="s">
        <v>47</v>
      </c>
      <c r="F13" s="11"/>
      <c r="V13" s="28"/>
      <c r="W13" s="30">
        <f>SUM(F13:V13)</f>
        <v>0</v>
      </c>
    </row>
    <row r="14" spans="1:256" s="29" customFormat="1" hidden="1" x14ac:dyDescent="0.2">
      <c r="A14" s="40"/>
      <c r="B14" s="40"/>
      <c r="C14" s="7" t="s">
        <v>23</v>
      </c>
      <c r="D14" s="6"/>
      <c r="E14" s="7"/>
      <c r="F14" s="12"/>
      <c r="G14" s="12"/>
      <c r="H14" s="12"/>
      <c r="I14" s="12"/>
      <c r="J14" s="12"/>
      <c r="K14" s="12"/>
      <c r="L14" s="12"/>
      <c r="M14" s="12"/>
      <c r="N14" s="12"/>
      <c r="O14" s="62"/>
      <c r="P14" s="12"/>
      <c r="Q14" s="12"/>
      <c r="R14" s="12"/>
      <c r="S14" s="12"/>
      <c r="T14" s="12"/>
      <c r="U14" s="30"/>
      <c r="V14" s="11"/>
      <c r="W14" s="12">
        <f>SUM(F14:V14)</f>
        <v>0</v>
      </c>
      <c r="X14" s="48"/>
      <c r="Y14" s="48"/>
    </row>
    <row r="15" spans="1:256" x14ac:dyDescent="0.2">
      <c r="C15" s="7" t="s">
        <v>2</v>
      </c>
      <c r="F15" s="11">
        <f>SUM(F12:F14)</f>
        <v>-14791.82</v>
      </c>
      <c r="G15" s="11">
        <f t="shared" ref="G15:P15" si="0">SUM(G12:G13)</f>
        <v>0</v>
      </c>
      <c r="H15" s="11">
        <f t="shared" si="0"/>
        <v>0</v>
      </c>
      <c r="I15" s="11">
        <f t="shared" si="0"/>
        <v>0</v>
      </c>
      <c r="J15" s="11">
        <f t="shared" si="0"/>
        <v>369.32</v>
      </c>
      <c r="K15" s="11">
        <f t="shared" si="0"/>
        <v>0</v>
      </c>
      <c r="L15" s="11">
        <f t="shared" si="0"/>
        <v>-62</v>
      </c>
      <c r="M15" s="11">
        <f t="shared" si="0"/>
        <v>88590</v>
      </c>
      <c r="N15" s="11">
        <f t="shared" si="0"/>
        <v>0</v>
      </c>
      <c r="O15" s="11">
        <f t="shared" si="0"/>
        <v>0</v>
      </c>
      <c r="P15" s="11">
        <f t="shared" si="0"/>
        <v>0</v>
      </c>
      <c r="Q15" s="11">
        <f>SUM(Q12:Q14)</f>
        <v>0</v>
      </c>
      <c r="R15" s="11">
        <f>SUM(R11:R14)</f>
        <v>-2485</v>
      </c>
      <c r="S15" s="11">
        <f>SUM(S11:S14)</f>
        <v>-23325</v>
      </c>
      <c r="T15" s="11">
        <f>SUM(T12:T13)</f>
        <v>-4343</v>
      </c>
      <c r="U15" s="11"/>
      <c r="V15" s="30"/>
      <c r="W15" s="11">
        <f>SUM(W11:W14)</f>
        <v>43952.5</v>
      </c>
    </row>
    <row r="16" spans="1:256" ht="12" x14ac:dyDescent="0.25">
      <c r="B16" s="35" t="s">
        <v>11</v>
      </c>
      <c r="F16" s="11"/>
      <c r="G16" s="11"/>
      <c r="H16" s="11"/>
      <c r="I16" s="11"/>
      <c r="J16" s="11"/>
      <c r="K16" s="11"/>
      <c r="L16" s="11"/>
      <c r="M16" s="30"/>
      <c r="N16" s="11"/>
      <c r="O16" s="11"/>
      <c r="P16" s="11"/>
      <c r="Q16" s="11"/>
      <c r="R16" s="11"/>
      <c r="S16" s="11"/>
      <c r="T16" s="11"/>
      <c r="U16" s="11"/>
      <c r="V16" s="30"/>
      <c r="W16" s="11"/>
    </row>
    <row r="17" spans="2:23" ht="12" x14ac:dyDescent="0.25">
      <c r="B17" s="35"/>
      <c r="C17" s="43" t="s">
        <v>17</v>
      </c>
      <c r="F17" s="12"/>
      <c r="G17" s="12"/>
      <c r="H17" s="12"/>
      <c r="I17" s="12"/>
      <c r="J17" s="12"/>
      <c r="K17" s="12"/>
      <c r="L17" s="12"/>
      <c r="M17" s="12"/>
      <c r="N17" s="12"/>
      <c r="O17" s="62"/>
      <c r="P17" s="62"/>
      <c r="Q17" s="12"/>
      <c r="R17" s="12"/>
      <c r="S17" s="12"/>
      <c r="T17" s="12"/>
      <c r="U17" s="12"/>
      <c r="V17" s="30"/>
      <c r="W17" s="12">
        <f>SUM(F17:V17)</f>
        <v>0</v>
      </c>
    </row>
    <row r="18" spans="2:23" x14ac:dyDescent="0.2">
      <c r="F18" s="11"/>
      <c r="G18" s="11"/>
      <c r="H18" s="11"/>
      <c r="I18" s="11"/>
      <c r="J18" s="11"/>
      <c r="K18" s="11">
        <f>SUM(K17)</f>
        <v>0</v>
      </c>
      <c r="L18" s="11">
        <f>SUM(L17)</f>
        <v>0</v>
      </c>
      <c r="M18" s="11">
        <f>SUM(M17)</f>
        <v>0</v>
      </c>
      <c r="N18" s="11">
        <f>SUM(N17)</f>
        <v>0</v>
      </c>
      <c r="O18" s="11">
        <f>SUM(O17)</f>
        <v>0</v>
      </c>
      <c r="P18" s="11"/>
      <c r="Q18" s="11">
        <f>SUM(Q17)</f>
        <v>0</v>
      </c>
      <c r="R18" s="11">
        <f>SUM(R17)</f>
        <v>0</v>
      </c>
      <c r="S18" s="11">
        <f>SUM(S17)</f>
        <v>0</v>
      </c>
      <c r="T18" s="11"/>
      <c r="U18" s="11"/>
      <c r="V18" s="30"/>
      <c r="W18" s="11">
        <f>SUM(W16:W17)</f>
        <v>0</v>
      </c>
    </row>
    <row r="19" spans="2:23" ht="12" x14ac:dyDescent="0.25">
      <c r="B19" s="35" t="s">
        <v>11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60"/>
      <c r="Q19" s="11"/>
      <c r="R19" s="11"/>
      <c r="S19" s="11"/>
      <c r="T19" s="11"/>
      <c r="U19" s="11"/>
      <c r="V19" s="30"/>
      <c r="W19" s="11"/>
    </row>
    <row r="20" spans="2:23" x14ac:dyDescent="0.2">
      <c r="C20" s="24"/>
      <c r="F20" s="11"/>
      <c r="G20" s="11"/>
      <c r="H20" s="11"/>
      <c r="I20" s="45"/>
      <c r="J20" s="4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30"/>
      <c r="W20" s="11"/>
    </row>
    <row r="21" spans="2:23" x14ac:dyDescent="0.2">
      <c r="C21" s="51" t="s">
        <v>3</v>
      </c>
      <c r="F21" s="11"/>
      <c r="G21" s="11"/>
      <c r="H21" s="11"/>
      <c r="I21" s="45"/>
      <c r="J21" s="4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30"/>
      <c r="W21" s="11"/>
    </row>
    <row r="22" spans="2:23" hidden="1" x14ac:dyDescent="0.2">
      <c r="C22" s="24" t="s">
        <v>40</v>
      </c>
      <c r="F22" s="11"/>
      <c r="G22" s="11"/>
      <c r="H22" s="11"/>
      <c r="I22" s="45"/>
      <c r="J22" s="45"/>
      <c r="K22" s="11"/>
      <c r="L22" s="11"/>
      <c r="M22" s="11"/>
      <c r="N22" s="11"/>
      <c r="O22" s="61"/>
      <c r="P22" s="61"/>
      <c r="Q22" s="11"/>
      <c r="R22" s="11"/>
      <c r="S22" s="11"/>
      <c r="T22" s="11"/>
      <c r="U22" s="11"/>
      <c r="V22" s="30"/>
      <c r="W22" s="11">
        <f t="shared" ref="W22:W30" si="1">SUM(F22:V22)</f>
        <v>0</v>
      </c>
    </row>
    <row r="23" spans="2:23" hidden="1" x14ac:dyDescent="0.2">
      <c r="B23" s="37"/>
      <c r="C23" s="7" t="s">
        <v>35</v>
      </c>
      <c r="F23" s="30"/>
      <c r="G23" s="30"/>
      <c r="H23" s="30"/>
      <c r="I23" s="49"/>
      <c r="J23" s="4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>
        <f t="shared" si="1"/>
        <v>0</v>
      </c>
    </row>
    <row r="24" spans="2:23" hidden="1" x14ac:dyDescent="0.2">
      <c r="C24" s="24" t="s">
        <v>27</v>
      </c>
      <c r="F24" s="11"/>
      <c r="G24" s="11"/>
      <c r="H24" s="11"/>
      <c r="I24" s="45"/>
      <c r="J24" s="45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30"/>
      <c r="W24" s="11">
        <f t="shared" si="1"/>
        <v>0</v>
      </c>
    </row>
    <row r="25" spans="2:23" hidden="1" x14ac:dyDescent="0.2">
      <c r="C25" s="7" t="s">
        <v>42</v>
      </c>
      <c r="F25" s="11"/>
      <c r="G25" s="11"/>
      <c r="H25" s="11"/>
      <c r="I25" s="45"/>
      <c r="J25" s="45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30"/>
      <c r="W25" s="11">
        <f t="shared" si="1"/>
        <v>0</v>
      </c>
    </row>
    <row r="26" spans="2:23" x14ac:dyDescent="0.2">
      <c r="C26" s="7" t="s">
        <v>62</v>
      </c>
      <c r="F26" s="11"/>
      <c r="G26" s="11"/>
      <c r="H26" s="11"/>
      <c r="I26" s="45"/>
      <c r="J26" s="45"/>
      <c r="K26" s="11"/>
      <c r="L26" s="11"/>
      <c r="M26" s="11"/>
      <c r="N26" s="11"/>
      <c r="O26" s="11"/>
      <c r="P26" s="11"/>
      <c r="Q26" s="11"/>
      <c r="R26" s="11">
        <v>18255</v>
      </c>
      <c r="S26" s="11">
        <v>31745</v>
      </c>
      <c r="T26" s="11"/>
      <c r="U26" s="11"/>
      <c r="V26" s="30"/>
      <c r="W26" s="11">
        <f t="shared" si="1"/>
        <v>50000</v>
      </c>
    </row>
    <row r="27" spans="2:23" x14ac:dyDescent="0.2">
      <c r="C27" s="7" t="s">
        <v>61</v>
      </c>
      <c r="F27" s="11"/>
      <c r="G27" s="11"/>
      <c r="H27" s="11"/>
      <c r="I27" s="45"/>
      <c r="J27" s="45"/>
      <c r="K27" s="11"/>
      <c r="L27" s="11"/>
      <c r="M27" s="11"/>
      <c r="N27" s="11"/>
      <c r="O27" s="11"/>
      <c r="P27" s="11"/>
      <c r="Q27" s="11"/>
      <c r="R27" s="11"/>
      <c r="S27" s="11">
        <v>78285</v>
      </c>
      <c r="T27" s="11"/>
      <c r="U27" s="11"/>
      <c r="V27" s="30"/>
      <c r="W27" s="11">
        <f t="shared" si="1"/>
        <v>78285</v>
      </c>
    </row>
    <row r="28" spans="2:23" x14ac:dyDescent="0.2">
      <c r="C28" s="7" t="s">
        <v>60</v>
      </c>
      <c r="F28" s="11"/>
      <c r="G28" s="11"/>
      <c r="H28" s="11"/>
      <c r="I28" s="45"/>
      <c r="J28" s="45"/>
      <c r="K28" s="11"/>
      <c r="L28" s="11"/>
      <c r="M28" s="11"/>
      <c r="N28" s="11"/>
      <c r="O28" s="11"/>
      <c r="P28" s="11"/>
      <c r="Q28" s="11"/>
      <c r="R28" s="11"/>
      <c r="S28" s="11">
        <v>904919</v>
      </c>
      <c r="T28" s="11">
        <v>284808</v>
      </c>
      <c r="U28" s="11"/>
      <c r="V28" s="30"/>
      <c r="W28" s="11">
        <f t="shared" si="1"/>
        <v>1189727</v>
      </c>
    </row>
    <row r="29" spans="2:23" x14ac:dyDescent="0.2">
      <c r="C29" s="24" t="s">
        <v>59</v>
      </c>
      <c r="F29" s="11"/>
      <c r="G29" s="11"/>
      <c r="H29" s="11"/>
      <c r="I29" s="45"/>
      <c r="J29" s="45"/>
      <c r="K29" s="11"/>
      <c r="L29" s="11"/>
      <c r="M29" s="11"/>
      <c r="N29" s="11"/>
      <c r="O29" s="11"/>
      <c r="P29" s="63"/>
      <c r="Q29" s="11"/>
      <c r="R29" s="11"/>
      <c r="S29" s="11">
        <v>58780</v>
      </c>
      <c r="T29" s="11"/>
      <c r="U29" s="11"/>
      <c r="V29" s="30"/>
      <c r="W29" s="11">
        <f t="shared" si="1"/>
        <v>58780</v>
      </c>
    </row>
    <row r="30" spans="2:23" x14ac:dyDescent="0.2">
      <c r="C30" s="7" t="s">
        <v>58</v>
      </c>
      <c r="F30" s="12"/>
      <c r="G30" s="12"/>
      <c r="H30" s="12"/>
      <c r="I30" s="46"/>
      <c r="J30" s="46"/>
      <c r="K30" s="12"/>
      <c r="L30" s="12"/>
      <c r="M30" s="12"/>
      <c r="N30" s="12"/>
      <c r="O30" s="12"/>
      <c r="P30" s="12"/>
      <c r="Q30" s="12"/>
      <c r="R30" s="12"/>
      <c r="S30" s="12">
        <v>-173910</v>
      </c>
      <c r="T30" s="12"/>
      <c r="U30" s="12"/>
      <c r="V30" s="30"/>
      <c r="W30" s="12">
        <f t="shared" si="1"/>
        <v>-173910</v>
      </c>
    </row>
    <row r="31" spans="2:23" x14ac:dyDescent="0.2">
      <c r="C31" s="24"/>
      <c r="F31" s="11">
        <f>SUM(F29:F30)</f>
        <v>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f>SUM(R26:R30)</f>
        <v>18255</v>
      </c>
      <c r="S31" s="11">
        <f>SUM(S26:S30)</f>
        <v>899819</v>
      </c>
      <c r="T31" s="11">
        <f>SUM(T26:T30)</f>
        <v>284808</v>
      </c>
      <c r="U31" s="11"/>
      <c r="V31" s="30"/>
      <c r="W31" s="11">
        <f>SUM(W22:W30)</f>
        <v>1202882</v>
      </c>
    </row>
    <row r="32" spans="2:23" x14ac:dyDescent="0.2">
      <c r="B32" s="37"/>
      <c r="C32" s="36" t="s">
        <v>5</v>
      </c>
      <c r="F32" s="11"/>
      <c r="G32" s="11"/>
      <c r="H32" s="11"/>
      <c r="I32" s="45"/>
      <c r="J32" s="45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30"/>
      <c r="W32" s="11"/>
    </row>
    <row r="33" spans="2:26" x14ac:dyDescent="0.2">
      <c r="B33" s="37"/>
      <c r="C33" s="7" t="s">
        <v>53</v>
      </c>
      <c r="F33" s="11"/>
      <c r="G33" s="11"/>
      <c r="H33" s="11"/>
      <c r="I33" s="45"/>
      <c r="J33" s="45"/>
      <c r="K33" s="11"/>
      <c r="L33" s="11"/>
      <c r="M33" s="11"/>
      <c r="N33" s="11"/>
      <c r="O33" s="11"/>
      <c r="P33" s="11"/>
      <c r="Q33" s="11"/>
      <c r="R33" s="11"/>
      <c r="S33" s="11">
        <v>-200419</v>
      </c>
      <c r="T33" s="11">
        <v>-15000</v>
      </c>
      <c r="U33" s="11"/>
      <c r="V33" s="30"/>
      <c r="W33" s="11">
        <f>SUM(F33:V33)</f>
        <v>-215419</v>
      </c>
    </row>
    <row r="34" spans="2:26" hidden="1" x14ac:dyDescent="0.2">
      <c r="B34" s="37"/>
      <c r="C34" s="30" t="s">
        <v>48</v>
      </c>
      <c r="F34" s="11"/>
      <c r="G34" s="11"/>
      <c r="H34" s="11"/>
      <c r="I34" s="45"/>
      <c r="J34" s="4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30"/>
      <c r="W34" s="11">
        <f>SUM(F34:V34)</f>
        <v>0</v>
      </c>
    </row>
    <row r="35" spans="2:26" x14ac:dyDescent="0.2">
      <c r="B35" s="37"/>
      <c r="C35" s="30" t="s">
        <v>49</v>
      </c>
      <c r="F35" s="11"/>
      <c r="G35" s="11"/>
      <c r="H35" s="11"/>
      <c r="I35" s="45"/>
      <c r="J35" s="45"/>
      <c r="K35" s="11"/>
      <c r="L35" s="11"/>
      <c r="M35" s="11">
        <f>-763375.11+237862.11</f>
        <v>-525513</v>
      </c>
      <c r="N35" s="11">
        <f>-48224-83231+474998</f>
        <v>343543</v>
      </c>
      <c r="O35" s="11">
        <v>351769</v>
      </c>
      <c r="P35" s="11">
        <f>214147-472602-66031+636219</f>
        <v>311733</v>
      </c>
      <c r="Q35" s="11">
        <f>1078112-1472570+639324+60000</f>
        <v>304866</v>
      </c>
      <c r="R35" s="11">
        <f>-133110-1520423+1716695-49289-1275591+649600</f>
        <v>-612118</v>
      </c>
      <c r="S35" s="11">
        <v>-125761</v>
      </c>
      <c r="T35" s="11">
        <v>10957819</v>
      </c>
      <c r="U35" s="11"/>
      <c r="V35" s="30"/>
      <c r="W35" s="11">
        <f>SUM(F35:V35)</f>
        <v>11006338</v>
      </c>
    </row>
    <row r="36" spans="2:26" x14ac:dyDescent="0.2">
      <c r="B36" s="37"/>
      <c r="C36" s="30" t="s">
        <v>25</v>
      </c>
      <c r="F36" s="12"/>
      <c r="G36" s="12"/>
      <c r="H36" s="12"/>
      <c r="I36" s="46"/>
      <c r="J36" s="46"/>
      <c r="K36" s="12"/>
      <c r="L36" s="12"/>
      <c r="M36" s="12">
        <f>-281041-62941+26961.85+402175.85</f>
        <v>85155.699999999953</v>
      </c>
      <c r="N36" s="12">
        <v>-496127</v>
      </c>
      <c r="O36" s="62">
        <f>-218535</f>
        <v>-218535</v>
      </c>
      <c r="P36" s="12">
        <f>-616426</f>
        <v>-616426</v>
      </c>
      <c r="Q36" s="12">
        <f>-413847-69642</f>
        <v>-483489</v>
      </c>
      <c r="R36" s="12">
        <v>-153540</v>
      </c>
      <c r="S36" s="12">
        <v>-357492</v>
      </c>
      <c r="T36" s="12"/>
      <c r="U36" s="12"/>
      <c r="V36" s="30"/>
      <c r="W36" s="12">
        <f>SUM(F36:V36)</f>
        <v>-2240453.2999999998</v>
      </c>
      <c r="Z36" s="41"/>
    </row>
    <row r="37" spans="2:26" x14ac:dyDescent="0.2">
      <c r="C37" s="7" t="s">
        <v>2</v>
      </c>
      <c r="F37" s="11">
        <f t="shared" ref="F37:O37" si="2">SUM(F34:F36)</f>
        <v>0</v>
      </c>
      <c r="G37" s="11">
        <f t="shared" si="2"/>
        <v>0</v>
      </c>
      <c r="H37" s="11">
        <f t="shared" si="2"/>
        <v>0</v>
      </c>
      <c r="I37" s="11">
        <f t="shared" si="2"/>
        <v>0</v>
      </c>
      <c r="J37" s="11">
        <f t="shared" si="2"/>
        <v>0</v>
      </c>
      <c r="K37" s="11">
        <f t="shared" si="2"/>
        <v>0</v>
      </c>
      <c r="L37" s="11">
        <f t="shared" si="2"/>
        <v>0</v>
      </c>
      <c r="M37" s="11">
        <f t="shared" si="2"/>
        <v>-440357.30000000005</v>
      </c>
      <c r="N37" s="11">
        <f t="shared" si="2"/>
        <v>-152584</v>
      </c>
      <c r="O37" s="11">
        <f t="shared" si="2"/>
        <v>133234</v>
      </c>
      <c r="P37" s="11">
        <f>SUM(P32:P36)</f>
        <v>-304693</v>
      </c>
      <c r="Q37" s="11">
        <f>SUM(Q34:Q36)</f>
        <v>-178623</v>
      </c>
      <c r="R37" s="11">
        <f>SUM(R32:R36)</f>
        <v>-765658</v>
      </c>
      <c r="S37" s="11">
        <f>SUM(S33:S36)</f>
        <v>-683672</v>
      </c>
      <c r="T37" s="11">
        <f>SUM(T33:T36)</f>
        <v>10942819</v>
      </c>
      <c r="U37" s="11"/>
      <c r="V37" s="11"/>
      <c r="W37" s="11">
        <f>SUM(W33:W36)</f>
        <v>8550465.6999999993</v>
      </c>
    </row>
    <row r="38" spans="2:26" x14ac:dyDescent="0.2">
      <c r="B38" s="37"/>
      <c r="C38" s="36" t="s">
        <v>6</v>
      </c>
      <c r="F38" s="11"/>
      <c r="G38" s="11"/>
      <c r="H38" s="11"/>
      <c r="I38" s="45"/>
      <c r="J38" s="45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30"/>
      <c r="W38" s="11"/>
      <c r="Z38" s="41"/>
    </row>
    <row r="39" spans="2:26" x14ac:dyDescent="0.2">
      <c r="B39" s="37"/>
      <c r="C39" s="7" t="s">
        <v>13</v>
      </c>
      <c r="F39" s="42"/>
      <c r="G39" s="11"/>
      <c r="H39" s="11"/>
      <c r="I39" s="45"/>
      <c r="J39" s="45"/>
      <c r="K39" s="11"/>
      <c r="L39" s="11"/>
      <c r="M39" s="11"/>
      <c r="N39" s="11"/>
      <c r="O39" s="61"/>
      <c r="P39" s="61"/>
      <c r="Q39" s="11"/>
      <c r="R39" s="11"/>
      <c r="S39" s="11"/>
      <c r="T39" s="11"/>
      <c r="U39" s="11"/>
      <c r="V39" s="30"/>
      <c r="W39" s="11">
        <f>SUM(F39:V39)</f>
        <v>0</v>
      </c>
      <c r="Z39" s="41"/>
    </row>
    <row r="40" spans="2:26" x14ac:dyDescent="0.2">
      <c r="B40" s="37"/>
      <c r="C40" s="7" t="s">
        <v>43</v>
      </c>
      <c r="F40" s="42"/>
      <c r="G40" s="11"/>
      <c r="H40" s="11"/>
      <c r="I40" s="45"/>
      <c r="J40" s="45"/>
      <c r="K40" s="11"/>
      <c r="L40" s="11"/>
      <c r="M40" s="11"/>
      <c r="N40" s="11"/>
      <c r="O40" s="11"/>
      <c r="P40" s="61"/>
      <c r="Q40" s="11"/>
      <c r="R40" s="11"/>
      <c r="S40" s="11"/>
      <c r="T40" s="11"/>
      <c r="U40" s="11"/>
      <c r="V40" s="30"/>
      <c r="W40" s="11">
        <f>SUM(F40:V40)</f>
        <v>0</v>
      </c>
      <c r="Z40" s="41"/>
    </row>
    <row r="41" spans="2:26" x14ac:dyDescent="0.2">
      <c r="B41" s="37"/>
      <c r="C41" s="7" t="s">
        <v>29</v>
      </c>
      <c r="F41" s="42"/>
      <c r="G41" s="11"/>
      <c r="H41" s="11"/>
      <c r="I41" s="45"/>
      <c r="J41" s="45"/>
      <c r="K41" s="11"/>
      <c r="L41" s="11"/>
      <c r="M41" s="11"/>
      <c r="N41" s="11"/>
      <c r="O41" s="61"/>
      <c r="P41" s="61"/>
      <c r="Q41" s="11"/>
      <c r="R41" s="11"/>
      <c r="S41" s="11"/>
      <c r="T41" s="11"/>
      <c r="U41" s="11"/>
      <c r="V41" s="30"/>
      <c r="W41" s="11">
        <f>SUM(F41:V41)</f>
        <v>0</v>
      </c>
      <c r="Z41" s="41"/>
    </row>
    <row r="42" spans="2:26" x14ac:dyDescent="0.2">
      <c r="B42" s="37"/>
      <c r="C42" s="7" t="s">
        <v>54</v>
      </c>
      <c r="F42" s="42"/>
      <c r="G42" s="11"/>
      <c r="H42" s="11"/>
      <c r="I42" s="45"/>
      <c r="J42" s="45"/>
      <c r="K42" s="11"/>
      <c r="L42" s="11"/>
      <c r="M42" s="11"/>
      <c r="N42" s="11"/>
      <c r="O42" s="61"/>
      <c r="P42" s="61"/>
      <c r="Q42" s="11">
        <v>-31685.55</v>
      </c>
      <c r="R42" s="11"/>
      <c r="S42" s="11"/>
      <c r="T42" s="11"/>
      <c r="U42" s="11"/>
      <c r="V42" s="30"/>
      <c r="W42" s="11">
        <f>SUM(F42:V42)</f>
        <v>-31685.55</v>
      </c>
      <c r="Z42" s="41"/>
    </row>
    <row r="43" spans="2:26" x14ac:dyDescent="0.2">
      <c r="B43" s="37"/>
      <c r="C43" s="7" t="s">
        <v>63</v>
      </c>
      <c r="F43" s="9"/>
      <c r="G43" s="12"/>
      <c r="H43" s="12"/>
      <c r="I43" s="46"/>
      <c r="J43" s="46"/>
      <c r="K43" s="12"/>
      <c r="L43" s="12"/>
      <c r="M43" s="12">
        <f>467908+17721</f>
        <v>485629</v>
      </c>
      <c r="N43" s="12">
        <f>492006</f>
        <v>492006</v>
      </c>
      <c r="O43" s="62">
        <f>376040+3</f>
        <v>376043</v>
      </c>
      <c r="P43" s="62">
        <v>351569</v>
      </c>
      <c r="Q43" s="12">
        <f>778911</f>
        <v>778911</v>
      </c>
      <c r="R43" s="12">
        <f>1100801-8</f>
        <v>1100793</v>
      </c>
      <c r="S43" s="12">
        <f>-6+819269</f>
        <v>819263</v>
      </c>
      <c r="T43" s="12">
        <v>509879</v>
      </c>
      <c r="U43" s="12"/>
      <c r="V43" s="12"/>
      <c r="W43" s="12">
        <f>SUM(F43:V43)</f>
        <v>4914093</v>
      </c>
      <c r="Z43" s="41"/>
    </row>
    <row r="44" spans="2:26" x14ac:dyDescent="0.2">
      <c r="B44" s="37"/>
      <c r="F44" s="11">
        <f>SUM(F39:F43)</f>
        <v>0</v>
      </c>
      <c r="G44" s="11">
        <f>SUM(G39:G43)</f>
        <v>0</v>
      </c>
      <c r="H44" s="11">
        <f>SUM(H38:H43)</f>
        <v>0</v>
      </c>
      <c r="I44" s="45">
        <f t="shared" ref="I44:Q44" si="3">SUM(I39:I43)</f>
        <v>0</v>
      </c>
      <c r="J44" s="45">
        <f t="shared" si="3"/>
        <v>0</v>
      </c>
      <c r="K44" s="11">
        <f t="shared" si="3"/>
        <v>0</v>
      </c>
      <c r="L44" s="11">
        <f t="shared" si="3"/>
        <v>0</v>
      </c>
      <c r="M44" s="11">
        <f t="shared" si="3"/>
        <v>485629</v>
      </c>
      <c r="N44" s="11">
        <f t="shared" si="3"/>
        <v>492006</v>
      </c>
      <c r="O44" s="11">
        <f t="shared" si="3"/>
        <v>376043</v>
      </c>
      <c r="P44" s="11">
        <f t="shared" si="3"/>
        <v>351569</v>
      </c>
      <c r="Q44" s="11">
        <f t="shared" si="3"/>
        <v>747225.45</v>
      </c>
      <c r="R44" s="11">
        <f>SUM(R40:R43)</f>
        <v>1100793</v>
      </c>
      <c r="S44" s="11">
        <f>SUM(S40:S43)</f>
        <v>819263</v>
      </c>
      <c r="T44" s="11">
        <f>SUM(T39:T43)</f>
        <v>509879</v>
      </c>
      <c r="U44" s="11"/>
      <c r="V44" s="30"/>
      <c r="W44" s="30">
        <f>SUM(W39:W43)</f>
        <v>4882407.45</v>
      </c>
      <c r="Z44" s="41"/>
    </row>
    <row r="45" spans="2:26" x14ac:dyDescent="0.2">
      <c r="B45" s="37"/>
      <c r="C45" s="36" t="s">
        <v>4</v>
      </c>
      <c r="F45" s="44"/>
      <c r="G45" s="30"/>
      <c r="H45" s="30"/>
      <c r="I45" s="49"/>
      <c r="J45" s="4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Z45" s="41"/>
    </row>
    <row r="46" spans="2:26" hidden="1" x14ac:dyDescent="0.2">
      <c r="B46" s="37"/>
      <c r="C46" s="7" t="s">
        <v>38</v>
      </c>
      <c r="F46" s="44"/>
      <c r="G46" s="30"/>
      <c r="H46" s="30"/>
      <c r="I46" s="49"/>
      <c r="J46" s="4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11">
        <f>SUM(F46:V46)</f>
        <v>0</v>
      </c>
      <c r="Z46" s="41"/>
    </row>
    <row r="47" spans="2:26" x14ac:dyDescent="0.2">
      <c r="B47" s="37"/>
      <c r="C47" s="7" t="s">
        <v>64</v>
      </c>
      <c r="F47" s="44"/>
      <c r="G47" s="30"/>
      <c r="H47" s="30"/>
      <c r="I47" s="49"/>
      <c r="J47" s="49"/>
      <c r="K47" s="30"/>
      <c r="L47" s="30"/>
      <c r="M47" s="30"/>
      <c r="N47" s="30"/>
      <c r="O47" s="30">
        <v>-232590</v>
      </c>
      <c r="P47" s="30"/>
      <c r="Q47" s="30"/>
      <c r="R47" s="30"/>
      <c r="S47" s="30"/>
      <c r="T47" s="30"/>
      <c r="U47" s="30"/>
      <c r="V47" s="30"/>
      <c r="W47" s="11">
        <f>SUM(F47:V47)</f>
        <v>-232590</v>
      </c>
      <c r="Z47" s="41"/>
    </row>
    <row r="48" spans="2:26" x14ac:dyDescent="0.2">
      <c r="B48" s="37"/>
      <c r="C48" s="30" t="s">
        <v>39</v>
      </c>
      <c r="F48" s="12"/>
      <c r="G48" s="46"/>
      <c r="H48" s="12"/>
      <c r="I48" s="46"/>
      <c r="J48" s="46"/>
      <c r="K48" s="12"/>
      <c r="L48" s="12"/>
      <c r="M48" s="12"/>
      <c r="N48" s="12"/>
      <c r="O48" s="12"/>
      <c r="P48" s="12">
        <f>101680.12-57500</f>
        <v>44180.119999999995</v>
      </c>
      <c r="Q48" s="12"/>
      <c r="R48" s="12">
        <v>0</v>
      </c>
      <c r="S48" s="12"/>
      <c r="T48" s="12"/>
      <c r="U48" s="12"/>
      <c r="V48" s="30"/>
      <c r="W48" s="12">
        <f>SUM(F48:V48)</f>
        <v>44180.119999999995</v>
      </c>
      <c r="Z48" s="41"/>
    </row>
    <row r="49" spans="2:26" x14ac:dyDescent="0.2">
      <c r="B49" s="37"/>
      <c r="C49" s="36"/>
      <c r="F49" s="44">
        <f>SUM(F48:F48)</f>
        <v>0</v>
      </c>
      <c r="G49" s="49"/>
      <c r="H49" s="49"/>
      <c r="I49" s="49"/>
      <c r="J49" s="49">
        <f>SUM(J46:J48)</f>
        <v>0</v>
      </c>
      <c r="K49" s="30">
        <f>SUM(K48:K48)</f>
        <v>0</v>
      </c>
      <c r="L49" s="30"/>
      <c r="M49" s="30">
        <f>SUM(M46:M48)</f>
        <v>0</v>
      </c>
      <c r="N49" s="30">
        <f>SUM(N46:N48)</f>
        <v>0</v>
      </c>
      <c r="O49" s="30">
        <f>SUM(O46:O48)</f>
        <v>-232590</v>
      </c>
      <c r="P49" s="30">
        <f>SUM(P48:P48)</f>
        <v>44180.119999999995</v>
      </c>
      <c r="Q49" s="30">
        <f>SUM(Q48:Q48)</f>
        <v>0</v>
      </c>
      <c r="R49" s="30">
        <f>SUM(R48)</f>
        <v>0</v>
      </c>
      <c r="S49" s="30">
        <f>SUM(S48)</f>
        <v>0</v>
      </c>
      <c r="T49" s="30"/>
      <c r="U49" s="30"/>
      <c r="V49" s="30"/>
      <c r="W49" s="30">
        <f>SUM(W46:W48)</f>
        <v>-188409.88</v>
      </c>
      <c r="Z49" s="41"/>
    </row>
    <row r="50" spans="2:26" x14ac:dyDescent="0.2">
      <c r="B50" s="37"/>
      <c r="C50" s="24"/>
      <c r="Z50" s="41"/>
    </row>
    <row r="51" spans="2:26" x14ac:dyDescent="0.2">
      <c r="C51" s="36" t="s">
        <v>9</v>
      </c>
      <c r="F51" s="12"/>
      <c r="G51" s="12"/>
      <c r="H51" s="12"/>
      <c r="I51" s="46"/>
      <c r="J51" s="46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>
        <v>4152864</v>
      </c>
      <c r="V51" s="30"/>
      <c r="W51" s="12">
        <f>SUM(F51:V51)</f>
        <v>4152864</v>
      </c>
    </row>
    <row r="52" spans="2:26" x14ac:dyDescent="0.2">
      <c r="C52" s="36"/>
      <c r="F52" s="30"/>
      <c r="G52" s="30"/>
      <c r="H52" s="30"/>
      <c r="I52" s="49"/>
      <c r="J52" s="4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>
        <f>SUM(U51)</f>
        <v>4152864</v>
      </c>
      <c r="V52" s="30"/>
      <c r="W52" s="30">
        <f>SUM(W51)</f>
        <v>4152864</v>
      </c>
    </row>
    <row r="53" spans="2:26" x14ac:dyDescent="0.2">
      <c r="F53" s="11"/>
      <c r="G53" s="11"/>
      <c r="H53" s="11"/>
      <c r="I53" s="45"/>
      <c r="J53" s="45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30"/>
      <c r="W53" s="11"/>
    </row>
    <row r="54" spans="2:26" ht="12" x14ac:dyDescent="0.25">
      <c r="B54" s="35" t="s">
        <v>67</v>
      </c>
      <c r="C54" s="36"/>
      <c r="F54" s="30"/>
      <c r="G54" s="30"/>
      <c r="H54" s="30"/>
      <c r="I54" s="49"/>
      <c r="J54" s="49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2:26" ht="12" x14ac:dyDescent="0.25">
      <c r="B55" s="35"/>
      <c r="C55" s="36" t="s">
        <v>5</v>
      </c>
      <c r="F55" s="30"/>
      <c r="G55" s="30"/>
      <c r="H55" s="30"/>
      <c r="I55" s="49"/>
      <c r="J55" s="49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2:26" ht="12" x14ac:dyDescent="0.25">
      <c r="B56" s="35"/>
      <c r="C56" s="7" t="s">
        <v>55</v>
      </c>
      <c r="F56" s="12"/>
      <c r="G56" s="12"/>
      <c r="H56" s="12"/>
      <c r="I56" s="46"/>
      <c r="J56" s="46"/>
      <c r="K56" s="12"/>
      <c r="L56" s="12"/>
      <c r="M56" s="12"/>
      <c r="N56" s="12"/>
      <c r="O56" s="12"/>
      <c r="P56" s="12"/>
      <c r="Q56" s="12"/>
      <c r="R56" s="12"/>
      <c r="S56" s="12">
        <v>714984</v>
      </c>
      <c r="T56" s="12"/>
      <c r="U56" s="12"/>
      <c r="V56" s="30"/>
      <c r="W56" s="12">
        <f>SUM(F56:V56)</f>
        <v>714984</v>
      </c>
    </row>
    <row r="57" spans="2:26" x14ac:dyDescent="0.2">
      <c r="C57" s="36"/>
      <c r="F57" s="30"/>
      <c r="G57" s="30"/>
      <c r="H57" s="30"/>
      <c r="I57" s="30"/>
      <c r="J57" s="30"/>
      <c r="K57" s="30"/>
      <c r="L57" s="30"/>
      <c r="M57" s="30">
        <f>SUM(M54:M56)</f>
        <v>0</v>
      </c>
      <c r="N57" s="30"/>
      <c r="O57" s="30"/>
      <c r="P57" s="30"/>
      <c r="Q57" s="30"/>
      <c r="R57" s="30">
        <f>SUM(R56:R56)</f>
        <v>0</v>
      </c>
      <c r="S57" s="30">
        <f>SUM(S56)</f>
        <v>714984</v>
      </c>
      <c r="T57" s="30"/>
      <c r="U57" s="30"/>
      <c r="V57" s="30"/>
      <c r="W57" s="11">
        <f>SUM(W56:W56)</f>
        <v>714984</v>
      </c>
    </row>
    <row r="58" spans="2:26" x14ac:dyDescent="0.2">
      <c r="C58" s="36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11"/>
    </row>
    <row r="59" spans="2:26" x14ac:dyDescent="0.2">
      <c r="B59" s="37"/>
      <c r="C59" s="36" t="s">
        <v>4</v>
      </c>
      <c r="F59" s="11"/>
      <c r="G59" s="11"/>
      <c r="H59" s="11"/>
      <c r="I59" s="45"/>
      <c r="J59" s="45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30"/>
      <c r="W59" s="11"/>
    </row>
    <row r="60" spans="2:26" hidden="1" x14ac:dyDescent="0.2">
      <c r="B60" s="37"/>
      <c r="C60" s="7" t="s">
        <v>30</v>
      </c>
      <c r="F60" s="44"/>
      <c r="G60" s="30"/>
      <c r="H60" s="30"/>
      <c r="I60" s="49"/>
      <c r="J60" s="49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11">
        <f t="shared" ref="W60:W68" si="4">SUM(F60:V60)</f>
        <v>0</v>
      </c>
    </row>
    <row r="61" spans="2:26" hidden="1" x14ac:dyDescent="0.2">
      <c r="B61" s="37"/>
      <c r="C61" s="7" t="s">
        <v>31</v>
      </c>
      <c r="F61" s="44"/>
      <c r="G61" s="30"/>
      <c r="H61" s="30"/>
      <c r="I61" s="49"/>
      <c r="J61" s="49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11">
        <f t="shared" si="4"/>
        <v>0</v>
      </c>
    </row>
    <row r="62" spans="2:26" hidden="1" x14ac:dyDescent="0.2">
      <c r="B62" s="37"/>
      <c r="C62" s="30" t="s">
        <v>50</v>
      </c>
      <c r="F62" s="11"/>
      <c r="G62" s="11"/>
      <c r="H62" s="11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11">
        <f t="shared" si="4"/>
        <v>0</v>
      </c>
    </row>
    <row r="63" spans="2:26" hidden="1" x14ac:dyDescent="0.2">
      <c r="B63" s="37"/>
      <c r="C63" s="7" t="s">
        <v>36</v>
      </c>
      <c r="F63" s="44"/>
      <c r="G63" s="30"/>
      <c r="H63" s="30"/>
      <c r="I63" s="49"/>
      <c r="J63" s="49"/>
      <c r="K63" s="30"/>
      <c r="L63" s="30"/>
      <c r="M63" s="30"/>
      <c r="N63" s="30"/>
      <c r="O63" s="63"/>
      <c r="P63" s="30"/>
      <c r="Q63" s="30"/>
      <c r="R63" s="30"/>
      <c r="S63" s="30"/>
      <c r="T63" s="30"/>
      <c r="U63" s="30"/>
      <c r="V63" s="30"/>
      <c r="W63" s="11">
        <f t="shared" si="4"/>
        <v>0</v>
      </c>
    </row>
    <row r="64" spans="2:26" hidden="1" x14ac:dyDescent="0.2">
      <c r="B64" s="37"/>
      <c r="C64" s="30" t="s">
        <v>34</v>
      </c>
      <c r="F64" s="44"/>
      <c r="G64" s="30"/>
      <c r="H64" s="30"/>
      <c r="I64" s="49"/>
      <c r="J64" s="4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11">
        <f t="shared" si="4"/>
        <v>0</v>
      </c>
    </row>
    <row r="65" spans="1:25" x14ac:dyDescent="0.2">
      <c r="B65" s="37"/>
      <c r="C65" s="30" t="s">
        <v>57</v>
      </c>
      <c r="F65" s="44"/>
      <c r="G65" s="30"/>
      <c r="H65" s="30"/>
      <c r="I65" s="49"/>
      <c r="J65" s="49"/>
      <c r="K65" s="30"/>
      <c r="L65" s="30"/>
      <c r="M65" s="30"/>
      <c r="N65" s="30"/>
      <c r="O65" s="63"/>
      <c r="P65" s="30"/>
      <c r="Q65" s="30"/>
      <c r="R65" s="30">
        <v>-492879</v>
      </c>
      <c r="S65" s="30">
        <v>-2776482</v>
      </c>
      <c r="T65" s="30">
        <v>2757880</v>
      </c>
      <c r="U65" s="30"/>
      <c r="V65" s="30"/>
      <c r="W65" s="11">
        <f t="shared" si="4"/>
        <v>-511481</v>
      </c>
    </row>
    <row r="66" spans="1:25" x14ac:dyDescent="0.2">
      <c r="B66" s="37"/>
      <c r="C66" s="7" t="s">
        <v>55</v>
      </c>
      <c r="F66" s="44"/>
      <c r="G66" s="30"/>
      <c r="H66" s="30"/>
      <c r="I66" s="49"/>
      <c r="J66" s="49"/>
      <c r="K66" s="30"/>
      <c r="L66" s="30"/>
      <c r="M66" s="30"/>
      <c r="N66" s="30"/>
      <c r="O66" s="63"/>
      <c r="P66" s="30"/>
      <c r="Q66" s="30"/>
      <c r="R66" s="30"/>
      <c r="S66" s="30">
        <v>1388241</v>
      </c>
      <c r="T66" s="30"/>
      <c r="U66" s="30"/>
      <c r="V66" s="30"/>
      <c r="W66" s="11">
        <f t="shared" si="4"/>
        <v>1388241</v>
      </c>
    </row>
    <row r="67" spans="1:25" x14ac:dyDescent="0.2">
      <c r="B67" s="37"/>
      <c r="C67" s="30" t="s">
        <v>51</v>
      </c>
      <c r="F67" s="9"/>
      <c r="G67" s="12"/>
      <c r="H67" s="12"/>
      <c r="I67" s="46"/>
      <c r="J67" s="46"/>
      <c r="K67" s="12"/>
      <c r="L67" s="12"/>
      <c r="M67" s="12"/>
      <c r="N67" s="12"/>
      <c r="O67" s="62"/>
      <c r="P67" s="12"/>
      <c r="Q67" s="12"/>
      <c r="R67" s="12"/>
      <c r="S67" s="12"/>
      <c r="T67" s="12"/>
      <c r="U67" s="12"/>
      <c r="V67" s="12"/>
      <c r="W67" s="12">
        <f t="shared" si="4"/>
        <v>0</v>
      </c>
    </row>
    <row r="68" spans="1:25" hidden="1" x14ac:dyDescent="0.2">
      <c r="B68" s="37"/>
      <c r="C68" s="30" t="s">
        <v>24</v>
      </c>
      <c r="F68" s="12"/>
      <c r="G68" s="12"/>
      <c r="H68" s="12"/>
      <c r="I68" s="46"/>
      <c r="J68" s="46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30"/>
      <c r="V68" s="30"/>
      <c r="W68" s="12">
        <f t="shared" si="4"/>
        <v>0</v>
      </c>
    </row>
    <row r="69" spans="1:25" x14ac:dyDescent="0.2">
      <c r="C69" s="7" t="s">
        <v>2</v>
      </c>
      <c r="F69" s="11">
        <f t="shared" ref="F69:T69" si="5">SUM(F60:F68)</f>
        <v>0</v>
      </c>
      <c r="G69" s="11">
        <f t="shared" si="5"/>
        <v>0</v>
      </c>
      <c r="H69" s="11">
        <f t="shared" si="5"/>
        <v>0</v>
      </c>
      <c r="I69" s="11">
        <f t="shared" si="5"/>
        <v>0</v>
      </c>
      <c r="J69" s="11">
        <f t="shared" si="5"/>
        <v>0</v>
      </c>
      <c r="K69" s="11">
        <f t="shared" si="5"/>
        <v>0</v>
      </c>
      <c r="L69" s="11">
        <f t="shared" si="5"/>
        <v>0</v>
      </c>
      <c r="M69" s="11">
        <f t="shared" si="5"/>
        <v>0</v>
      </c>
      <c r="N69" s="11">
        <f t="shared" si="5"/>
        <v>0</v>
      </c>
      <c r="O69" s="11">
        <f t="shared" si="5"/>
        <v>0</v>
      </c>
      <c r="P69" s="11">
        <f>SUM(P64:P68)</f>
        <v>0</v>
      </c>
      <c r="Q69" s="11">
        <f t="shared" si="5"/>
        <v>0</v>
      </c>
      <c r="R69" s="11">
        <f t="shared" si="5"/>
        <v>-492879</v>
      </c>
      <c r="S69" s="11">
        <f>SUM(S65:S67)</f>
        <v>-1388241</v>
      </c>
      <c r="T69" s="11">
        <f t="shared" si="5"/>
        <v>2757880</v>
      </c>
      <c r="U69" s="11"/>
      <c r="V69" s="30"/>
      <c r="W69" s="11">
        <f>SUM(W60:W68)</f>
        <v>876760</v>
      </c>
    </row>
    <row r="70" spans="1:25" x14ac:dyDescent="0.2">
      <c r="G70" s="8"/>
      <c r="H70" s="7"/>
      <c r="I70" s="50"/>
      <c r="J70" s="50"/>
      <c r="K70" s="7"/>
      <c r="L70" s="7"/>
      <c r="M70" s="7"/>
      <c r="N70" s="7"/>
      <c r="O70" s="7"/>
      <c r="P70" s="7"/>
      <c r="Q70" s="7"/>
      <c r="R70" s="7"/>
      <c r="S70" s="7"/>
      <c r="T70" s="7"/>
      <c r="U70" s="8"/>
      <c r="V70" s="28"/>
      <c r="W70" s="27"/>
    </row>
    <row r="71" spans="1:25" s="5" customFormat="1" ht="19.5" customHeight="1" thickBot="1" x14ac:dyDescent="0.25">
      <c r="A71" s="34" t="s">
        <v>7</v>
      </c>
      <c r="B71" s="6"/>
      <c r="C71" s="7"/>
      <c r="D71" s="39"/>
      <c r="E71" s="7"/>
      <c r="F71" s="38">
        <f t="shared" ref="F71:U71" si="6">F15+F37+F44+F49+F52+F57+F69+F31</f>
        <v>-14791.82</v>
      </c>
      <c r="G71" s="38">
        <f t="shared" si="6"/>
        <v>0</v>
      </c>
      <c r="H71" s="38">
        <f t="shared" si="6"/>
        <v>0</v>
      </c>
      <c r="I71" s="38">
        <f t="shared" si="6"/>
        <v>0</v>
      </c>
      <c r="J71" s="38">
        <f t="shared" si="6"/>
        <v>369.32</v>
      </c>
      <c r="K71" s="38">
        <f t="shared" si="6"/>
        <v>0</v>
      </c>
      <c r="L71" s="38">
        <f t="shared" si="6"/>
        <v>-62</v>
      </c>
      <c r="M71" s="38">
        <f t="shared" si="6"/>
        <v>133861.69999999995</v>
      </c>
      <c r="N71" s="38">
        <f t="shared" si="6"/>
        <v>339422</v>
      </c>
      <c r="O71" s="38">
        <f t="shared" si="6"/>
        <v>276687</v>
      </c>
      <c r="P71" s="38">
        <f t="shared" si="6"/>
        <v>91056.12</v>
      </c>
      <c r="Q71" s="38">
        <f t="shared" si="6"/>
        <v>568602.44999999995</v>
      </c>
      <c r="R71" s="38">
        <f t="shared" si="6"/>
        <v>-141974</v>
      </c>
      <c r="S71" s="38">
        <f t="shared" si="6"/>
        <v>338828</v>
      </c>
      <c r="T71" s="38">
        <f t="shared" si="6"/>
        <v>14491043</v>
      </c>
      <c r="U71" s="38">
        <f t="shared" si="6"/>
        <v>4152864</v>
      </c>
      <c r="W71" s="38">
        <f>W15+W37+W44+W49+W52+W57+W69+W31</f>
        <v>20235905.769999996</v>
      </c>
      <c r="X71" s="41"/>
      <c r="Y71" s="41"/>
    </row>
    <row r="72" spans="1:25" s="5" customFormat="1" ht="10.8" thickTop="1" x14ac:dyDescent="0.2">
      <c r="A72" s="6"/>
      <c r="B72" s="6"/>
      <c r="C72" s="7"/>
      <c r="D72" s="14"/>
      <c r="E72" s="39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X72" s="41"/>
      <c r="Y72" s="41"/>
    </row>
    <row r="73" spans="1:25" s="5" customFormat="1" x14ac:dyDescent="0.2">
      <c r="A73" s="34" t="s">
        <v>10</v>
      </c>
      <c r="B73" s="6"/>
      <c r="C73" s="7"/>
      <c r="D73" s="14"/>
      <c r="E73" s="39"/>
      <c r="F73" s="14">
        <f t="shared" ref="F73:U73" si="7">+F8-F71</f>
        <v>-0.18000000000029104</v>
      </c>
      <c r="G73" s="14">
        <f t="shared" si="7"/>
        <v>1</v>
      </c>
      <c r="H73" s="14">
        <f t="shared" si="7"/>
        <v>-2</v>
      </c>
      <c r="I73" s="14">
        <f t="shared" si="7"/>
        <v>-1</v>
      </c>
      <c r="J73" s="14">
        <f t="shared" si="7"/>
        <v>-1.3199999999999932</v>
      </c>
      <c r="K73" s="14">
        <f t="shared" si="7"/>
        <v>-1</v>
      </c>
      <c r="L73" s="14">
        <f t="shared" si="7"/>
        <v>0</v>
      </c>
      <c r="M73" s="14">
        <f t="shared" si="7"/>
        <v>0.30000000004656613</v>
      </c>
      <c r="N73" s="14">
        <f t="shared" si="7"/>
        <v>1</v>
      </c>
      <c r="O73" s="14">
        <f t="shared" si="7"/>
        <v>5</v>
      </c>
      <c r="P73" s="14">
        <f t="shared" si="7"/>
        <v>-3.1199999999953434</v>
      </c>
      <c r="Q73" s="14">
        <f t="shared" si="7"/>
        <v>-2.4499999999534339</v>
      </c>
      <c r="R73" s="14">
        <f t="shared" si="7"/>
        <v>56</v>
      </c>
      <c r="S73" s="14">
        <f t="shared" si="7"/>
        <v>9</v>
      </c>
      <c r="T73" s="14">
        <f t="shared" si="7"/>
        <v>729</v>
      </c>
      <c r="U73" s="14">
        <f t="shared" si="7"/>
        <v>0</v>
      </c>
      <c r="W73" s="14">
        <f>+W8-W71</f>
        <v>790.23000000417233</v>
      </c>
      <c r="X73" s="41"/>
      <c r="Y73" s="41"/>
    </row>
    <row r="75" spans="1:25" s="6" customFormat="1" x14ac:dyDescent="0.2">
      <c r="C75" s="7"/>
      <c r="I75" s="47"/>
      <c r="O75" s="41"/>
      <c r="V75" s="7"/>
    </row>
    <row r="76" spans="1:25" x14ac:dyDescent="0.2">
      <c r="N76" s="41"/>
      <c r="O76" s="41"/>
      <c r="P76" s="41"/>
    </row>
    <row r="77" spans="1:25" x14ac:dyDescent="0.2">
      <c r="O77" s="41"/>
      <c r="P77" s="76"/>
      <c r="Q77" s="41"/>
    </row>
    <row r="78" spans="1:25" x14ac:dyDescent="0.2">
      <c r="M78" s="41"/>
      <c r="N78" s="41"/>
      <c r="O78" s="41"/>
      <c r="P78" s="41"/>
      <c r="Q78" s="41"/>
    </row>
    <row r="79" spans="1:25" x14ac:dyDescent="0.2">
      <c r="M79" s="41"/>
      <c r="N79" s="41"/>
      <c r="O79" s="41"/>
      <c r="P79" s="60"/>
    </row>
    <row r="80" spans="1:25" x14ac:dyDescent="0.2">
      <c r="N80" s="41"/>
      <c r="O80" s="41"/>
      <c r="P80" s="60"/>
      <c r="Q80" s="41"/>
    </row>
    <row r="81" spans="14:21" x14ac:dyDescent="0.2">
      <c r="N81" s="41"/>
      <c r="O81" s="64"/>
      <c r="P81" s="60"/>
    </row>
    <row r="82" spans="14:21" x14ac:dyDescent="0.2">
      <c r="N82" s="41"/>
      <c r="P82" s="77"/>
      <c r="Q82" s="64"/>
      <c r="R82" s="64"/>
      <c r="S82" s="64"/>
      <c r="T82" s="64"/>
      <c r="U82" s="64"/>
    </row>
    <row r="84" spans="14:21" x14ac:dyDescent="0.2">
      <c r="O84" s="64"/>
    </row>
    <row r="86" spans="14:21" x14ac:dyDescent="0.2">
      <c r="O86" s="64"/>
    </row>
    <row r="88" spans="14:21" x14ac:dyDescent="0.2">
      <c r="O88" s="64"/>
    </row>
    <row r="89" spans="14:21" x14ac:dyDescent="0.2">
      <c r="O89" s="64"/>
    </row>
  </sheetData>
  <mergeCells count="37">
    <mergeCell ref="A1:S1"/>
    <mergeCell ref="A2:S2"/>
    <mergeCell ref="AQ2:BK2"/>
    <mergeCell ref="BL2:CF2"/>
    <mergeCell ref="AQ4:BK4"/>
    <mergeCell ref="BL4:CF4"/>
    <mergeCell ref="A3:S3"/>
    <mergeCell ref="A4:S4"/>
    <mergeCell ref="DW2:EQ2"/>
    <mergeCell ref="ER2:FL2"/>
    <mergeCell ref="FM2:GG2"/>
    <mergeCell ref="GH2:HB2"/>
    <mergeCell ref="CG2:DA2"/>
    <mergeCell ref="DB2:DV2"/>
    <mergeCell ref="HC2:HW2"/>
    <mergeCell ref="HX2:IR2"/>
    <mergeCell ref="IS2:IV2"/>
    <mergeCell ref="HC3:HW3"/>
    <mergeCell ref="HX3:IR3"/>
    <mergeCell ref="IS3:IV3"/>
    <mergeCell ref="GH3:HB3"/>
    <mergeCell ref="AQ3:BK3"/>
    <mergeCell ref="BL3:CF3"/>
    <mergeCell ref="CG3:DA3"/>
    <mergeCell ref="DB3:DV3"/>
    <mergeCell ref="DW3:EQ3"/>
    <mergeCell ref="ER3:FL3"/>
    <mergeCell ref="FM3:GG3"/>
    <mergeCell ref="HC4:HW4"/>
    <mergeCell ref="HX4:IR4"/>
    <mergeCell ref="IS4:IV4"/>
    <mergeCell ref="CG4:DA4"/>
    <mergeCell ref="DB4:DV4"/>
    <mergeCell ref="DW4:EQ4"/>
    <mergeCell ref="ER4:FL4"/>
    <mergeCell ref="FM4:GG4"/>
    <mergeCell ref="GH4:HB4"/>
  </mergeCells>
  <phoneticPr fontId="0" type="noConversion"/>
  <printOptions horizontalCentered="1"/>
  <pageMargins left="0.25" right="0.25" top="1" bottom="0.25" header="0.5" footer="0.5"/>
  <pageSetup scale="44" orientation="landscape" cellComments="asDisplayed" r:id="rId1"/>
  <headerFooter alignWithMargins="0">
    <oddFooter>&amp;R&amp;D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Sithe</vt:lpstr>
      <vt:lpstr>Sithe!Print_Area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Havlíček Jan</cp:lastModifiedBy>
  <cp:lastPrinted>2001-05-01T00:20:12Z</cp:lastPrinted>
  <dcterms:created xsi:type="dcterms:W3CDTF">1999-07-28T22:34:37Z</dcterms:created>
  <dcterms:modified xsi:type="dcterms:W3CDTF">2023-09-10T12:19:26Z</dcterms:modified>
</cp:coreProperties>
</file>