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 yWindow="5052" windowWidth="15480" windowHeight="5100" tabRatio="615"/>
  </bookViews>
  <sheets>
    <sheet name="Central  Combine Quarters" sheetId="11" r:id="rId1"/>
    <sheet name="Central " sheetId="10" r:id="rId2"/>
    <sheet name="UA4" sheetId="9" r:id="rId3"/>
  </sheets>
  <definedNames>
    <definedName name="_xlnm.Print_Area" localSheetId="1">'Central '!$A$1:$X$90</definedName>
    <definedName name="_xlnm.Print_Area" localSheetId="0">'Central  Combine Quarters'!$A$1:$R$101</definedName>
  </definedNames>
  <calcPr calcId="92512"/>
</workbook>
</file>

<file path=xl/calcChain.xml><?xml version="1.0" encoding="utf-8"?>
<calcChain xmlns="http://schemas.openxmlformats.org/spreadsheetml/2006/main">
  <c r="X8" i="10" l="1"/>
  <c r="X12" i="10"/>
  <c r="G13" i="10"/>
  <c r="H13" i="10"/>
  <c r="I13" i="10"/>
  <c r="J13" i="10"/>
  <c r="K13" i="10"/>
  <c r="L13" i="10"/>
  <c r="M13" i="10"/>
  <c r="N13" i="10"/>
  <c r="O13" i="10"/>
  <c r="P13" i="10"/>
  <c r="Q13" i="10"/>
  <c r="R13" i="10"/>
  <c r="S13" i="10"/>
  <c r="T13" i="10"/>
  <c r="X13" i="10"/>
  <c r="O16" i="10"/>
  <c r="X16" i="10"/>
  <c r="G17" i="10"/>
  <c r="H17" i="10"/>
  <c r="I17" i="10"/>
  <c r="J17" i="10"/>
  <c r="K17" i="10"/>
  <c r="L17" i="10"/>
  <c r="M17" i="10"/>
  <c r="N17" i="10"/>
  <c r="O17" i="10"/>
  <c r="P17" i="10"/>
  <c r="Q17" i="10"/>
  <c r="R17" i="10"/>
  <c r="S17" i="10"/>
  <c r="T17" i="10"/>
  <c r="U17" i="10"/>
  <c r="X17" i="10"/>
  <c r="Q19" i="10"/>
  <c r="S19" i="10"/>
  <c r="T19" i="10"/>
  <c r="X19" i="10"/>
  <c r="X20" i="10"/>
  <c r="X21" i="10"/>
  <c r="X22" i="10"/>
  <c r="S23" i="10"/>
  <c r="X23" i="10"/>
  <c r="S24" i="10"/>
  <c r="X24" i="10"/>
  <c r="R25" i="10"/>
  <c r="T25" i="10"/>
  <c r="U25" i="10"/>
  <c r="X25" i="10"/>
  <c r="Q26" i="10"/>
  <c r="R26" i="10"/>
  <c r="S26" i="10"/>
  <c r="T26" i="10"/>
  <c r="U26" i="10"/>
  <c r="X26" i="10"/>
  <c r="X29" i="10"/>
  <c r="X30" i="10"/>
  <c r="X31" i="10"/>
  <c r="T32" i="10"/>
  <c r="X32" i="10"/>
  <c r="X33" i="10"/>
  <c r="X34" i="10"/>
  <c r="X35" i="10"/>
  <c r="X36" i="10"/>
  <c r="X37" i="10"/>
  <c r="X38" i="10"/>
  <c r="Q39" i="10"/>
  <c r="S39" i="10"/>
  <c r="T39" i="10"/>
  <c r="X39" i="10"/>
  <c r="Q40" i="10"/>
  <c r="R40" i="10"/>
  <c r="S40" i="10"/>
  <c r="T40" i="10"/>
  <c r="U40" i="10"/>
  <c r="X40" i="10"/>
  <c r="R43" i="10"/>
  <c r="S43" i="10"/>
  <c r="T43" i="10"/>
  <c r="U43" i="10"/>
  <c r="X43" i="10"/>
  <c r="Q44" i="10"/>
  <c r="S44" i="10"/>
  <c r="T44" i="10"/>
  <c r="U44" i="10"/>
  <c r="X44" i="10"/>
  <c r="U45" i="10"/>
  <c r="X45" i="10"/>
  <c r="Q46" i="10"/>
  <c r="R46" i="10"/>
  <c r="S46" i="10"/>
  <c r="T46" i="10"/>
  <c r="U46" i="10"/>
  <c r="X46" i="10"/>
  <c r="Q47" i="10"/>
  <c r="R47" i="10"/>
  <c r="S47" i="10"/>
  <c r="T47" i="10"/>
  <c r="U47" i="10"/>
  <c r="X47" i="10"/>
  <c r="T49" i="10"/>
  <c r="X49" i="10"/>
  <c r="X50" i="10"/>
  <c r="X51" i="10"/>
  <c r="X52" i="10"/>
  <c r="X53" i="10"/>
  <c r="X54" i="10"/>
  <c r="X55" i="10"/>
  <c r="X56" i="10"/>
  <c r="X57" i="10"/>
  <c r="X58" i="10"/>
  <c r="Q59" i="10"/>
  <c r="X59" i="10"/>
  <c r="R60" i="10"/>
  <c r="X60" i="10"/>
  <c r="X61" i="10"/>
  <c r="X62" i="10"/>
  <c r="X63" i="10"/>
  <c r="Q64" i="10"/>
  <c r="R64" i="10"/>
  <c r="S64" i="10"/>
  <c r="T64" i="10"/>
  <c r="U64" i="10"/>
  <c r="X64" i="10"/>
  <c r="X67" i="10"/>
  <c r="O68" i="10"/>
  <c r="V68" i="10"/>
  <c r="X68" i="10"/>
  <c r="S72" i="10"/>
  <c r="X72" i="10"/>
  <c r="S73" i="10"/>
  <c r="X73" i="10"/>
  <c r="X76" i="10"/>
  <c r="X77" i="10"/>
  <c r="X78" i="10"/>
  <c r="X79" i="10"/>
  <c r="X80" i="10"/>
  <c r="X81" i="10"/>
  <c r="X82" i="10"/>
  <c r="X83" i="10"/>
  <c r="X84" i="10"/>
  <c r="X85" i="10"/>
  <c r="T86" i="10"/>
  <c r="U86" i="10"/>
  <c r="X86" i="10"/>
  <c r="F88" i="10"/>
  <c r="G88" i="10"/>
  <c r="H88" i="10"/>
  <c r="I88" i="10"/>
  <c r="J88" i="10"/>
  <c r="K88" i="10"/>
  <c r="L88" i="10"/>
  <c r="M88" i="10"/>
  <c r="N88" i="10"/>
  <c r="O88" i="10"/>
  <c r="P88" i="10"/>
  <c r="Q88" i="10"/>
  <c r="R88" i="10"/>
  <c r="S88" i="10"/>
  <c r="T88" i="10"/>
  <c r="U88" i="10"/>
  <c r="V88" i="10"/>
  <c r="X88" i="10"/>
  <c r="Y88" i="10"/>
  <c r="F90" i="10"/>
  <c r="G90" i="10"/>
  <c r="H90" i="10"/>
  <c r="I90" i="10"/>
  <c r="J90" i="10"/>
  <c r="K90" i="10"/>
  <c r="L90" i="10"/>
  <c r="M90" i="10"/>
  <c r="N90" i="10"/>
  <c r="O90" i="10"/>
  <c r="P90" i="10"/>
  <c r="Q90" i="10"/>
  <c r="R90" i="10"/>
  <c r="S90" i="10"/>
  <c r="T90" i="10"/>
  <c r="U90" i="10"/>
  <c r="V90" i="10"/>
  <c r="X90" i="10"/>
  <c r="H8" i="11"/>
  <c r="I8" i="11"/>
  <c r="J8" i="11"/>
  <c r="R8" i="11"/>
  <c r="R12" i="11"/>
  <c r="G13" i="11"/>
  <c r="H13" i="11"/>
  <c r="I13" i="11"/>
  <c r="J13" i="11"/>
  <c r="K13" i="11"/>
  <c r="L13" i="11"/>
  <c r="M13" i="11"/>
  <c r="N13" i="11"/>
  <c r="O13" i="11"/>
  <c r="R13" i="11"/>
  <c r="H16" i="11"/>
  <c r="I16" i="11"/>
  <c r="J16" i="11"/>
  <c r="K16" i="11"/>
  <c r="L16" i="11"/>
  <c r="M16" i="11"/>
  <c r="N16" i="11"/>
  <c r="R16" i="11"/>
  <c r="G17" i="11"/>
  <c r="H17" i="11"/>
  <c r="I17" i="11"/>
  <c r="J17" i="11"/>
  <c r="K17" i="11"/>
  <c r="L17" i="11"/>
  <c r="M17" i="11"/>
  <c r="N17" i="11"/>
  <c r="O17" i="11"/>
  <c r="R17" i="11"/>
  <c r="R19" i="11"/>
  <c r="R20" i="11"/>
  <c r="R21" i="11"/>
  <c r="R22" i="11"/>
  <c r="R23" i="11"/>
  <c r="R24" i="11"/>
  <c r="R25" i="11"/>
  <c r="R26" i="11"/>
  <c r="R27" i="11"/>
  <c r="M28" i="11"/>
  <c r="N28" i="11"/>
  <c r="R28" i="11"/>
  <c r="R29" i="11"/>
  <c r="R30" i="11"/>
  <c r="R31" i="11"/>
  <c r="M32" i="11"/>
  <c r="R32" i="11"/>
  <c r="M33" i="11"/>
  <c r="R33" i="11"/>
  <c r="N34" i="11"/>
  <c r="O34" i="11"/>
  <c r="R34" i="11"/>
  <c r="K35" i="11"/>
  <c r="L35" i="11"/>
  <c r="M35" i="11"/>
  <c r="N35" i="11"/>
  <c r="O35" i="11"/>
  <c r="P35" i="11"/>
  <c r="R35" i="11"/>
  <c r="R38" i="11"/>
  <c r="R39" i="11"/>
  <c r="R40" i="11"/>
  <c r="N41" i="11"/>
  <c r="R41" i="11"/>
  <c r="R42" i="11"/>
  <c r="R43" i="11"/>
  <c r="R44" i="11"/>
  <c r="R45" i="11"/>
  <c r="R46" i="11"/>
  <c r="M47" i="11"/>
  <c r="N47" i="11"/>
  <c r="R47" i="11"/>
  <c r="L48" i="11"/>
  <c r="M48" i="11"/>
  <c r="N48" i="11"/>
  <c r="O48" i="11"/>
  <c r="R48" i="11"/>
  <c r="L51" i="11"/>
  <c r="M51" i="11"/>
  <c r="N51" i="11"/>
  <c r="O51" i="11"/>
  <c r="R51" i="11"/>
  <c r="K52" i="11"/>
  <c r="M52" i="11"/>
  <c r="N52" i="11"/>
  <c r="O52" i="11"/>
  <c r="R52" i="11"/>
  <c r="O53" i="11"/>
  <c r="R53" i="11"/>
  <c r="K54" i="11"/>
  <c r="L54" i="11"/>
  <c r="M54" i="11"/>
  <c r="N54" i="11"/>
  <c r="O54" i="11"/>
  <c r="R54" i="11"/>
  <c r="K55" i="11"/>
  <c r="L55" i="11"/>
  <c r="M55" i="11"/>
  <c r="N55" i="11"/>
  <c r="O55" i="11"/>
  <c r="R55" i="11"/>
  <c r="N57" i="11"/>
  <c r="R57" i="11"/>
  <c r="R58" i="11"/>
  <c r="R59" i="11"/>
  <c r="R60" i="11"/>
  <c r="R61" i="11"/>
  <c r="R62" i="11"/>
  <c r="R64" i="11"/>
  <c r="R65" i="11"/>
  <c r="R66" i="11"/>
  <c r="R67" i="11"/>
  <c r="K68" i="11"/>
  <c r="R68" i="11"/>
  <c r="L69" i="11"/>
  <c r="R69" i="11"/>
  <c r="R70" i="11"/>
  <c r="R71" i="11"/>
  <c r="R72" i="11"/>
  <c r="K73" i="11"/>
  <c r="L73" i="11"/>
  <c r="M73" i="11"/>
  <c r="N73" i="11"/>
  <c r="O73" i="11"/>
  <c r="R73" i="11"/>
  <c r="P77" i="11"/>
  <c r="R77" i="11"/>
  <c r="J78" i="11"/>
  <c r="K78" i="11"/>
  <c r="L78" i="11"/>
  <c r="P78" i="11"/>
  <c r="R78" i="11"/>
  <c r="R82" i="11"/>
  <c r="M83" i="11"/>
  <c r="R83" i="11"/>
  <c r="M84" i="11"/>
  <c r="O84" i="11"/>
  <c r="R84" i="11"/>
  <c r="R87" i="11"/>
  <c r="R88" i="11"/>
  <c r="R89" i="11"/>
  <c r="R90" i="11"/>
  <c r="R91" i="11"/>
  <c r="R92" i="11"/>
  <c r="R93" i="11"/>
  <c r="R94" i="11"/>
  <c r="R95" i="11"/>
  <c r="R96" i="11"/>
  <c r="N97" i="11"/>
  <c r="O97" i="11"/>
  <c r="R97" i="11"/>
  <c r="F99" i="11"/>
  <c r="G99" i="11"/>
  <c r="H99" i="11"/>
  <c r="I99" i="11"/>
  <c r="J99" i="11"/>
  <c r="K99" i="11"/>
  <c r="L99" i="11"/>
  <c r="M99" i="11"/>
  <c r="N99" i="11"/>
  <c r="O99" i="11"/>
  <c r="P99" i="11"/>
  <c r="R99" i="11"/>
  <c r="S99" i="11"/>
  <c r="F101" i="11"/>
  <c r="G101" i="11"/>
  <c r="H101" i="11"/>
  <c r="I101" i="11"/>
  <c r="J101" i="11"/>
  <c r="K101" i="11"/>
  <c r="L101" i="11"/>
  <c r="M101" i="11"/>
  <c r="N101" i="11"/>
  <c r="O101" i="11"/>
  <c r="P101" i="11"/>
  <c r="R101" i="11"/>
  <c r="D3" i="9"/>
  <c r="E3" i="9"/>
  <c r="D4" i="9"/>
  <c r="E4" i="9"/>
  <c r="D5" i="9"/>
  <c r="E5" i="9"/>
  <c r="D6" i="9"/>
  <c r="E6" i="9"/>
  <c r="D7" i="9"/>
  <c r="E7" i="9"/>
  <c r="D8" i="9"/>
  <c r="E8" i="9"/>
  <c r="D9" i="9"/>
  <c r="E9" i="9"/>
  <c r="D10" i="9"/>
  <c r="E10" i="9"/>
  <c r="D11" i="9"/>
  <c r="E11" i="9"/>
  <c r="D12" i="9"/>
  <c r="E12" i="9"/>
  <c r="D13" i="9"/>
  <c r="E13" i="9"/>
  <c r="D14" i="9"/>
  <c r="E14" i="9"/>
  <c r="D15" i="9"/>
  <c r="E15" i="9"/>
  <c r="D16" i="9"/>
  <c r="E16" i="9"/>
  <c r="D17" i="9"/>
  <c r="E17" i="9"/>
  <c r="D18" i="9"/>
  <c r="E18" i="9"/>
  <c r="D19" i="9"/>
  <c r="E19" i="9"/>
  <c r="D20" i="9"/>
  <c r="E20" i="9"/>
  <c r="D21" i="9"/>
  <c r="E21" i="9"/>
  <c r="D22" i="9"/>
  <c r="E22" i="9"/>
  <c r="D23" i="9"/>
  <c r="E23" i="9"/>
  <c r="D24" i="9"/>
  <c r="E24" i="9"/>
  <c r="D25" i="9"/>
  <c r="E25" i="9"/>
  <c r="D26" i="9"/>
  <c r="E26" i="9"/>
  <c r="D27" i="9"/>
  <c r="E27" i="9"/>
  <c r="D28" i="9"/>
  <c r="E28" i="9"/>
  <c r="D29" i="9"/>
  <c r="E29" i="9"/>
  <c r="D30" i="9"/>
  <c r="E30" i="9"/>
  <c r="D31" i="9"/>
  <c r="E31" i="9"/>
  <c r="D32" i="9"/>
  <c r="E32" i="9"/>
  <c r="D33" i="9"/>
  <c r="E33" i="9"/>
  <c r="D34" i="9"/>
  <c r="E34" i="9"/>
  <c r="D35" i="9"/>
  <c r="E35" i="9"/>
  <c r="D36" i="9"/>
  <c r="E36" i="9"/>
  <c r="D37" i="9"/>
  <c r="E37" i="9"/>
  <c r="D38" i="9"/>
  <c r="E38" i="9"/>
  <c r="D39" i="9"/>
  <c r="E39" i="9"/>
  <c r="D40" i="9"/>
  <c r="E40" i="9"/>
  <c r="D41" i="9"/>
  <c r="E41" i="9"/>
  <c r="D42" i="9"/>
  <c r="E42" i="9"/>
  <c r="D43" i="9"/>
  <c r="E43" i="9"/>
  <c r="D44" i="9"/>
  <c r="E44" i="9"/>
  <c r="D45" i="9"/>
  <c r="E45" i="9"/>
  <c r="D46" i="9"/>
  <c r="E46" i="9"/>
  <c r="D47" i="9"/>
  <c r="E47" i="9"/>
  <c r="D48" i="9"/>
  <c r="E48" i="9"/>
  <c r="D49" i="9"/>
  <c r="E49" i="9"/>
  <c r="D50" i="9"/>
  <c r="E50" i="9"/>
  <c r="D51" i="9"/>
  <c r="E51" i="9"/>
  <c r="D52" i="9"/>
  <c r="E52" i="9"/>
  <c r="D53" i="9"/>
  <c r="E53" i="9"/>
  <c r="D54" i="9"/>
  <c r="E54" i="9"/>
  <c r="D55" i="9"/>
  <c r="E55" i="9"/>
  <c r="D56" i="9"/>
  <c r="E56" i="9"/>
  <c r="D57" i="9"/>
  <c r="E57" i="9"/>
  <c r="D58" i="9"/>
  <c r="E58" i="9"/>
  <c r="D59" i="9"/>
  <c r="E59" i="9"/>
  <c r="D60" i="9"/>
  <c r="E60" i="9"/>
  <c r="D61" i="9"/>
  <c r="E61" i="9"/>
  <c r="D62" i="9"/>
  <c r="E62" i="9"/>
  <c r="D63" i="9"/>
  <c r="E63" i="9"/>
  <c r="D64" i="9"/>
  <c r="E64" i="9"/>
  <c r="D65" i="9"/>
  <c r="E65" i="9"/>
  <c r="D66" i="9"/>
  <c r="E66" i="9"/>
  <c r="D67" i="9"/>
  <c r="E67" i="9"/>
  <c r="D68" i="9"/>
  <c r="E68" i="9"/>
  <c r="D69" i="9"/>
  <c r="E69" i="9"/>
  <c r="D70" i="9"/>
  <c r="E70" i="9"/>
  <c r="D71" i="9"/>
  <c r="E71" i="9"/>
  <c r="D72" i="9"/>
  <c r="E72" i="9"/>
  <c r="D73" i="9"/>
  <c r="E73" i="9"/>
  <c r="D74" i="9"/>
  <c r="E74" i="9"/>
  <c r="D75" i="9"/>
  <c r="E75" i="9"/>
  <c r="D76" i="9"/>
  <c r="E76" i="9"/>
  <c r="D77" i="9"/>
  <c r="E77" i="9"/>
  <c r="D78" i="9"/>
  <c r="E78" i="9"/>
  <c r="D79" i="9"/>
  <c r="E79" i="9"/>
  <c r="E80" i="9"/>
</calcChain>
</file>

<file path=xl/comments1.xml><?xml version="1.0" encoding="utf-8"?>
<comments xmlns="http://schemas.openxmlformats.org/spreadsheetml/2006/main">
  <authors>
    <author>csprowl</author>
  </authors>
  <commentList>
    <comment ref="G16" authorId="0" shapeId="0">
      <text>
        <r>
          <rPr>
            <b/>
            <sz val="8"/>
            <color indexed="81"/>
            <rFont val="Tahoma"/>
          </rPr>
          <t>csprowl:</t>
        </r>
        <r>
          <rPr>
            <sz val="8"/>
            <color indexed="81"/>
            <rFont val="Tahoma"/>
          </rPr>
          <t xml:space="preserve">
various unidentified (23,008)</t>
        </r>
      </text>
    </comment>
    <comment ref="H16" authorId="0" shapeId="0">
      <text>
        <r>
          <rPr>
            <b/>
            <sz val="8"/>
            <color indexed="81"/>
            <rFont val="Tahoma"/>
          </rPr>
          <t>csprowl:</t>
        </r>
        <r>
          <rPr>
            <sz val="8"/>
            <color indexed="81"/>
            <rFont val="Tahoma"/>
          </rPr>
          <t xml:space="preserve"> 
various unidentified 
January     (1,008)
February    (2,954)
March         (4,769)
</t>
        </r>
      </text>
    </comment>
    <comment ref="I16" authorId="0" shapeId="0">
      <text>
        <r>
          <rPr>
            <b/>
            <sz val="8"/>
            <color indexed="81"/>
            <rFont val="Tahoma"/>
          </rPr>
          <t>csprowl:</t>
        </r>
        <r>
          <rPr>
            <sz val="8"/>
            <color indexed="81"/>
            <rFont val="Tahoma"/>
            <family val="2"/>
          </rPr>
          <t xml:space="preserve">
various unidentified    
April                 (4,326)
May                 (6,206)
June                (4,138)</t>
        </r>
      </text>
    </comment>
    <comment ref="J16" authorId="0" shapeId="0">
      <text>
        <r>
          <rPr>
            <b/>
            <sz val="8"/>
            <color indexed="81"/>
            <rFont val="Tahoma"/>
          </rPr>
          <t>csprowl:</t>
        </r>
        <r>
          <rPr>
            <sz val="8"/>
            <color indexed="81"/>
            <rFont val="Tahoma"/>
          </rPr>
          <t xml:space="preserve">
July various unidentified   1,157
August:
PEPL commodity pma       26,218    
various unidentified         10,543
September various               923</t>
        </r>
      </text>
    </comment>
    <comment ref="M16"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commodity flashed revenue rather than expense  398,866
Nexen Petroleum purchase                                     (74,990) S#511916
Proliance sale        UA4                                             27,880  S#515154</t>
        </r>
      </text>
    </comment>
    <comment ref="N16" authorId="0" shapeId="0">
      <text>
        <r>
          <rPr>
            <b/>
            <sz val="8"/>
            <color indexed="81"/>
            <rFont val="Tahoma"/>
          </rPr>
          <t>csprowl:</t>
        </r>
        <r>
          <rPr>
            <sz val="8"/>
            <color indexed="81"/>
            <rFont val="Tahoma"/>
          </rPr>
          <t xml:space="preserve">
Enron Canada buy      74,166.50
after reclass from AEC
Enron Canada sale      56,245.89
El Paso buy                  89,521.85
Peoples buy                 62,000
Sceptre buy S459229 (62,611)</t>
        </r>
      </text>
    </comment>
    <comment ref="K28" authorId="0" shapeId="0">
      <text>
        <r>
          <rPr>
            <b/>
            <sz val="8"/>
            <color indexed="81"/>
            <rFont val="Tahoma"/>
          </rPr>
          <t>csprowl:</t>
        </r>
        <r>
          <rPr>
            <sz val="8"/>
            <color indexed="81"/>
            <rFont val="Tahoma"/>
          </rPr>
          <t xml:space="preserve">
Discrepancies between actuals and flash  31,182
Discrepancies between flash and details     4,382
In Actuals not Flash                                 174,967
Q40157.1  (327,600)
NY6237.1   200,880
Q60875.3    (25,389)
NN2218.2    (94,627)
NN2218.3     95,054
Q44850.3         (950)
Total                                                       210,531</t>
        </r>
      </text>
    </comment>
    <comment ref="M28" authorId="0" shapeId="0">
      <text>
        <r>
          <rPr>
            <b/>
            <sz val="8"/>
            <color indexed="81"/>
            <rFont val="Tahoma"/>
          </rPr>
          <t>csprowl:</t>
        </r>
        <r>
          <rPr>
            <sz val="8"/>
            <color indexed="81"/>
            <rFont val="Tahoma"/>
          </rPr>
          <t xml:space="preserve">
In Actuals not flash: 4,755,040
Less reclass to phy  (4,140,628)           614,412
  </t>
        </r>
        <r>
          <rPr>
            <sz val="8"/>
            <color indexed="10"/>
            <rFont val="Tahoma"/>
            <family val="2"/>
          </rPr>
          <t xml:space="preserve">mainly NV8650.4        820,795
             Transport         92,350
             E22563.8      (281,133) 
</t>
        </r>
        <r>
          <rPr>
            <sz val="8"/>
            <color indexed="81"/>
            <rFont val="Tahoma"/>
            <family val="2"/>
          </rPr>
          <t>Discrepancy between flash and actual:</t>
        </r>
        <r>
          <rPr>
            <sz val="8"/>
            <color indexed="10"/>
            <rFont val="Tahoma"/>
            <family val="2"/>
          </rPr>
          <t xml:space="preserve">
           NV8650.5         (57,369.73)     </t>
        </r>
        <r>
          <rPr>
            <sz val="8"/>
            <color indexed="81"/>
            <rFont val="Tahoma"/>
            <family val="2"/>
          </rPr>
          <t xml:space="preserve">  (</t>
        </r>
        <r>
          <rPr>
            <sz val="8"/>
            <color indexed="10"/>
            <rFont val="Tahoma"/>
            <family val="2"/>
          </rPr>
          <t xml:space="preserve"> </t>
        </r>
        <r>
          <rPr>
            <sz val="8"/>
            <color indexed="81"/>
            <rFont val="Tahoma"/>
            <family val="2"/>
          </rPr>
          <t>57,370)
Discrepancies between actuals/flash   (503,809)
Total Variance                                       53,234</t>
        </r>
      </text>
    </comment>
    <comment ref="N28" authorId="0" shapeId="0">
      <text>
        <r>
          <rPr>
            <b/>
            <sz val="8"/>
            <color indexed="81"/>
            <rFont val="Tahoma"/>
          </rPr>
          <t>csprowl:</t>
        </r>
        <r>
          <rPr>
            <sz val="8"/>
            <color indexed="81"/>
            <rFont val="Tahoma"/>
          </rPr>
          <t xml:space="preserve">
Discrepancies between OA Flash and Details    483,934
In Actuals Not Flash:
Transport (1,234,271)
NG9514.3    (674,946)
NJ9516.2    (671,321)
NW7322.3    (53,999)
NW0661.2          (550)
QD3093.4          (430) 
QD3093.2       22,660
NW7322.4      53,999
QF1024.2     189,921
QH8834.3     674,946
Subtotal                                                        (1,693,991)
In both Actuals and Flash    E22563.8                   7,112
Feb PMA                                                          (507,763)
Total                                                             (1,710,709)
</t>
        </r>
      </text>
    </comment>
    <comment ref="O30" authorId="0" shapeId="0">
      <text>
        <r>
          <rPr>
            <b/>
            <sz val="8"/>
            <color indexed="81"/>
            <rFont val="Tahoma"/>
          </rPr>
          <t>csprowl:</t>
        </r>
        <r>
          <rPr>
            <sz val="8"/>
            <color indexed="81"/>
            <rFont val="Tahoma"/>
          </rPr>
          <t xml:space="preserve">
check page of Jims OAs</t>
        </r>
      </text>
    </comment>
    <comment ref="M32" authorId="0" shapeId="0">
      <text>
        <r>
          <rPr>
            <b/>
            <sz val="8"/>
            <color indexed="81"/>
            <rFont val="Tahoma"/>
          </rPr>
          <t>csprowl:</t>
        </r>
        <r>
          <rPr>
            <sz val="8"/>
            <color indexed="81"/>
            <rFont val="Tahoma"/>
          </rPr>
          <t xml:space="preserve">
flashed 227,437 demand reimbursements
booked (221,250) 
reclass 163,576.97 to Ontario because it was flashed in error - taken in 03/01 GL
</t>
        </r>
        <r>
          <rPr>
            <sz val="8"/>
            <color indexed="10"/>
            <rFont val="Tahoma"/>
            <family val="2"/>
          </rPr>
          <t xml:space="preserve">what's left here is:
221,250 S#384296  per Natalie 04/04 S#384296"pysical options w/options"
                compoundied w/a problem w/a gas accounting manual entry
  44,640 Flash-Related to AEC producer netback per Natlie 04/03
  19,220 flash Natalie looking into who should be reimbursing 04/04
 </t>
        </r>
      </text>
    </comment>
    <comment ref="N32" authorId="0" shapeId="0">
      <text>
        <r>
          <rPr>
            <b/>
            <sz val="8"/>
            <color indexed="81"/>
            <rFont val="Tahoma"/>
          </rPr>
          <t>csprowl:</t>
        </r>
        <r>
          <rPr>
            <sz val="8"/>
            <color indexed="81"/>
            <rFont val="Tahoma"/>
          </rPr>
          <t xml:space="preserve">
44,640 flash related to AEC Per Natalie Baker 04/03 Producer Netback will reinput Sitara ticket
19,220 flash - Natalie looking into who should reimburse
13,207 included in this calculation in error - this is Reliant reimbursed from Eastment - will clear this out with 03/01 GL</t>
        </r>
      </text>
    </comment>
    <comment ref="M33" authorId="0" shapeId="0">
      <text>
        <r>
          <rPr>
            <b/>
            <sz val="8"/>
            <color indexed="81"/>
            <rFont val="Tahoma"/>
          </rPr>
          <t xml:space="preserve">csprowl:
Forms with Economics
</t>
        </r>
        <r>
          <rPr>
            <sz val="8"/>
            <color indexed="81"/>
            <rFont val="Tahoma"/>
            <family val="2"/>
          </rPr>
          <t>Startech buy       363,208</t>
        </r>
        <r>
          <rPr>
            <b/>
            <sz val="8"/>
            <color indexed="81"/>
            <rFont val="Tahoma"/>
          </rPr>
          <t xml:space="preserve">
Other issues:</t>
        </r>
        <r>
          <rPr>
            <sz val="8"/>
            <color indexed="81"/>
            <rFont val="Tahoma"/>
          </rPr>
          <t xml:space="preserve">
EMW                    501,800   liquidation issue
WPSbuy              283,901  form doesn't tie to this because of a PMA in 02/01 GL so this needs to go back to Settlements
NNG buy              23,129 form to eco 04/19
</t>
        </r>
      </text>
    </comment>
    <comment ref="M34"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t>
        </r>
      </text>
    </comment>
    <comment ref="N34" authorId="0" shapeId="0">
      <text>
        <r>
          <rPr>
            <b/>
            <sz val="8"/>
            <color indexed="81"/>
            <rFont val="Tahoma"/>
          </rPr>
          <t>csprowl:</t>
        </r>
        <r>
          <rPr>
            <sz val="8"/>
            <color indexed="81"/>
            <rFont val="Tahoma"/>
          </rPr>
          <t xml:space="preserve">
Crestar     EC7377.0   (46,785.18)    since been reclassed to Ontario
ECS           EE9092.6  114,728.40
Marathon QH8672.1    58,900
Oneok      EF2667.3  (153,317) Jim Little manual adj to liq file
Ranger    N95094.2    65,100
Reliant     QI7044.2  370,896.47
NNG         QN8046.2 488,749.99  from West
NNG         QO0171.2 488,749.99 from West</t>
        </r>
      </text>
    </comment>
    <comment ref="N39" authorId="0" shapeId="0">
      <text>
        <r>
          <rPr>
            <b/>
            <sz val="8"/>
            <color indexed="81"/>
            <rFont val="Tahoma"/>
          </rPr>
          <t>csprowl:</t>
        </r>
        <r>
          <rPr>
            <sz val="8"/>
            <color indexed="81"/>
            <rFont val="Tahoma"/>
          </rPr>
          <t xml:space="preserve">
form from settlements 04/17-expected PMA didn't match March PMA report - Mary reworking form.</t>
        </r>
      </text>
    </comment>
    <comment ref="M44" authorId="0" shapeId="0">
      <text>
        <r>
          <rPr>
            <b/>
            <sz val="8"/>
            <color indexed="81"/>
            <rFont val="Tahoma"/>
          </rPr>
          <t>csprowl:</t>
        </r>
        <r>
          <rPr>
            <sz val="8"/>
            <color indexed="81"/>
            <rFont val="Tahoma"/>
          </rPr>
          <t xml:space="preserve">
form returned to settlements 02/15</t>
        </r>
      </text>
    </comment>
    <comment ref="M45" authorId="0" shapeId="0">
      <text>
        <r>
          <rPr>
            <b/>
            <sz val="8"/>
            <color indexed="81"/>
            <rFont val="Tahoma"/>
          </rPr>
          <t>csprowl:</t>
        </r>
        <r>
          <rPr>
            <sz val="8"/>
            <color indexed="81"/>
            <rFont val="Tahoma"/>
          </rPr>
          <t xml:space="preserve">
reclassing liquidation to purchase created a new open item.  Support delivered 03/05
QH8834.2                421,600
S579153&amp;579158    120,900
421,600 GOES TO DEAL IN JANUARY PER OA FORM.  SUPPORT FOR BOTH PIECES TO ECONOMICS 03/16</t>
        </r>
      </text>
    </comment>
    <comment ref="L46" authorId="0" shapeId="0">
      <text>
        <r>
          <rPr>
            <b/>
            <sz val="8"/>
            <color indexed="81"/>
            <rFont val="Tahoma"/>
          </rPr>
          <t>csprowl:</t>
        </r>
        <r>
          <rPr>
            <sz val="8"/>
            <color indexed="81"/>
            <rFont val="Tahoma"/>
          </rPr>
          <t xml:space="preserve">
support to settlements 03/05</t>
        </r>
      </text>
    </comment>
    <comment ref="M47" authorId="0" shapeId="0">
      <text>
        <r>
          <rPr>
            <b/>
            <sz val="8"/>
            <color indexed="81"/>
            <rFont val="Tahoma"/>
          </rPr>
          <t>csprowl:</t>
        </r>
        <r>
          <rPr>
            <sz val="8"/>
            <color indexed="81"/>
            <rFont val="Tahoma"/>
          </rPr>
          <t xml:space="preserve">
coastal merchant sale  41,950
Coenergy trade buy    56,206
Williams buy                 63,140
WP&amp;L sale                   97,764 
03/01 PMAs
Kaztex sales             (25,514)
Oneok purchase         60,718
Scana sale                (68,324)
</t>
        </r>
      </text>
    </comment>
    <comment ref="N47" authorId="0" shapeId="0">
      <text>
        <r>
          <rPr>
            <b/>
            <sz val="8"/>
            <color indexed="81"/>
            <rFont val="Tahoma"/>
          </rPr>
          <t>csprowl:</t>
        </r>
        <r>
          <rPr>
            <sz val="8"/>
            <color indexed="81"/>
            <rFont val="Tahoma"/>
          </rPr>
          <t xml:space="preserve">
CES-Midcon sale           41,954      03/01PMA 
Devon purchase          (67,902)
Devon sale                   87,093      03/01 PMA
NNG purchase              68,185
Occidental purchase   (82,060)     03/01 PMA
Reliant sales                (39,820) 
reclass made variance bigger
Union purchase            44,000
W&amp;T Offshore purch   (26,857)   03/01 PMA  </t>
        </r>
      </text>
    </comment>
    <comment ref="K51" authorId="0" shapeId="0">
      <text>
        <r>
          <rPr>
            <b/>
            <sz val="8"/>
            <color indexed="81"/>
            <rFont val="Tahoma"/>
          </rPr>
          <t>csprowl:</t>
        </r>
        <r>
          <rPr>
            <sz val="8"/>
            <color indexed="81"/>
            <rFont val="Tahoma"/>
          </rPr>
          <t xml:space="preserve">
NNG SAP vs Unify</t>
        </r>
      </text>
    </comment>
    <comment ref="L51" authorId="0" shapeId="0">
      <text>
        <r>
          <rPr>
            <b/>
            <sz val="8"/>
            <color indexed="81"/>
            <rFont val="Tahoma"/>
          </rPr>
          <t>csprowl:</t>
        </r>
        <r>
          <rPr>
            <sz val="8"/>
            <color indexed="81"/>
            <rFont val="Tahoma"/>
          </rPr>
          <t xml:space="preserve">
Great Lakes demand original form says gl correction   19,500
Trunkline demand                                                        159,870
NGPL demand reimbursements                                   106,714</t>
        </r>
      </text>
    </comment>
    <comment ref="M51" authorId="0" shapeId="0">
      <text>
        <r>
          <rPr>
            <b/>
            <sz val="8"/>
            <color indexed="81"/>
            <rFont val="Tahoma"/>
          </rPr>
          <t>csprowl:</t>
        </r>
        <r>
          <rPr>
            <sz val="8"/>
            <color indexed="81"/>
            <rFont val="Tahoma"/>
          </rPr>
          <t xml:space="preserve">
Michcon com                                                                       66,562
ANR dmd                                                                           (24,306) 
form says PMA in 02/01 GL but I don't see it on line 25
Norther Border 03/01 commodity PMA                          (219,819)
NNG commodity 03/01 PMA                                              24,471</t>
        </r>
      </text>
    </comment>
    <comment ref="N51" authorId="0" shapeId="0">
      <text>
        <r>
          <rPr>
            <b/>
            <sz val="8"/>
            <color indexed="81"/>
            <rFont val="Tahoma"/>
          </rPr>
          <t>csprowl:</t>
        </r>
        <r>
          <rPr>
            <sz val="8"/>
            <color indexed="81"/>
            <rFont val="Tahoma"/>
          </rPr>
          <t xml:space="preserve">
Reliant Field com   (24,078) per form expecting pma
Trunkline comm      59,666   need form
GRLK Dmd           (781,950)  per form expecting pma
Trunk Dmd           101,185    need form</t>
        </r>
      </text>
    </comment>
    <comment ref="K54" authorId="0" shapeId="0">
      <text>
        <r>
          <rPr>
            <b/>
            <sz val="8"/>
            <color indexed="81"/>
            <rFont val="Tahoma"/>
          </rPr>
          <t>csprowl:</t>
        </r>
        <r>
          <rPr>
            <sz val="8"/>
            <color indexed="81"/>
            <rFont val="Tahoma"/>
          </rPr>
          <t xml:space="preserve">
adjusted for NGPL liquidation reclass:
Q30444.1  1,042,885.70
Q30444.3     573,178.73
done in 01/01 GL</t>
        </r>
      </text>
    </comment>
    <comment ref="M54" authorId="0" shapeId="0">
      <text>
        <r>
          <rPr>
            <b/>
            <sz val="8"/>
            <color indexed="81"/>
            <rFont val="Tahoma"/>
          </rPr>
          <t>csprowl:</t>
        </r>
        <r>
          <rPr>
            <sz val="8"/>
            <color indexed="81"/>
            <rFont val="Tahoma"/>
          </rPr>
          <t xml:space="preserve">
Synthetic storage adjusted for liquidation reclasses:
NGPL buy N50101.9     2,285,438
NGPL buy N50101.A    3,488,892
NGPL buy QG2048.1         43,697
NGPL sale Q30444.1 (1,830,550) syn stg?
NGPL sale Q30444.J     (141,720)
NGPL sale QG2048.3    (177,150)
NGPL sale QH5538.1     (17,715)</t>
        </r>
      </text>
    </comment>
    <comment ref="N64" authorId="0" shapeId="0">
      <text>
        <r>
          <rPr>
            <b/>
            <sz val="8"/>
            <color indexed="81"/>
            <rFont val="Tahoma"/>
          </rPr>
          <t>csprowl:</t>
        </r>
        <r>
          <rPr>
            <sz val="8"/>
            <color indexed="81"/>
            <rFont val="Tahoma"/>
          </rPr>
          <t xml:space="preserve">
04/26 Jim Little says $3.4 million liquidation in financial settlements.  A large portion of it goes to the East region.  He will reclass from financial settlements to us and then split between regions.</t>
        </r>
      </text>
    </comment>
    <comment ref="K68" authorId="0" shapeId="0">
      <text>
        <r>
          <rPr>
            <b/>
            <sz val="8"/>
            <color indexed="81"/>
            <rFont val="Tahoma"/>
          </rPr>
          <t>csprowl:</t>
        </r>
        <r>
          <rPr>
            <sz val="8"/>
            <color indexed="81"/>
            <rFont val="Tahoma"/>
          </rPr>
          <t xml:space="preserve">
Consumers   72,500
Relaint         37,271</t>
        </r>
      </text>
    </comment>
    <comment ref="M83" authorId="0" shapeId="0">
      <text>
        <r>
          <rPr>
            <b/>
            <sz val="8"/>
            <color indexed="81"/>
            <rFont val="Tahoma"/>
          </rPr>
          <t>csprowl:</t>
        </r>
        <r>
          <rPr>
            <sz val="8"/>
            <color indexed="81"/>
            <rFont val="Tahoma"/>
          </rPr>
          <t xml:space="preserve">
original volume 78,953
volume s/b        47,035
difference         31,918
times wacog         5.786
Per Melanie 04/19 this correction was made 04/18</t>
        </r>
      </text>
    </comment>
  </commentList>
</comments>
</file>

<file path=xl/comments2.xml><?xml version="1.0" encoding="utf-8"?>
<comments xmlns="http://schemas.openxmlformats.org/spreadsheetml/2006/main">
  <authors>
    <author>csprowl</author>
  </authors>
  <commentList>
    <comment ref="G16" authorId="0" shapeId="0">
      <text>
        <r>
          <rPr>
            <b/>
            <sz val="8"/>
            <color indexed="81"/>
            <rFont val="Tahoma"/>
          </rPr>
          <t>csprowl:</t>
        </r>
        <r>
          <rPr>
            <sz val="8"/>
            <color indexed="81"/>
            <rFont val="Tahoma"/>
          </rPr>
          <t xml:space="preserve">
various unidentified (23,008)</t>
        </r>
      </text>
    </comment>
    <comment ref="H16" authorId="0" shapeId="0">
      <text>
        <r>
          <rPr>
            <b/>
            <sz val="8"/>
            <color indexed="81"/>
            <rFont val="Tahoma"/>
          </rPr>
          <t>csprowl:</t>
        </r>
        <r>
          <rPr>
            <sz val="8"/>
            <color indexed="81"/>
            <rFont val="Tahoma"/>
          </rPr>
          <t xml:space="preserve"> 
various unidentified (1,008)
</t>
        </r>
      </text>
    </comment>
    <comment ref="I16" authorId="0" shapeId="0">
      <text>
        <r>
          <rPr>
            <b/>
            <sz val="8"/>
            <color indexed="81"/>
            <rFont val="Tahoma"/>
          </rPr>
          <t>csprowl:</t>
        </r>
        <r>
          <rPr>
            <sz val="8"/>
            <color indexed="81"/>
            <rFont val="Tahoma"/>
          </rPr>
          <t xml:space="preserve">
various unidentified         (2,954)
</t>
        </r>
      </text>
    </comment>
    <comment ref="J16" authorId="0" shapeId="0">
      <text>
        <r>
          <rPr>
            <b/>
            <sz val="8"/>
            <color indexed="81"/>
            <rFont val="Tahoma"/>
          </rPr>
          <t>csprowl:</t>
        </r>
        <r>
          <rPr>
            <sz val="8"/>
            <color indexed="81"/>
            <rFont val="Tahoma"/>
          </rPr>
          <t xml:space="preserve">
Various  (4,769)</t>
        </r>
      </text>
    </comment>
    <comment ref="K16" authorId="0" shapeId="0">
      <text>
        <r>
          <rPr>
            <b/>
            <sz val="8"/>
            <color indexed="81"/>
            <rFont val="Tahoma"/>
          </rPr>
          <t>csprowl:</t>
        </r>
        <r>
          <rPr>
            <sz val="8"/>
            <color indexed="81"/>
            <rFont val="Tahoma"/>
            <family val="2"/>
          </rPr>
          <t xml:space="preserve">
various unidentified                     (4,326)</t>
        </r>
      </text>
    </comment>
    <comment ref="L16" authorId="0" shapeId="0">
      <text>
        <r>
          <rPr>
            <b/>
            <sz val="8"/>
            <color indexed="81"/>
            <rFont val="Tahoma"/>
          </rPr>
          <t>csprowl:</t>
        </r>
        <r>
          <rPr>
            <sz val="8"/>
            <color indexed="81"/>
            <rFont val="Tahoma"/>
          </rPr>
          <t xml:space="preserve">
various (6,206)</t>
        </r>
      </text>
    </comment>
    <comment ref="O16" authorId="0" shapeId="0">
      <text>
        <r>
          <rPr>
            <b/>
            <sz val="8"/>
            <color indexed="81"/>
            <rFont val="Tahoma"/>
          </rPr>
          <t>csprowl:</t>
        </r>
        <r>
          <rPr>
            <sz val="8"/>
            <color indexed="81"/>
            <rFont val="Tahoma"/>
          </rPr>
          <t xml:space="preserve">
PEPL commodity pma
various unidentified
</t>
        </r>
      </text>
    </comment>
    <comment ref="Q16" authorId="0" shapeId="0">
      <text>
        <r>
          <rPr>
            <b/>
            <sz val="8"/>
            <color indexed="81"/>
            <rFont val="Tahoma"/>
          </rPr>
          <t>csprowl:</t>
        </r>
        <r>
          <rPr>
            <sz val="8"/>
            <color indexed="81"/>
            <rFont val="Tahoma"/>
          </rPr>
          <t xml:space="preserve">
Reliant dmd reimb 32,263</t>
        </r>
      </text>
    </comment>
    <comment ref="S16"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commodity flashed revenue rather than expense  398,866
Nexen Petroleum purchase                                     (74,990) S#511916
Proliance sale        UA4                                             27,880  S#515154</t>
        </r>
      </text>
    </comment>
    <comment ref="T16" authorId="0" shapeId="0">
      <text>
        <r>
          <rPr>
            <b/>
            <sz val="8"/>
            <color indexed="81"/>
            <rFont val="Tahoma"/>
          </rPr>
          <t>csprowl:</t>
        </r>
        <r>
          <rPr>
            <sz val="8"/>
            <color indexed="81"/>
            <rFont val="Tahoma"/>
          </rPr>
          <t xml:space="preserve">
Enron Canada buy      74,166.50
after reclass from AEC
Enron Canada sale      56,245.89
El Paso buy                  89,521.85
Peoples buy                 62,000
Sceptre buy S459229 (62,611)</t>
        </r>
      </text>
    </comment>
    <comment ref="Q19" authorId="0" shapeId="0">
      <text>
        <r>
          <rPr>
            <b/>
            <sz val="8"/>
            <color indexed="81"/>
            <rFont val="Tahoma"/>
          </rPr>
          <t>csprowl:</t>
        </r>
        <r>
          <rPr>
            <sz val="8"/>
            <color indexed="81"/>
            <rFont val="Tahoma"/>
          </rPr>
          <t xml:space="preserve">
Fred Variance    ( 3,520,458)
LT Transport           378,664
Less liq reclassed to cover variances:
NO2838.1 H&amp;P     (392,150)
NB4325.4 WPS      571,299
NB4304.1 EMW     192,125.60
ND2551.4 EMW     573,360.75
NB4011.1 EMW     577,557.90
ND2551.2 EMW  1,366,058.28
Q40157.1 ??          327,599.98 02/15 Love says EMW   
E85005.K Thermo  136,472.76 02/15 Love says Denver
</t>
        </r>
        <r>
          <rPr>
            <sz val="8"/>
            <color indexed="10"/>
            <rFont val="Tahoma"/>
            <family val="2"/>
          </rPr>
          <t xml:space="preserve">The primary thing left is:
NY6237.1 ??            200,880.00 2/15 Love says ck in flash not actual emailed Jim Little 02/16
 </t>
        </r>
      </text>
    </comment>
    <comment ref="S19" authorId="0" shapeId="0">
      <text>
        <r>
          <rPr>
            <b/>
            <sz val="8"/>
            <color indexed="81"/>
            <rFont val="Tahoma"/>
          </rPr>
          <t>csprowl:</t>
        </r>
        <r>
          <rPr>
            <sz val="8"/>
            <color indexed="81"/>
            <rFont val="Tahoma"/>
          </rPr>
          <t xml:space="preserve">
In Actuals not flash: 4,755,040
Less reclass to phy  (4,140,628)           614,412
  </t>
        </r>
        <r>
          <rPr>
            <sz val="8"/>
            <color indexed="10"/>
            <rFont val="Tahoma"/>
            <family val="2"/>
          </rPr>
          <t xml:space="preserve">mainly NV8650.4        820,795
             Transport         92,350
             E22563.8      (281,133) 
</t>
        </r>
        <r>
          <rPr>
            <sz val="8"/>
            <color indexed="81"/>
            <rFont val="Tahoma"/>
            <family val="2"/>
          </rPr>
          <t>Discrepancy between flash and actual:</t>
        </r>
        <r>
          <rPr>
            <sz val="8"/>
            <color indexed="10"/>
            <rFont val="Tahoma"/>
            <family val="2"/>
          </rPr>
          <t xml:space="preserve">
           NV8650.5         (57,369.73)     </t>
        </r>
        <r>
          <rPr>
            <sz val="8"/>
            <color indexed="81"/>
            <rFont val="Tahoma"/>
            <family val="2"/>
          </rPr>
          <t xml:space="preserve">  (</t>
        </r>
        <r>
          <rPr>
            <sz val="8"/>
            <color indexed="10"/>
            <rFont val="Tahoma"/>
            <family val="2"/>
          </rPr>
          <t xml:space="preserve"> </t>
        </r>
        <r>
          <rPr>
            <sz val="8"/>
            <color indexed="81"/>
            <rFont val="Tahoma"/>
            <family val="2"/>
          </rPr>
          <t>57,370)
Discrepancies between actuals/flash   (503,809)
Total Variance                                       53,234</t>
        </r>
      </text>
    </comment>
    <comment ref="T19" authorId="0" shapeId="0">
      <text>
        <r>
          <rPr>
            <b/>
            <sz val="8"/>
            <color indexed="81"/>
            <rFont val="Tahoma"/>
          </rPr>
          <t>csprowl:</t>
        </r>
        <r>
          <rPr>
            <sz val="8"/>
            <color indexed="81"/>
            <rFont val="Tahoma"/>
          </rPr>
          <t xml:space="preserve">
Discrepancies between OA Flash and Details    483,934
In Actuals Not Flash:
Transport (1,234,271)
NG9514.3    (674,946)
NJ9516.2    (671,321)
NW7322.3    (53,999)
NW0661.2          (550)
QD3093.4          (430) 
QD3093.2       22,660
NW7322.4      53,999
QF1024.2     189,921
QH8834.3     674,946
Subtotal                                                        (1,693,991)
In both Actuals and Flash    E22563.8                   7,112
Feb PMA                                                          (507,763)
Total                                                             (1,710,709)
</t>
        </r>
      </text>
    </comment>
    <comment ref="U21" authorId="0" shapeId="0">
      <text>
        <r>
          <rPr>
            <b/>
            <sz val="8"/>
            <color indexed="81"/>
            <rFont val="Tahoma"/>
          </rPr>
          <t>csprowl:</t>
        </r>
        <r>
          <rPr>
            <sz val="8"/>
            <color indexed="81"/>
            <rFont val="Tahoma"/>
          </rPr>
          <t xml:space="preserve">
check page of Jims OAs</t>
        </r>
      </text>
    </comment>
    <comment ref="S23" authorId="0" shapeId="0">
      <text>
        <r>
          <rPr>
            <b/>
            <sz val="8"/>
            <color indexed="81"/>
            <rFont val="Tahoma"/>
          </rPr>
          <t>csprowl:</t>
        </r>
        <r>
          <rPr>
            <sz val="8"/>
            <color indexed="81"/>
            <rFont val="Tahoma"/>
          </rPr>
          <t xml:space="preserve">
flashed 227,437 demand reimbursements
booked (221,250) 
reclass 163,576.97 to Ontario because it was flashed in error - taken in 03/01 GL
</t>
        </r>
        <r>
          <rPr>
            <sz val="8"/>
            <color indexed="10"/>
            <rFont val="Tahoma"/>
            <family val="2"/>
          </rPr>
          <t xml:space="preserve">what's left here is:
221,250 S#384296  per Natalie 04/04 S#384296"pysical options w/options"
                compoundied w/a problem w/a gas accounting manual entry
  44,640 Flash-Related to AEC producer netback per Natlie 04/03
  19,220 flash Natalie looking into who should be reimbursing 04/04
 </t>
        </r>
      </text>
    </comment>
    <comment ref="T23" authorId="0" shapeId="0">
      <text>
        <r>
          <rPr>
            <b/>
            <sz val="8"/>
            <color indexed="81"/>
            <rFont val="Tahoma"/>
          </rPr>
          <t>csprowl:</t>
        </r>
        <r>
          <rPr>
            <sz val="8"/>
            <color indexed="81"/>
            <rFont val="Tahoma"/>
          </rPr>
          <t xml:space="preserve">
44,640 flash related to AEC Per Natalie Baker 04/03 Producer Netback will reinput Sitara ticket
19,220 flash - Natalie looking into who should reimburse
13,207 included in this calculation in error - this is Reliant reimbursed from Eastment - will clear this out with 03/01 GL</t>
        </r>
      </text>
    </comment>
    <comment ref="S24" authorId="0" shapeId="0">
      <text>
        <r>
          <rPr>
            <b/>
            <sz val="8"/>
            <color indexed="81"/>
            <rFont val="Tahoma"/>
          </rPr>
          <t xml:space="preserve">csprowl:
Forms with Economics
</t>
        </r>
        <r>
          <rPr>
            <sz val="8"/>
            <color indexed="81"/>
            <rFont val="Tahoma"/>
            <family val="2"/>
          </rPr>
          <t>Startech buy       363,208</t>
        </r>
        <r>
          <rPr>
            <b/>
            <sz val="8"/>
            <color indexed="81"/>
            <rFont val="Tahoma"/>
          </rPr>
          <t xml:space="preserve">
Other issues:</t>
        </r>
        <r>
          <rPr>
            <sz val="8"/>
            <color indexed="81"/>
            <rFont val="Tahoma"/>
          </rPr>
          <t xml:space="preserve">
EMW                    501,800   liquidation issue
WPSbuy              283,901  form doesn't tie to this because of a PMA in 02/01 GL so this needs to go back to Settlements
NNG buy              23,129 form to eco 04/19
</t>
        </r>
      </text>
    </comment>
    <comment ref="R25" authorId="0" shapeId="0">
      <text>
        <r>
          <rPr>
            <b/>
            <sz val="8"/>
            <color indexed="81"/>
            <rFont val="Tahoma"/>
          </rPr>
          <t>csprowl:</t>
        </r>
        <r>
          <rPr>
            <sz val="8"/>
            <color indexed="81"/>
            <rFont val="Tahoma"/>
          </rPr>
          <t xml:space="preserve">
Transcanada Energy Marketing      60,332.48
Utilicorp purchase S#579153          51,000
Utilicorp purchase S#579158          66,000   </t>
        </r>
      </text>
    </comment>
    <comment ref="S25" authorId="0" shapeId="0">
      <text>
        <r>
          <rPr>
            <b/>
            <sz val="8"/>
            <color indexed="81"/>
            <rFont val="Tahoma"/>
          </rPr>
          <t>csprowl:</t>
        </r>
        <r>
          <rPr>
            <sz val="8"/>
            <color indexed="81"/>
            <rFont val="Tahoma"/>
          </rPr>
          <t xml:space="preserve">
Consumers Energy buy QF0789.5  (72,586)
ECS buy EE9092.6                           64,269
Kaztex buy NR7689.2                    387,655
Reliant QI7044.1                            (222,122) 
Union buy QE5974.1                      (235,000) S#517182 
</t>
        </r>
      </text>
    </comment>
    <comment ref="T25" authorId="0" shapeId="0">
      <text>
        <r>
          <rPr>
            <b/>
            <sz val="8"/>
            <color indexed="81"/>
            <rFont val="Tahoma"/>
          </rPr>
          <t>csprowl:</t>
        </r>
        <r>
          <rPr>
            <sz val="8"/>
            <color indexed="81"/>
            <rFont val="Tahoma"/>
          </rPr>
          <t xml:space="preserve">
Crestar     EC7377.0   (46,785.18)    since been reclassed to Ontario
ECS           EE9092.6  114,728.40
Marathon QH8672.1    58,900
Oneok      EF2667.3  (153,317) Jim Little manual adj to liq file
Ranger    N95094.2    65,100
Reliant     QI7044.2  370,896.47
NNG         QN8046.2 488,749.99  from West
NNG         QO0171.2 488,749.99 from West</t>
        </r>
      </text>
    </comment>
    <comment ref="T30" authorId="0" shapeId="0">
      <text>
        <r>
          <rPr>
            <b/>
            <sz val="8"/>
            <color indexed="81"/>
            <rFont val="Tahoma"/>
          </rPr>
          <t>csprowl:</t>
        </r>
        <r>
          <rPr>
            <sz val="8"/>
            <color indexed="81"/>
            <rFont val="Tahoma"/>
          </rPr>
          <t xml:space="preserve">
form from settlements 04/17-expected PMA didn't match March PMA report - Mary reworking form.</t>
        </r>
      </text>
    </comment>
    <comment ref="S36" authorId="0" shapeId="0">
      <text>
        <r>
          <rPr>
            <b/>
            <sz val="8"/>
            <color indexed="81"/>
            <rFont val="Tahoma"/>
          </rPr>
          <t>csprowl:</t>
        </r>
        <r>
          <rPr>
            <sz val="8"/>
            <color indexed="81"/>
            <rFont val="Tahoma"/>
          </rPr>
          <t xml:space="preserve">
form returned to settlements 02/15</t>
        </r>
      </text>
    </comment>
    <comment ref="S37" authorId="0" shapeId="0">
      <text>
        <r>
          <rPr>
            <b/>
            <sz val="8"/>
            <color indexed="81"/>
            <rFont val="Tahoma"/>
          </rPr>
          <t>csprowl:</t>
        </r>
        <r>
          <rPr>
            <sz val="8"/>
            <color indexed="81"/>
            <rFont val="Tahoma"/>
          </rPr>
          <t xml:space="preserve">
reclassing liquidation to purchase created a new open item.  Support delivered 03/05
QH8834.2                421,600
S579153&amp;579158    120,900
421,600 GOES TO DEAL IN JANUARY PER OA FORM.  SUPPORT FOR BOTH PIECES TO ECONOMICS 03/16</t>
        </r>
      </text>
    </comment>
    <comment ref="R38" authorId="0" shapeId="0">
      <text>
        <r>
          <rPr>
            <b/>
            <sz val="8"/>
            <color indexed="81"/>
            <rFont val="Tahoma"/>
          </rPr>
          <t>csprowl:</t>
        </r>
        <r>
          <rPr>
            <sz val="8"/>
            <color indexed="81"/>
            <rFont val="Tahoma"/>
          </rPr>
          <t xml:space="preserve">
support to settlements 03/05</t>
        </r>
      </text>
    </comment>
    <comment ref="Q39" authorId="0" shapeId="0">
      <text>
        <r>
          <rPr>
            <b/>
            <sz val="8"/>
            <color indexed="81"/>
            <rFont val="Tahoma"/>
          </rPr>
          <t>csprowl:</t>
        </r>
        <r>
          <rPr>
            <sz val="8"/>
            <color indexed="81"/>
            <rFont val="Tahoma"/>
          </rPr>
          <t xml:space="preserve">
Ky severance  tx57,068
email to Jim Pond 04/16
NewPower sales 92,753 form to economics 04/16 04/17 missing liquidation N99383.3 email J Little
</t>
        </r>
      </text>
    </comment>
    <comment ref="R39" authorId="0" shapeId="0">
      <text>
        <r>
          <rPr>
            <b/>
            <sz val="8"/>
            <color indexed="81"/>
            <rFont val="Tahoma"/>
          </rPr>
          <t>csprowl:</t>
        </r>
        <r>
          <rPr>
            <sz val="8"/>
            <color indexed="81"/>
            <rFont val="Tahoma"/>
            <family val="2"/>
          </rPr>
          <t xml:space="preserve">
Ky severance tx    85,027 entry from Barbara Hall/Tax email to Jim Pond 04/16
</t>
        </r>
        <r>
          <rPr>
            <sz val="8"/>
            <color indexed="81"/>
            <rFont val="Tahoma"/>
          </rPr>
          <t xml:space="preserve">
Beldon&amp;Blake pur  (22,039) original variance was missing liquidation.  01/01 pma caused additional variance</t>
        </r>
      </text>
    </comment>
    <comment ref="S39" authorId="0" shapeId="0">
      <text>
        <r>
          <rPr>
            <b/>
            <sz val="8"/>
            <color indexed="81"/>
            <rFont val="Tahoma"/>
          </rPr>
          <t>csprowl:</t>
        </r>
        <r>
          <rPr>
            <sz val="8"/>
            <color indexed="81"/>
            <rFont val="Tahoma"/>
          </rPr>
          <t xml:space="preserve">
coastal merchant sale  41,950
Coenergy trade buy    56,206
Williams buy                 63,140
WP&amp;L sale                   97,764 
03/01 PMAs
Kaztex sales             (25,514)
Oneok purchase         60,718
Scana sale                (68,324)
</t>
        </r>
      </text>
    </comment>
    <comment ref="T39" authorId="0" shapeId="0">
      <text>
        <r>
          <rPr>
            <b/>
            <sz val="8"/>
            <color indexed="81"/>
            <rFont val="Tahoma"/>
          </rPr>
          <t>csprowl:</t>
        </r>
        <r>
          <rPr>
            <sz val="8"/>
            <color indexed="81"/>
            <rFont val="Tahoma"/>
          </rPr>
          <t xml:space="preserve">
CES-Midcon sale           41,954      03/01PMA 
Devon purchase          (67,902)
Devon sale                   87,093      03/01 PMA
NNG purchase              68,185
Occidental purchase   (82,060)     03/01 PMA
Reliant sales                (39,820) 
reclass made variance bigger
Union purchase            44,000
W&amp;T Offshore purch   (26,857)   03/01 PMA  </t>
        </r>
      </text>
    </comment>
    <comment ref="Q43" authorId="0" shapeId="0">
      <text>
        <r>
          <rPr>
            <b/>
            <sz val="8"/>
            <color indexed="81"/>
            <rFont val="Tahoma"/>
          </rPr>
          <t>csprowl:</t>
        </r>
        <r>
          <rPr>
            <sz val="8"/>
            <color indexed="81"/>
            <rFont val="Tahoma"/>
          </rPr>
          <t xml:space="preserve">
ANR commodity pma 12/00   23,025
Midwestern commodity            9,718
NNG commodity/sap              46.014
Trunkline commodity            (21,966)
UT commodity                         7,742
Michcon                                 32,182</t>
        </r>
      </text>
    </comment>
    <comment ref="R43" authorId="0" shapeId="0">
      <text>
        <r>
          <rPr>
            <b/>
            <sz val="8"/>
            <color indexed="81"/>
            <rFont val="Tahoma"/>
          </rPr>
          <t>csprowl:</t>
        </r>
        <r>
          <rPr>
            <sz val="8"/>
            <color indexed="81"/>
            <rFont val="Tahoma"/>
          </rPr>
          <t xml:space="preserve">
Commodity
ANR PMA in SAP           -39,777
GRLK                                1,185
NNG  SAP                      73,411
Transok  01/01 GL        32,233 
Demand
ANR                                -7,627
GRLK                              92,126
GRLK SAP                      -72,625
NNG SAP                       -39,000
Trunk                            159,870
Dmd Reimb
NGPL                           106,714  </t>
        </r>
      </text>
    </comment>
    <comment ref="S43" authorId="0" shapeId="0">
      <text>
        <r>
          <rPr>
            <b/>
            <sz val="8"/>
            <color indexed="81"/>
            <rFont val="Tahoma"/>
          </rPr>
          <t>csprowl:</t>
        </r>
        <r>
          <rPr>
            <sz val="8"/>
            <color indexed="81"/>
            <rFont val="Tahoma"/>
          </rPr>
          <t xml:space="preserve">
Michcon com                                                                       66,562
ANR dmd                                                                           (24,306) 
form says PMA in 02/01 GL but I don't see it on line 25
Norther Border 03/01 commodity PMA                          (219,819)
NNG commodity 03/01 PMA                                              24,471</t>
        </r>
      </text>
    </comment>
    <comment ref="T43" authorId="0" shapeId="0">
      <text>
        <r>
          <rPr>
            <b/>
            <sz val="8"/>
            <color indexed="81"/>
            <rFont val="Tahoma"/>
          </rPr>
          <t>csprowl:</t>
        </r>
        <r>
          <rPr>
            <sz val="8"/>
            <color indexed="81"/>
            <rFont val="Tahoma"/>
          </rPr>
          <t xml:space="preserve">
Reliant Field com   (24,078) per form expecting pma
Trunkline comm      59,666   need form
GRLK Dmd           (781,950)  per form expecting pma
Trunk Dmd           101,185    need form</t>
        </r>
      </text>
    </comment>
    <comment ref="Q46" authorId="0" shapeId="0">
      <text>
        <r>
          <rPr>
            <b/>
            <sz val="8"/>
            <color indexed="81"/>
            <rFont val="Tahoma"/>
          </rPr>
          <t>csprowl:</t>
        </r>
        <r>
          <rPr>
            <sz val="8"/>
            <color indexed="81"/>
            <rFont val="Tahoma"/>
          </rPr>
          <t xml:space="preserve">
adjusted for NGPL liquidation reclass:
Q30444.1  1,042,885.70
Q30444.3     573,178.73
done in 01/01 GL</t>
        </r>
      </text>
    </comment>
    <comment ref="S46" authorId="0" shapeId="0">
      <text>
        <r>
          <rPr>
            <b/>
            <sz val="8"/>
            <color indexed="81"/>
            <rFont val="Tahoma"/>
          </rPr>
          <t>csprowl:</t>
        </r>
        <r>
          <rPr>
            <sz val="8"/>
            <color indexed="81"/>
            <rFont val="Tahoma"/>
          </rPr>
          <t xml:space="preserve">
Synthetic storage adjusted for liquidation reclasses:
NGPL buy N50101.9     2,285,438
NGPL buy N50101.A    3,488,892
NGPL buy QG2048.1         43,697
NGPL sale Q30444.1 (1,830,550) syn stg?
NGPL sale Q30444.J     (141,720)
NGPL sale QG2048.3    (177,150)
NGPL sale QH5538.1     (17,715)</t>
        </r>
      </text>
    </comment>
    <comment ref="Q59" authorId="0" shapeId="0">
      <text>
        <r>
          <rPr>
            <b/>
            <sz val="8"/>
            <color indexed="81"/>
            <rFont val="Tahoma"/>
          </rPr>
          <t>csprowl:</t>
        </r>
        <r>
          <rPr>
            <sz val="8"/>
            <color indexed="81"/>
            <rFont val="Tahoma"/>
          </rPr>
          <t xml:space="preserve">
Consumers   72,500
Relaint         37,271</t>
        </r>
      </text>
    </comment>
    <comment ref="S72" authorId="0" shapeId="0">
      <text>
        <r>
          <rPr>
            <b/>
            <sz val="8"/>
            <color indexed="81"/>
            <rFont val="Tahoma"/>
          </rPr>
          <t>csprowl:</t>
        </r>
        <r>
          <rPr>
            <sz val="8"/>
            <color indexed="81"/>
            <rFont val="Tahoma"/>
          </rPr>
          <t xml:space="preserve">
original volume 78,953
volume s/b        47,035
difference         31,918
times wacog         5.786
Per Melanie 04/19 this correction was made 04/18</t>
        </r>
      </text>
    </comment>
  </commentList>
</comments>
</file>

<file path=xl/sharedStrings.xml><?xml version="1.0" encoding="utf-8"?>
<sst xmlns="http://schemas.openxmlformats.org/spreadsheetml/2006/main" count="199" uniqueCount="104">
  <si>
    <t>Summary of Flash to Actual Variance</t>
  </si>
  <si>
    <t>Total</t>
  </si>
  <si>
    <t xml:space="preserve"> </t>
  </si>
  <si>
    <t>Economics</t>
  </si>
  <si>
    <t>Gas Accounting</t>
  </si>
  <si>
    <t>Settlements</t>
  </si>
  <si>
    <t>Volume Management</t>
  </si>
  <si>
    <t>Total Identified Flash to Actual Variances</t>
  </si>
  <si>
    <t>OA Group Not Analyzed</t>
  </si>
  <si>
    <t>Unexplained Variance</t>
  </si>
  <si>
    <t xml:space="preserve">Outstanding Variances </t>
  </si>
  <si>
    <t>Enron North America</t>
  </si>
  <si>
    <t xml:space="preserve">Total Flash to Actual Variance </t>
  </si>
  <si>
    <t>Storage variance/Synthetic Storage</t>
  </si>
  <si>
    <t>0001</t>
  </si>
  <si>
    <t>0002</t>
  </si>
  <si>
    <t>0003</t>
  </si>
  <si>
    <t>Financial Liquidations - Gas Accounting to reconcile</t>
  </si>
  <si>
    <t>0004</t>
  </si>
  <si>
    <t>Financial Entries - Miscellaneous OA schedule exceeds last day</t>
  </si>
  <si>
    <t>Financial Liquidations - Accounting entry more than Fred file</t>
  </si>
  <si>
    <t>Financial Liquidations - Reclass N70012F</t>
  </si>
  <si>
    <t>0005</t>
  </si>
  <si>
    <t>CENTRAL Desk</t>
  </si>
  <si>
    <t>(income)/Expense to Desk</t>
  </si>
  <si>
    <t>Financial Liquidations - variances</t>
  </si>
  <si>
    <t>0006</t>
  </si>
  <si>
    <t>Demand and commodity and demand reimbursement</t>
  </si>
  <si>
    <t>Fuel</t>
  </si>
  <si>
    <t>Broker fee variance</t>
  </si>
  <si>
    <t>0007</t>
  </si>
  <si>
    <t>Miscellaneous variances</t>
  </si>
  <si>
    <t>Volume</t>
  </si>
  <si>
    <t>Amount.</t>
  </si>
  <si>
    <t>0008</t>
  </si>
  <si>
    <t>Lone liquidations</t>
  </si>
  <si>
    <t>0009</t>
  </si>
  <si>
    <t>0010</t>
  </si>
  <si>
    <t>HPL Purchase and sales</t>
  </si>
  <si>
    <t>Economics - agreed upon not yet taken</t>
  </si>
  <si>
    <t>0011</t>
  </si>
  <si>
    <t xml:space="preserve"> Pmas</t>
  </si>
  <si>
    <t>Missing liquidations Q08792.2 (Consumers) and Q08792.2 Reliant</t>
  </si>
  <si>
    <t>Sitara</t>
  </si>
  <si>
    <t>total variance</t>
  </si>
  <si>
    <t>0012</t>
  </si>
  <si>
    <t>Utilicorp purchase</t>
  </si>
  <si>
    <t>Missing liquidations Q64191.3, NN2218.2, N29115.1, NL4737.1, Q64459.3, Q56717.2</t>
  </si>
  <si>
    <t>Pre 2000</t>
  </si>
  <si>
    <t>0101</t>
  </si>
  <si>
    <t>Missing liquidation NI3428.4 WPS energy Services November purchase</t>
  </si>
  <si>
    <t>Wisconsin Power and Light purchase PMA in 01/01 GL</t>
  </si>
  <si>
    <t>Various purchase and sales forms under review</t>
  </si>
  <si>
    <t>Bridgeline purchase disconnect between Unify and SAP</t>
  </si>
  <si>
    <t>UA4</t>
  </si>
  <si>
    <t>FT-Central</t>
  </si>
  <si>
    <t>Reclass sales liquidations to/from Ontario</t>
  </si>
  <si>
    <t>Spinaker purchase</t>
  </si>
  <si>
    <t>0102</t>
  </si>
  <si>
    <t>CES-Devon</t>
  </si>
  <si>
    <t>Demand Reimbursement related to Enron Canada</t>
  </si>
  <si>
    <t>Correction needed to interdesk purchase related HPL</t>
  </si>
  <si>
    <t>Reclasses from Ontario</t>
  </si>
  <si>
    <t>Reclasses from Peoples</t>
  </si>
  <si>
    <t>Reclasses from West</t>
  </si>
  <si>
    <t>Reclasses to West</t>
  </si>
  <si>
    <t xml:space="preserve">Transport Demand Reimbursement -NGPL </t>
  </si>
  <si>
    <t>Missing liquidation Q12679.1 Metropolitan Utilities District purchase</t>
  </si>
  <si>
    <t>Sceptre liquidation N76448.5 verify calculation</t>
  </si>
  <si>
    <t>stated as of  03/31/01 GL</t>
  </si>
  <si>
    <t>0103</t>
  </si>
  <si>
    <r>
      <t xml:space="preserve">Proposed Adjustments to NGP&amp;L, </t>
    </r>
    <r>
      <rPr>
        <b/>
        <sz val="9"/>
        <color indexed="48"/>
        <rFont val="Arial"/>
        <family val="2"/>
      </rPr>
      <t xml:space="preserve"> 04/30//01</t>
    </r>
  </si>
  <si>
    <t>EMW Liquidation issues  Q57171.2 missing price and basis, Q12891.2 missing basis, QF1024.2 missing from file</t>
  </si>
  <si>
    <t>Missing liquidation N99383.3 for The New Power Company sales variance</t>
  </si>
  <si>
    <t>Missing NU3490.A Wisconsin Power and Light sales variance</t>
  </si>
  <si>
    <t>Financial Liquidation expected PMA</t>
  </si>
  <si>
    <t>Interdesk variance</t>
  </si>
  <si>
    <t>Prior Month Mark to Market</t>
  </si>
  <si>
    <t>EMW Liquidation missing basis piece of QI8933.2</t>
  </si>
  <si>
    <t>Missing QM1278.1 Reliant purchase variance</t>
  </si>
  <si>
    <t>all liquidations need to break out</t>
  </si>
  <si>
    <t>ERAC purchase expected entry</t>
  </si>
  <si>
    <t>check against wacog maybe a take to the desk</t>
  </si>
  <si>
    <t>DPR vs Consolidated flash variance</t>
  </si>
  <si>
    <t>Demand reimbursement issue between 08/00 and 12/00</t>
  </si>
  <si>
    <t>Clinton Energy 03/01  GL Sales PMA</t>
  </si>
  <si>
    <t>Occidental 03/01 GL Purchase PMA</t>
  </si>
  <si>
    <t>Outstanding Variances, resolution expected 04/01 GL</t>
  </si>
  <si>
    <t>Northern Natural volume correction</t>
  </si>
  <si>
    <t>1QTR2000</t>
  </si>
  <si>
    <t>2QTR2000</t>
  </si>
  <si>
    <t>3QTR 2000</t>
  </si>
  <si>
    <t>Financial Liquidation  PMA need taggs - Jim will get for me per telecon 04/26</t>
  </si>
  <si>
    <t>Agave purchase</t>
  </si>
  <si>
    <t>El Paso Merchant Energy purchase</t>
  </si>
  <si>
    <t>OXY USA purchase</t>
  </si>
  <si>
    <t>Crosstimbers purchase</t>
  </si>
  <si>
    <t>Crosstimbers sale</t>
  </si>
  <si>
    <t>Wisconsin Power and Light sale</t>
  </si>
  <si>
    <t>Riceland Petroleum</t>
  </si>
  <si>
    <t>Demand variance</t>
  </si>
  <si>
    <t>look at this</t>
  </si>
  <si>
    <t>Missing N50101.F</t>
  </si>
  <si>
    <t>Kentucky Serverance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</si>
</sst>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4" formatCode="_(&quot;$&quot;* #,##0.00_);_(&quot;$&quot;* \(#,##0.00\);_(&quot;$&quot;* &quot;-&quot;??_);_(@_)"/>
    <numFmt numFmtId="43" formatCode="_(* #,##0.00_);_(* \(#,##0.00\);_(* &quot;-&quot;??_);_(@_)"/>
    <numFmt numFmtId="164" formatCode="_(* #,##0_);_(* \(#,##0\);_(* &quot;-&quot;??_);_(@_)"/>
    <numFmt numFmtId="165" formatCode="_(&quot;$&quot;* #,##0_);_(&quot;$&quot;* \(#,##0\);_(&quot;$&quot;* &quot;-&quot;??_);_(@_)"/>
    <numFmt numFmtId="169" formatCode="_(* #,##0.000_);_(* \(#,##0.000\);_(* &quot;-&quot;??_);_(@_)"/>
    <numFmt numFmtId="171" formatCode="_(* #,##0.0000_);_(* \(#,##0.0000\);_(* &quot;-&quot;??_);_(@_)"/>
  </numFmts>
  <fonts count="25" x14ac:knownFonts="1">
    <font>
      <sz val="8"/>
      <name val="Arial"/>
    </font>
    <font>
      <sz val="8"/>
      <name val="Arial"/>
    </font>
    <font>
      <b/>
      <sz val="10"/>
      <name val="Arial"/>
      <family val="2"/>
    </font>
    <font>
      <b/>
      <sz val="10"/>
      <color indexed="48"/>
      <name val="Arial"/>
      <family val="2"/>
    </font>
    <font>
      <b/>
      <sz val="9"/>
      <name val="Arial"/>
      <family val="2"/>
    </font>
    <font>
      <b/>
      <sz val="6"/>
      <name val="Arial"/>
      <family val="2"/>
    </font>
    <font>
      <b/>
      <sz val="8"/>
      <name val="Arial"/>
      <family val="2"/>
    </font>
    <font>
      <b/>
      <sz val="9"/>
      <color indexed="48"/>
      <name val="Arial"/>
      <family val="2"/>
    </font>
    <font>
      <b/>
      <u/>
      <sz val="8"/>
      <name val="Arial"/>
      <family val="2"/>
    </font>
    <font>
      <sz val="8"/>
      <color indexed="10"/>
      <name val="Arial"/>
      <family val="2"/>
    </font>
    <font>
      <b/>
      <sz val="12"/>
      <name val="Arial"/>
      <family val="2"/>
    </font>
    <font>
      <sz val="8"/>
      <name val="Arial"/>
      <family val="2"/>
    </font>
    <font>
      <sz val="9"/>
      <name val="Arial"/>
      <family val="2"/>
    </font>
    <font>
      <b/>
      <sz val="10"/>
      <color indexed="48"/>
      <name val="Arial"/>
    </font>
    <font>
      <b/>
      <sz val="8"/>
      <name val="Arial"/>
    </font>
    <font>
      <sz val="8"/>
      <color indexed="81"/>
      <name val="Tahoma"/>
    </font>
    <font>
      <b/>
      <sz val="8"/>
      <color indexed="81"/>
      <name val="Tahoma"/>
    </font>
    <font>
      <b/>
      <sz val="11"/>
      <name val="Arial"/>
      <family val="2"/>
    </font>
    <font>
      <sz val="8"/>
      <color indexed="81"/>
      <name val="Tahoma"/>
      <family val="2"/>
    </font>
    <font>
      <sz val="8"/>
      <color indexed="12"/>
      <name val="Arial"/>
      <family val="2"/>
    </font>
    <font>
      <sz val="8"/>
      <color indexed="10"/>
      <name val="Tahoma"/>
      <family val="2"/>
    </font>
    <font>
      <sz val="8"/>
      <color indexed="14"/>
      <name val="Arial"/>
      <family val="2"/>
    </font>
    <font>
      <b/>
      <sz val="8"/>
      <color indexed="12"/>
      <name val="Arial"/>
      <family val="2"/>
    </font>
    <font>
      <b/>
      <sz val="8"/>
      <color indexed="10"/>
      <name val="Arial"/>
      <family val="2"/>
    </font>
    <font>
      <b/>
      <sz val="8"/>
      <color indexed="14"/>
      <name val="Arial"/>
      <family val="2"/>
    </font>
  </fonts>
  <fills count="2">
    <fill>
      <patternFill patternType="none"/>
    </fill>
    <fill>
      <patternFill patternType="gray125"/>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3">
    <xf numFmtId="0" fontId="0" fillId="0" borderId="0"/>
    <xf numFmtId="43" fontId="1" fillId="0" borderId="0" applyFont="0" applyFill="0" applyBorder="0" applyAlignment="0" applyProtection="0"/>
    <xf numFmtId="44" fontId="1" fillId="0" borderId="0" applyFont="0" applyFill="0" applyBorder="0" applyAlignment="0" applyProtection="0"/>
  </cellStyleXfs>
  <cellXfs count="80">
    <xf numFmtId="0" fontId="0" fillId="0" borderId="0" xfId="0"/>
    <xf numFmtId="164" fontId="2" fillId="0" borderId="0" xfId="1" applyNumberFormat="1" applyFont="1" applyFill="1" applyAlignment="1">
      <alignment horizontal="center"/>
    </xf>
    <xf numFmtId="164" fontId="2" fillId="0" borderId="0" xfId="1" applyNumberFormat="1" applyFont="1" applyFill="1" applyBorder="1" applyAlignment="1">
      <alignment horizontal="center"/>
    </xf>
    <xf numFmtId="0" fontId="6" fillId="0" borderId="0" xfId="0" applyFont="1" applyFill="1"/>
    <xf numFmtId="0" fontId="2" fillId="0" borderId="0" xfId="0" applyFont="1" applyFill="1"/>
    <xf numFmtId="0" fontId="11" fillId="0" borderId="0" xfId="0" applyFont="1"/>
    <xf numFmtId="164" fontId="11" fillId="0" borderId="0" xfId="1" applyNumberFormat="1" applyFont="1"/>
    <xf numFmtId="164" fontId="11" fillId="0" borderId="0" xfId="1" applyNumberFormat="1" applyFont="1" applyBorder="1"/>
    <xf numFmtId="164" fontId="11" fillId="0" borderId="1" xfId="1" applyNumberFormat="1" applyFont="1" applyBorder="1"/>
    <xf numFmtId="164" fontId="6" fillId="0" borderId="0" xfId="1" applyNumberFormat="1" applyFont="1" applyFill="1" applyBorder="1"/>
    <xf numFmtId="164" fontId="1" fillId="0" borderId="0" xfId="1" applyNumberFormat="1" applyFont="1"/>
    <xf numFmtId="164" fontId="1" fillId="0" borderId="1" xfId="1" applyNumberFormat="1" applyFont="1" applyBorder="1"/>
    <xf numFmtId="164" fontId="1" fillId="0" borderId="0" xfId="1" applyNumberFormat="1" applyBorder="1"/>
    <xf numFmtId="164" fontId="3" fillId="0" borderId="0" xfId="1" applyNumberFormat="1" applyFont="1" applyFill="1" applyBorder="1"/>
    <xf numFmtId="164" fontId="6" fillId="0" borderId="0" xfId="1" applyNumberFormat="1" applyFont="1"/>
    <xf numFmtId="3" fontId="2" fillId="0" borderId="0" xfId="1" applyNumberFormat="1" applyFont="1" applyFill="1" applyAlignment="1">
      <alignment horizontal="center"/>
    </xf>
    <xf numFmtId="3" fontId="2" fillId="0" borderId="0" xfId="1" applyNumberFormat="1" applyFont="1" applyFill="1" applyBorder="1" applyAlignment="1">
      <alignment horizontal="center"/>
    </xf>
    <xf numFmtId="3" fontId="11" fillId="0" borderId="0" xfId="0" applyNumberFormat="1" applyFont="1"/>
    <xf numFmtId="3" fontId="6" fillId="0" borderId="0" xfId="0" applyNumberFormat="1" applyFont="1" applyFill="1"/>
    <xf numFmtId="3" fontId="6" fillId="0" borderId="0" xfId="0" applyNumberFormat="1" applyFont="1" applyFill="1" applyBorder="1"/>
    <xf numFmtId="3" fontId="11" fillId="0" borderId="0" xfId="1" applyNumberFormat="1" applyFont="1"/>
    <xf numFmtId="3" fontId="11" fillId="0" borderId="0" xfId="1" applyNumberFormat="1" applyFont="1" applyBorder="1"/>
    <xf numFmtId="3" fontId="0" fillId="0" borderId="0" xfId="0" applyNumberFormat="1"/>
    <xf numFmtId="0" fontId="11" fillId="0" borderId="0" xfId="0" applyNumberFormat="1" applyFont="1"/>
    <xf numFmtId="0" fontId="5" fillId="0" borderId="1" xfId="0" applyNumberFormat="1" applyFont="1" applyBorder="1" applyAlignment="1">
      <alignment horizontal="center"/>
    </xf>
    <xf numFmtId="164" fontId="1" fillId="0" borderId="0" xfId="1" applyNumberFormat="1" applyFont="1" applyBorder="1"/>
    <xf numFmtId="165" fontId="13" fillId="0" borderId="0" xfId="2" applyNumberFormat="1" applyFont="1" applyFill="1"/>
    <xf numFmtId="164" fontId="2" fillId="0" borderId="0" xfId="1" applyNumberFormat="1" applyFont="1" applyFill="1"/>
    <xf numFmtId="164" fontId="2" fillId="0" borderId="0" xfId="1" applyNumberFormat="1" applyFont="1" applyFill="1" applyBorder="1"/>
    <xf numFmtId="164" fontId="6" fillId="0" borderId="0" xfId="1" applyNumberFormat="1" applyFont="1" applyFill="1"/>
    <xf numFmtId="164" fontId="4" fillId="0" borderId="0" xfId="1" applyNumberFormat="1" applyFont="1"/>
    <xf numFmtId="164" fontId="8" fillId="0" borderId="0" xfId="1" applyNumberFormat="1" applyFont="1" applyBorder="1"/>
    <xf numFmtId="164" fontId="12" fillId="0" borderId="0" xfId="1" applyNumberFormat="1" applyFont="1" applyBorder="1"/>
    <xf numFmtId="164" fontId="9" fillId="0" borderId="0" xfId="1" applyNumberFormat="1" applyFont="1" applyAlignment="1">
      <alignment horizontal="center"/>
    </xf>
    <xf numFmtId="164" fontId="6" fillId="0" borderId="2" xfId="1" applyNumberFormat="1" applyFont="1" applyBorder="1"/>
    <xf numFmtId="164" fontId="6" fillId="0" borderId="0" xfId="1" applyNumberFormat="1" applyFont="1" applyBorder="1"/>
    <xf numFmtId="164" fontId="1" fillId="0" borderId="0" xfId="1" applyNumberFormat="1"/>
    <xf numFmtId="43" fontId="11" fillId="0" borderId="0" xfId="1" applyFont="1"/>
    <xf numFmtId="3" fontId="11" fillId="0" borderId="1" xfId="0" applyNumberFormat="1" applyFont="1" applyBorder="1"/>
    <xf numFmtId="0" fontId="5" fillId="0" borderId="1" xfId="0" quotePrefix="1" applyNumberFormat="1" applyFont="1" applyBorder="1" applyAlignment="1">
      <alignment horizontal="center"/>
    </xf>
    <xf numFmtId="164" fontId="0" fillId="0" borderId="0" xfId="1" applyNumberFormat="1" applyFont="1"/>
    <xf numFmtId="3" fontId="14" fillId="0" borderId="0" xfId="0" applyNumberFormat="1" applyFont="1"/>
    <xf numFmtId="169" fontId="0" fillId="0" borderId="0" xfId="1" applyNumberFormat="1" applyFont="1"/>
    <xf numFmtId="164" fontId="1" fillId="0" borderId="0" xfId="1" applyNumberFormat="1" applyFont="1" applyFill="1"/>
    <xf numFmtId="164" fontId="0" fillId="0" borderId="0" xfId="1" applyNumberFormat="1" applyFont="1" applyFill="1"/>
    <xf numFmtId="164" fontId="1" fillId="0" borderId="1" xfId="1" applyNumberFormat="1" applyFont="1" applyFill="1" applyBorder="1"/>
    <xf numFmtId="164" fontId="11" fillId="0" borderId="0" xfId="1" applyNumberFormat="1" applyFont="1" applyFill="1"/>
    <xf numFmtId="164" fontId="11" fillId="0" borderId="0" xfId="0" applyNumberFormat="1" applyFont="1"/>
    <xf numFmtId="164" fontId="1" fillId="0" borderId="0" xfId="1" applyNumberFormat="1" applyFont="1" applyFill="1" applyBorder="1"/>
    <xf numFmtId="164" fontId="11" fillId="0" borderId="0" xfId="1" applyNumberFormat="1" applyFont="1" applyFill="1" applyBorder="1"/>
    <xf numFmtId="171" fontId="0" fillId="0" borderId="0" xfId="1" applyNumberFormat="1" applyFont="1"/>
    <xf numFmtId="164" fontId="11" fillId="0" borderId="0" xfId="0" applyNumberFormat="1" applyFont="1" applyBorder="1"/>
    <xf numFmtId="3" fontId="11" fillId="0" borderId="0" xfId="0" applyNumberFormat="1" applyFont="1" applyBorder="1"/>
    <xf numFmtId="165" fontId="2" fillId="0" borderId="0" xfId="0" applyNumberFormat="1" applyFont="1" applyFill="1"/>
    <xf numFmtId="164" fontId="11" fillId="0" borderId="0" xfId="1" applyNumberFormat="1" applyFont="1" applyBorder="1" applyAlignment="1">
      <alignment wrapText="1"/>
    </xf>
    <xf numFmtId="164" fontId="19" fillId="0" borderId="0" xfId="1" applyNumberFormat="1" applyFont="1" applyAlignment="1">
      <alignment horizontal="center"/>
    </xf>
    <xf numFmtId="165" fontId="6" fillId="0" borderId="0" xfId="0" applyNumberFormat="1" applyFont="1" applyFill="1"/>
    <xf numFmtId="164" fontId="11" fillId="0" borderId="0" xfId="1" applyNumberFormat="1" applyFont="1" applyBorder="1" applyAlignment="1"/>
    <xf numFmtId="0" fontId="5" fillId="0" borderId="1" xfId="0" applyNumberFormat="1" applyFont="1" applyBorder="1" applyAlignment="1"/>
    <xf numFmtId="164" fontId="12" fillId="0" borderId="1" xfId="1" applyNumberFormat="1" applyFont="1" applyBorder="1"/>
    <xf numFmtId="3" fontId="11" fillId="0" borderId="0" xfId="1" applyNumberFormat="1" applyFont="1" applyFill="1" applyBorder="1"/>
    <xf numFmtId="3" fontId="11" fillId="0" borderId="0" xfId="0" applyNumberFormat="1" applyFont="1" applyFill="1"/>
    <xf numFmtId="43" fontId="0" fillId="0" borderId="0" xfId="1" applyFont="1"/>
    <xf numFmtId="164" fontId="0" fillId="0" borderId="0" xfId="1" applyNumberFormat="1" applyFont="1" applyAlignment="1">
      <alignment horizontal="center"/>
    </xf>
    <xf numFmtId="171" fontId="0" fillId="0" borderId="0" xfId="1" applyNumberFormat="1" applyFont="1" applyFill="1"/>
    <xf numFmtId="164" fontId="1" fillId="0" borderId="0" xfId="1" applyNumberFormat="1" applyFill="1"/>
    <xf numFmtId="164" fontId="1" fillId="0" borderId="1" xfId="1" applyNumberFormat="1" applyFill="1" applyBorder="1"/>
    <xf numFmtId="164" fontId="17" fillId="0" borderId="0" xfId="1" applyNumberFormat="1" applyFont="1" applyAlignment="1">
      <alignment horizontal="center"/>
    </xf>
    <xf numFmtId="164" fontId="10" fillId="0" borderId="0" xfId="1" applyNumberFormat="1" applyFont="1" applyAlignment="1">
      <alignment horizontal="center"/>
    </xf>
    <xf numFmtId="164" fontId="9" fillId="0" borderId="0" xfId="1" applyNumberFormat="1" applyFont="1" applyBorder="1"/>
    <xf numFmtId="164" fontId="9" fillId="0" borderId="0" xfId="1" applyNumberFormat="1" applyFont="1" applyFill="1" applyBorder="1"/>
    <xf numFmtId="164" fontId="9" fillId="0" borderId="0" xfId="1" applyNumberFormat="1" applyFont="1"/>
    <xf numFmtId="164" fontId="21" fillId="0" borderId="0" xfId="1" applyNumberFormat="1" applyFont="1" applyBorder="1"/>
    <xf numFmtId="164" fontId="22" fillId="0" borderId="0" xfId="1" applyNumberFormat="1" applyFont="1"/>
    <xf numFmtId="164" fontId="22" fillId="0" borderId="0" xfId="1" applyNumberFormat="1" applyFont="1" applyBorder="1" applyAlignment="1">
      <alignment horizontal="center"/>
    </xf>
    <xf numFmtId="164" fontId="23" fillId="0" borderId="0" xfId="1" applyNumberFormat="1" applyFont="1" applyFill="1" applyBorder="1"/>
    <xf numFmtId="164" fontId="24" fillId="0" borderId="0" xfId="1" applyNumberFormat="1" applyFont="1" applyBorder="1"/>
    <xf numFmtId="164" fontId="22" fillId="0" borderId="1" xfId="1" applyNumberFormat="1" applyFont="1" applyBorder="1"/>
    <xf numFmtId="164" fontId="17" fillId="0" borderId="0" xfId="1" applyNumberFormat="1" applyFont="1" applyAlignment="1">
      <alignment horizontal="center"/>
    </xf>
    <xf numFmtId="164" fontId="10" fillId="0" borderId="0" xfId="1" applyNumberFormat="1" applyFont="1" applyAlignment="1">
      <alignment horizontal="center"/>
    </xf>
  </cellXfs>
  <cellStyles count="3">
    <cellStyle name="Comma" xfId="1" builtinId="3"/>
    <cellStyle name="Currency" xfId="2"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IJ281"/>
  <sheetViews>
    <sheetView tabSelected="1" workbookViewId="0">
      <pane xSplit="6" ySplit="7" topLeftCell="L8" activePane="bottomRight" state="frozen"/>
      <selection activeCell="V89" sqref="V89"/>
      <selection pane="topRight" activeCell="V89" sqref="V89"/>
      <selection pane="bottomLeft" activeCell="V89" sqref="V89"/>
      <selection pane="bottomRight" activeCell="P20" sqref="P20"/>
    </sheetView>
  </sheetViews>
  <sheetFormatPr defaultColWidth="9.28515625" defaultRowHeight="10.199999999999999" x14ac:dyDescent="0.2"/>
  <cols>
    <col min="1" max="1" width="3.140625" style="6" customWidth="1"/>
    <col min="2" max="2" width="5" style="6" customWidth="1"/>
    <col min="3" max="3" width="54.42578125" style="7" customWidth="1"/>
    <col min="4" max="4" width="6.42578125" style="6" customWidth="1"/>
    <col min="5" max="5" width="6.28515625" style="7" customWidth="1"/>
    <col min="6" max="6" width="0.140625" style="6" customWidth="1"/>
    <col min="7" max="7" width="13.140625" style="7" customWidth="1"/>
    <col min="8" max="9" width="16.28515625" style="6" customWidth="1"/>
    <col min="10" max="16" width="16" style="17" customWidth="1"/>
    <col min="17" max="17" width="19.28515625" style="17" customWidth="1"/>
    <col min="18" max="18" width="17.140625" style="17" customWidth="1"/>
    <col min="19" max="19" width="14.28515625" style="17" bestFit="1" customWidth="1"/>
    <col min="20" max="20" width="12.7109375" style="17" bestFit="1" customWidth="1"/>
    <col min="21" max="16384" width="9.28515625" style="17"/>
  </cols>
  <sheetData>
    <row r="1" spans="1:244" ht="13.8" x14ac:dyDescent="0.25">
      <c r="A1" s="78" t="s">
        <v>11</v>
      </c>
      <c r="B1" s="78"/>
      <c r="C1" s="78"/>
      <c r="D1" s="78"/>
      <c r="E1" s="78"/>
      <c r="F1" s="78"/>
      <c r="G1" s="78"/>
      <c r="H1" s="78"/>
      <c r="I1" s="78"/>
      <c r="J1" s="78"/>
      <c r="K1" s="78"/>
      <c r="L1" s="78"/>
      <c r="M1" s="78"/>
      <c r="N1" s="67"/>
      <c r="O1" s="67"/>
    </row>
    <row r="2" spans="1:244" ht="15.6" x14ac:dyDescent="0.3">
      <c r="A2" s="79" t="s">
        <v>23</v>
      </c>
      <c r="B2" s="79"/>
      <c r="C2" s="79"/>
      <c r="D2" s="79"/>
      <c r="E2" s="79"/>
      <c r="F2" s="79"/>
      <c r="G2" s="79"/>
      <c r="H2" s="79"/>
      <c r="I2" s="79"/>
      <c r="J2" s="79"/>
      <c r="K2" s="79"/>
      <c r="L2" s="79"/>
      <c r="M2" s="79"/>
      <c r="N2" s="68"/>
      <c r="O2" s="68"/>
    </row>
    <row r="3" spans="1:244" ht="13.8" x14ac:dyDescent="0.25">
      <c r="A3" s="78" t="s">
        <v>0</v>
      </c>
      <c r="B3" s="78"/>
      <c r="C3" s="78"/>
      <c r="D3" s="78"/>
      <c r="E3" s="78"/>
      <c r="F3" s="78"/>
      <c r="G3" s="78"/>
      <c r="H3" s="78"/>
      <c r="I3" s="78"/>
      <c r="J3" s="78"/>
      <c r="K3" s="78"/>
      <c r="L3" s="78"/>
      <c r="M3" s="78"/>
      <c r="N3" s="67"/>
      <c r="O3" s="67"/>
    </row>
    <row r="4" spans="1:244" ht="13.8" x14ac:dyDescent="0.25">
      <c r="A4" s="78" t="s">
        <v>24</v>
      </c>
      <c r="B4" s="78"/>
      <c r="C4" s="78"/>
      <c r="D4" s="78"/>
      <c r="E4" s="78"/>
      <c r="F4" s="78"/>
      <c r="G4" s="78"/>
      <c r="H4" s="78"/>
      <c r="I4" s="78"/>
      <c r="J4" s="78"/>
      <c r="K4" s="78"/>
      <c r="L4" s="78"/>
      <c r="M4" s="78"/>
      <c r="N4" s="67"/>
      <c r="O4" s="67"/>
    </row>
    <row r="5" spans="1:244" ht="13.2" x14ac:dyDescent="0.25">
      <c r="A5" s="1"/>
      <c r="B5" s="1"/>
      <c r="C5" s="2"/>
      <c r="F5" s="1"/>
      <c r="G5" s="2"/>
      <c r="H5" s="1"/>
      <c r="I5" s="1"/>
      <c r="J5" s="16"/>
      <c r="K5" s="16"/>
      <c r="L5" s="16"/>
      <c r="M5" s="16"/>
      <c r="N5" s="16"/>
      <c r="O5" s="16"/>
      <c r="P5" s="16"/>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row>
    <row r="6" spans="1:244" ht="11.25" customHeight="1" x14ac:dyDescent="0.25">
      <c r="A6" s="1"/>
      <c r="B6" s="1"/>
      <c r="C6" s="2"/>
      <c r="F6" s="1"/>
      <c r="G6" s="2"/>
      <c r="H6" s="1"/>
      <c r="I6" s="1"/>
      <c r="J6" s="16"/>
      <c r="K6" s="16"/>
      <c r="L6" s="16"/>
      <c r="M6" s="16"/>
      <c r="N6" s="16"/>
      <c r="O6" s="16"/>
      <c r="P6" s="16"/>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row>
    <row r="7" spans="1:244" s="23" customFormat="1" x14ac:dyDescent="0.2">
      <c r="A7" s="6"/>
      <c r="B7" s="6"/>
      <c r="C7" s="7"/>
      <c r="D7" s="6"/>
      <c r="E7" s="57"/>
      <c r="F7" s="58"/>
      <c r="G7" s="24" t="s">
        <v>48</v>
      </c>
      <c r="H7" s="24" t="s">
        <v>89</v>
      </c>
      <c r="I7" s="24" t="s">
        <v>90</v>
      </c>
      <c r="J7" s="24" t="s">
        <v>91</v>
      </c>
      <c r="K7" s="39" t="s">
        <v>37</v>
      </c>
      <c r="L7" s="39" t="s">
        <v>40</v>
      </c>
      <c r="M7" s="39" t="s">
        <v>45</v>
      </c>
      <c r="N7" s="39" t="s">
        <v>49</v>
      </c>
      <c r="O7" s="39" t="s">
        <v>58</v>
      </c>
      <c r="P7" s="39" t="s">
        <v>70</v>
      </c>
      <c r="Q7" s="24"/>
      <c r="R7" s="24" t="s">
        <v>1</v>
      </c>
    </row>
    <row r="8" spans="1:244" s="4" customFormat="1" ht="21.75" customHeight="1" x14ac:dyDescent="0.25">
      <c r="A8" s="27" t="s">
        <v>12</v>
      </c>
      <c r="B8" s="27"/>
      <c r="C8" s="28"/>
      <c r="D8" s="13"/>
      <c r="E8" s="13"/>
      <c r="F8" s="13">
        <v>0</v>
      </c>
      <c r="G8" s="13">
        <v>-23008</v>
      </c>
      <c r="H8" s="13">
        <f>-1008-2954-4769</f>
        <v>-8731</v>
      </c>
      <c r="I8" s="13">
        <f>-4326-6206-4138</f>
        <v>-14670</v>
      </c>
      <c r="J8" s="13">
        <f>1157+374261+923</f>
        <v>376341</v>
      </c>
      <c r="K8" s="13">
        <v>1141398</v>
      </c>
      <c r="L8" s="13">
        <v>2464716</v>
      </c>
      <c r="M8" s="13">
        <v>6401816</v>
      </c>
      <c r="N8" s="13">
        <v>-3302298</v>
      </c>
      <c r="O8" s="13">
        <v>776748</v>
      </c>
      <c r="P8" s="13">
        <v>-3964283</v>
      </c>
      <c r="Q8" s="26"/>
      <c r="R8" s="26">
        <f>SUM(F8:Q8)</f>
        <v>3848029</v>
      </c>
      <c r="S8" s="53"/>
      <c r="T8" s="78" t="s">
        <v>11</v>
      </c>
      <c r="U8" s="78"/>
      <c r="V8" s="78"/>
      <c r="W8" s="78"/>
      <c r="X8" s="78"/>
      <c r="Y8" s="78"/>
      <c r="Z8" s="78"/>
      <c r="AA8" s="78"/>
      <c r="AB8" s="78"/>
      <c r="AC8" s="78"/>
      <c r="AD8" s="78"/>
      <c r="AE8" s="78"/>
      <c r="AF8" s="78"/>
      <c r="AG8" s="78"/>
      <c r="AH8" s="78"/>
      <c r="AI8" s="78"/>
      <c r="AJ8" s="78"/>
      <c r="AK8" s="78"/>
      <c r="AL8" s="78"/>
    </row>
    <row r="9" spans="1:244" s="3" customFormat="1" ht="12" customHeight="1" x14ac:dyDescent="0.3">
      <c r="A9" s="29"/>
      <c r="B9" s="29" t="s">
        <v>69</v>
      </c>
      <c r="C9" s="9"/>
      <c r="D9" s="9"/>
      <c r="E9" s="9"/>
      <c r="F9" s="9"/>
      <c r="G9" s="9"/>
      <c r="H9" s="9"/>
      <c r="I9" s="9"/>
      <c r="R9" s="56"/>
      <c r="T9" s="79" t="s">
        <v>23</v>
      </c>
      <c r="U9" s="79"/>
      <c r="V9" s="79"/>
      <c r="W9" s="79"/>
      <c r="X9" s="79"/>
      <c r="Y9" s="79"/>
      <c r="Z9" s="79"/>
      <c r="AA9" s="79"/>
      <c r="AB9" s="79"/>
      <c r="AC9" s="79"/>
      <c r="AD9" s="79"/>
      <c r="AE9" s="79"/>
      <c r="AF9" s="79"/>
      <c r="AG9" s="79"/>
      <c r="AH9" s="79"/>
      <c r="AI9" s="79"/>
      <c r="AJ9" s="79"/>
      <c r="AK9" s="79"/>
      <c r="AL9" s="79"/>
    </row>
    <row r="10" spans="1:244" s="18" customFormat="1" ht="12" customHeight="1" x14ac:dyDescent="0.25">
      <c r="A10" s="29"/>
      <c r="B10" s="29"/>
      <c r="C10" s="9"/>
      <c r="D10" s="29"/>
      <c r="E10" s="29"/>
      <c r="F10" s="9"/>
      <c r="G10" s="9"/>
      <c r="H10" s="9"/>
      <c r="I10" s="9"/>
      <c r="J10" s="19"/>
      <c r="K10" s="19"/>
      <c r="L10" s="19"/>
      <c r="M10" s="19"/>
      <c r="N10" s="19"/>
      <c r="O10" s="19"/>
      <c r="P10" s="19"/>
      <c r="Q10" s="19"/>
      <c r="R10" s="19"/>
      <c r="T10" s="78" t="s">
        <v>0</v>
      </c>
      <c r="U10" s="78"/>
      <c r="V10" s="78"/>
      <c r="W10" s="78"/>
      <c r="X10" s="78"/>
      <c r="Y10" s="78"/>
      <c r="Z10" s="78"/>
      <c r="AA10" s="78"/>
      <c r="AB10" s="78"/>
      <c r="AC10" s="78"/>
      <c r="AD10" s="78"/>
      <c r="AE10" s="78"/>
      <c r="AF10" s="78"/>
      <c r="AG10" s="78"/>
      <c r="AH10" s="78"/>
      <c r="AI10" s="78"/>
      <c r="AJ10" s="78"/>
      <c r="AK10" s="78"/>
      <c r="AL10" s="78"/>
    </row>
    <row r="11" spans="1:244" ht="13.8" x14ac:dyDescent="0.25">
      <c r="B11" s="30" t="s">
        <v>71</v>
      </c>
      <c r="H11" s="10"/>
      <c r="I11" s="10"/>
      <c r="J11" s="25"/>
      <c r="K11" s="25"/>
      <c r="L11" s="25"/>
      <c r="M11" s="25"/>
      <c r="N11" s="25"/>
      <c r="O11" s="25"/>
      <c r="P11" s="25"/>
      <c r="Q11" s="25"/>
      <c r="R11" s="10"/>
      <c r="T11" s="78" t="s">
        <v>24</v>
      </c>
      <c r="U11" s="78"/>
      <c r="V11" s="78"/>
      <c r="W11" s="78"/>
      <c r="X11" s="78"/>
      <c r="Y11" s="78"/>
      <c r="Z11" s="78"/>
      <c r="AA11" s="78"/>
      <c r="AB11" s="78"/>
      <c r="AC11" s="78"/>
      <c r="AD11" s="78"/>
      <c r="AE11" s="78"/>
      <c r="AF11" s="78"/>
      <c r="AG11" s="78"/>
      <c r="AH11" s="78"/>
      <c r="AI11" s="78"/>
      <c r="AJ11" s="78"/>
      <c r="AK11" s="78"/>
      <c r="AL11" s="78"/>
    </row>
    <row r="12" spans="1:244" s="22" customFormat="1" x14ac:dyDescent="0.2">
      <c r="A12" s="36"/>
      <c r="B12" s="36"/>
      <c r="C12" s="17" t="s">
        <v>41</v>
      </c>
      <c r="D12" s="6"/>
      <c r="E12" s="7"/>
      <c r="F12" s="11"/>
      <c r="G12" s="8"/>
      <c r="H12" s="11"/>
      <c r="I12" s="11"/>
      <c r="J12" s="45"/>
      <c r="K12" s="11"/>
      <c r="L12" s="11"/>
      <c r="M12" s="11"/>
      <c r="N12" s="11"/>
      <c r="O12" s="11"/>
      <c r="P12" s="11"/>
      <c r="Q12" s="25"/>
      <c r="R12" s="11">
        <f>SUM(F12:Q12)</f>
        <v>0</v>
      </c>
      <c r="S12" s="17"/>
      <c r="T12" s="17"/>
      <c r="U12" s="17"/>
      <c r="V12" s="17"/>
      <c r="W12" s="17"/>
      <c r="X12" s="17"/>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row>
    <row r="13" spans="1:244" x14ac:dyDescent="0.2">
      <c r="C13" s="7" t="s">
        <v>2</v>
      </c>
      <c r="F13" s="10"/>
      <c r="G13" s="7">
        <f t="shared" ref="G13:O13" si="0">SUM(G12:G12)</f>
        <v>0</v>
      </c>
      <c r="H13" s="7">
        <f t="shared" si="0"/>
        <v>0</v>
      </c>
      <c r="I13" s="7">
        <f t="shared" si="0"/>
        <v>0</v>
      </c>
      <c r="J13" s="7">
        <f t="shared" si="0"/>
        <v>0</v>
      </c>
      <c r="K13" s="7">
        <f t="shared" si="0"/>
        <v>0</v>
      </c>
      <c r="L13" s="7">
        <f t="shared" si="0"/>
        <v>0</v>
      </c>
      <c r="M13" s="7">
        <f t="shared" si="0"/>
        <v>0</v>
      </c>
      <c r="N13" s="7">
        <f t="shared" si="0"/>
        <v>0</v>
      </c>
      <c r="O13" s="7">
        <f t="shared" si="0"/>
        <v>0</v>
      </c>
      <c r="P13" s="25"/>
      <c r="Q13" s="25"/>
      <c r="R13" s="10">
        <f>SUM(R12:R12)</f>
        <v>0</v>
      </c>
      <c r="T13" s="25"/>
    </row>
    <row r="14" spans="1:244" ht="12" x14ac:dyDescent="0.25">
      <c r="B14" s="30" t="s">
        <v>10</v>
      </c>
      <c r="F14" s="10"/>
      <c r="H14" s="10"/>
      <c r="I14" s="10"/>
      <c r="J14" s="25"/>
      <c r="K14" s="25"/>
      <c r="L14" s="25"/>
      <c r="M14" s="25"/>
      <c r="N14" s="25"/>
      <c r="O14" s="25"/>
      <c r="P14" s="25"/>
      <c r="Q14" s="25"/>
      <c r="R14" s="10"/>
    </row>
    <row r="15" spans="1:244" ht="12" x14ac:dyDescent="0.25">
      <c r="B15" s="30"/>
      <c r="C15" s="41" t="s">
        <v>39</v>
      </c>
      <c r="F15" s="10"/>
      <c r="H15" s="10"/>
      <c r="I15" s="10"/>
      <c r="J15" s="25"/>
      <c r="K15" s="25"/>
      <c r="L15" s="25"/>
      <c r="M15" s="25"/>
      <c r="N15" s="25"/>
      <c r="O15" s="25"/>
      <c r="P15" s="25"/>
      <c r="Q15" s="25"/>
      <c r="R15" s="10"/>
    </row>
    <row r="16" spans="1:244" ht="11.25" customHeight="1" x14ac:dyDescent="0.2">
      <c r="C16" s="17" t="s">
        <v>41</v>
      </c>
      <c r="D16" s="17"/>
      <c r="E16" s="17"/>
      <c r="F16" s="38"/>
      <c r="G16" s="8">
        <v>-23008</v>
      </c>
      <c r="H16" s="11">
        <f>-1008-2954-4769</f>
        <v>-8731</v>
      </c>
      <c r="I16" s="11">
        <f>-4326-6206-4138</f>
        <v>-14670</v>
      </c>
      <c r="J16" s="45">
        <f>1157+26218+10543+923</f>
        <v>38841</v>
      </c>
      <c r="K16" s="11">
        <f>87392+21084</f>
        <v>108476</v>
      </c>
      <c r="L16" s="11">
        <f>136431+11962</f>
        <v>148393</v>
      </c>
      <c r="M16" s="11">
        <f>-13281</f>
        <v>-13281</v>
      </c>
      <c r="N16" s="11">
        <f>-175049-3524</f>
        <v>-178573</v>
      </c>
      <c r="O16" s="11">
        <v>-710010</v>
      </c>
      <c r="P16" s="11"/>
      <c r="Q16" s="25"/>
      <c r="R16" s="11">
        <f>SUM(F16:Q16)</f>
        <v>-652563</v>
      </c>
    </row>
    <row r="17" spans="3:20" x14ac:dyDescent="0.2">
      <c r="F17" s="10"/>
      <c r="G17" s="7">
        <f t="shared" ref="G17:O17" si="1">SUM(G16)</f>
        <v>-23008</v>
      </c>
      <c r="H17" s="7">
        <f t="shared" si="1"/>
        <v>-8731</v>
      </c>
      <c r="I17" s="7">
        <f t="shared" si="1"/>
        <v>-14670</v>
      </c>
      <c r="J17" s="7">
        <f t="shared" si="1"/>
        <v>38841</v>
      </c>
      <c r="K17" s="7">
        <f t="shared" si="1"/>
        <v>108476</v>
      </c>
      <c r="L17" s="7">
        <f t="shared" si="1"/>
        <v>148393</v>
      </c>
      <c r="M17" s="7">
        <f t="shared" si="1"/>
        <v>-13281</v>
      </c>
      <c r="N17" s="7">
        <f t="shared" si="1"/>
        <v>-178573</v>
      </c>
      <c r="O17" s="7">
        <f t="shared" si="1"/>
        <v>-710010</v>
      </c>
      <c r="P17" s="25"/>
      <c r="Q17" s="25"/>
      <c r="R17" s="10">
        <f>SUM(R16:R16)</f>
        <v>-652563</v>
      </c>
      <c r="T17" s="25"/>
    </row>
    <row r="18" spans="3:20" x14ac:dyDescent="0.2">
      <c r="C18" s="31" t="s">
        <v>3</v>
      </c>
      <c r="F18" s="10"/>
      <c r="H18" s="10"/>
      <c r="I18" s="10"/>
      <c r="J18" s="25"/>
      <c r="K18" s="25"/>
      <c r="L18" s="25"/>
      <c r="M18" s="25"/>
      <c r="N18" s="25"/>
      <c r="O18" s="25"/>
      <c r="P18" s="25"/>
      <c r="Q18" s="25"/>
      <c r="R18" s="10"/>
      <c r="T18" s="25"/>
    </row>
    <row r="19" spans="3:20" x14ac:dyDescent="0.2">
      <c r="C19" s="7" t="s">
        <v>93</v>
      </c>
      <c r="F19" s="10"/>
      <c r="H19" s="10"/>
      <c r="I19" s="10"/>
      <c r="J19" s="25"/>
      <c r="K19" s="25"/>
      <c r="L19" s="25"/>
      <c r="M19" s="25"/>
      <c r="N19" s="25"/>
      <c r="O19" s="25"/>
      <c r="P19" s="25">
        <v>-259455</v>
      </c>
      <c r="Q19" s="25"/>
      <c r="R19" s="25">
        <f t="shared" ref="R19:R27" si="2">SUM(F19:Q19)</f>
        <v>-259455</v>
      </c>
      <c r="T19" s="25"/>
    </row>
    <row r="20" spans="3:20" x14ac:dyDescent="0.2">
      <c r="C20" s="7" t="s">
        <v>94</v>
      </c>
      <c r="F20" s="10"/>
      <c r="H20" s="10"/>
      <c r="I20" s="10"/>
      <c r="J20" s="25"/>
      <c r="K20" s="25"/>
      <c r="L20" s="25"/>
      <c r="M20" s="25"/>
      <c r="N20" s="25"/>
      <c r="O20" s="25"/>
      <c r="P20" s="25">
        <v>342373</v>
      </c>
      <c r="Q20" s="25"/>
      <c r="R20" s="25">
        <f t="shared" si="2"/>
        <v>342373</v>
      </c>
      <c r="T20" s="25"/>
    </row>
    <row r="21" spans="3:20" x14ac:dyDescent="0.2">
      <c r="C21" s="7" t="s">
        <v>95</v>
      </c>
      <c r="F21" s="10"/>
      <c r="H21" s="10"/>
      <c r="I21" s="10"/>
      <c r="J21" s="25"/>
      <c r="K21" s="25"/>
      <c r="L21" s="25"/>
      <c r="M21" s="25"/>
      <c r="N21" s="25"/>
      <c r="O21" s="25"/>
      <c r="P21" s="25">
        <v>553956</v>
      </c>
      <c r="Q21" s="25"/>
      <c r="R21" s="25">
        <f t="shared" si="2"/>
        <v>553956</v>
      </c>
      <c r="T21" s="25"/>
    </row>
    <row r="22" spans="3:20" x14ac:dyDescent="0.2">
      <c r="C22" s="7" t="s">
        <v>96</v>
      </c>
      <c r="F22" s="10"/>
      <c r="H22" s="10"/>
      <c r="I22" s="10"/>
      <c r="J22" s="25"/>
      <c r="K22" s="25"/>
      <c r="L22" s="25"/>
      <c r="M22" s="25"/>
      <c r="N22" s="25"/>
      <c r="O22" s="25"/>
      <c r="P22" s="25">
        <v>3058894</v>
      </c>
      <c r="Q22" s="25"/>
      <c r="R22" s="25">
        <f t="shared" si="2"/>
        <v>3058894</v>
      </c>
      <c r="T22" s="25"/>
    </row>
    <row r="23" spans="3:20" x14ac:dyDescent="0.2">
      <c r="C23" s="7" t="s">
        <v>97</v>
      </c>
      <c r="F23" s="10"/>
      <c r="H23" s="10"/>
      <c r="I23" s="10"/>
      <c r="J23" s="25"/>
      <c r="K23" s="25"/>
      <c r="L23" s="25"/>
      <c r="M23" s="25"/>
      <c r="N23" s="25"/>
      <c r="O23" s="25"/>
      <c r="P23" s="25">
        <v>-3394440</v>
      </c>
      <c r="Q23" s="25"/>
      <c r="R23" s="25">
        <f t="shared" si="2"/>
        <v>-3394440</v>
      </c>
      <c r="T23" s="25"/>
    </row>
    <row r="24" spans="3:20" x14ac:dyDescent="0.2">
      <c r="C24" s="7" t="s">
        <v>98</v>
      </c>
      <c r="F24" s="10"/>
      <c r="H24" s="10"/>
      <c r="I24" s="10"/>
      <c r="J24" s="25"/>
      <c r="K24" s="25"/>
      <c r="L24" s="25"/>
      <c r="M24" s="25"/>
      <c r="N24" s="25"/>
      <c r="O24" s="25"/>
      <c r="P24" s="25">
        <v>-772500</v>
      </c>
      <c r="Q24" s="25"/>
      <c r="R24" s="25">
        <f t="shared" si="2"/>
        <v>-772500</v>
      </c>
      <c r="T24" s="25"/>
    </row>
    <row r="25" spans="3:20" x14ac:dyDescent="0.2">
      <c r="C25" s="7" t="s">
        <v>99</v>
      </c>
      <c r="F25" s="10"/>
      <c r="H25" s="10"/>
      <c r="I25" s="10"/>
      <c r="J25" s="25"/>
      <c r="K25" s="25"/>
      <c r="L25" s="25"/>
      <c r="M25" s="25"/>
      <c r="N25" s="25"/>
      <c r="O25" s="25"/>
      <c r="P25" s="25">
        <v>254382</v>
      </c>
      <c r="Q25" s="25"/>
      <c r="R25" s="25">
        <f t="shared" si="2"/>
        <v>254382</v>
      </c>
      <c r="T25" s="25"/>
    </row>
    <row r="26" spans="3:20" x14ac:dyDescent="0.2">
      <c r="C26" s="7" t="s">
        <v>100</v>
      </c>
      <c r="F26" s="10"/>
      <c r="H26" s="10"/>
      <c r="I26" s="10"/>
      <c r="J26" s="25"/>
      <c r="K26" s="25"/>
      <c r="L26" s="25"/>
      <c r="M26" s="25"/>
      <c r="N26" s="25"/>
      <c r="O26" s="25"/>
      <c r="P26" s="25">
        <v>-1419341</v>
      </c>
      <c r="Q26" s="25"/>
      <c r="R26" s="25">
        <f t="shared" si="2"/>
        <v>-1419341</v>
      </c>
      <c r="T26" s="25"/>
    </row>
    <row r="27" spans="3:20" x14ac:dyDescent="0.2">
      <c r="C27" s="7" t="s">
        <v>28</v>
      </c>
      <c r="F27" s="10"/>
      <c r="H27" s="10"/>
      <c r="I27" s="10"/>
      <c r="J27" s="25"/>
      <c r="K27" s="25"/>
      <c r="L27" s="25"/>
      <c r="M27" s="25"/>
      <c r="N27" s="25"/>
      <c r="O27" s="25"/>
      <c r="P27" s="25">
        <v>-208856</v>
      </c>
      <c r="Q27" s="25"/>
      <c r="R27" s="25">
        <f t="shared" si="2"/>
        <v>-208856</v>
      </c>
      <c r="T27" s="25"/>
    </row>
    <row r="28" spans="3:20" x14ac:dyDescent="0.2">
      <c r="C28" s="25" t="s">
        <v>25</v>
      </c>
      <c r="F28" s="10"/>
      <c r="G28" s="52"/>
      <c r="H28" s="43"/>
      <c r="I28" s="10"/>
      <c r="J28" s="25"/>
      <c r="K28" s="25">
        <v>210531</v>
      </c>
      <c r="L28" s="25">
        <v>111333</v>
      </c>
      <c r="M28" s="25">
        <f>-4140628-503809+4755040-57369</f>
        <v>53234</v>
      </c>
      <c r="N28" s="25">
        <f>483934-1883912.2+7112</f>
        <v>-1392866.2</v>
      </c>
      <c r="O28" s="25"/>
      <c r="P28" s="25">
        <v>-871834</v>
      </c>
      <c r="Q28" s="25"/>
      <c r="R28" s="25">
        <f t="shared" ref="R28:R34" si="3">SUM(F28:Q28)</f>
        <v>-1889602.2</v>
      </c>
    </row>
    <row r="29" spans="3:20" x14ac:dyDescent="0.2">
      <c r="C29" s="25" t="s">
        <v>76</v>
      </c>
      <c r="F29" s="10"/>
      <c r="G29" s="52"/>
      <c r="H29" s="43"/>
      <c r="I29" s="10"/>
      <c r="J29" s="25"/>
      <c r="K29" s="25"/>
      <c r="L29" s="25"/>
      <c r="M29" s="25"/>
      <c r="N29" s="25"/>
      <c r="O29" s="25">
        <v>458029</v>
      </c>
      <c r="P29" s="25">
        <v>-788561</v>
      </c>
      <c r="Q29" s="25"/>
      <c r="R29" s="25">
        <f t="shared" si="3"/>
        <v>-330532</v>
      </c>
    </row>
    <row r="30" spans="3:20" x14ac:dyDescent="0.2">
      <c r="C30" s="25" t="s">
        <v>83</v>
      </c>
      <c r="F30" s="10"/>
      <c r="G30" s="52"/>
      <c r="H30" s="43"/>
      <c r="I30" s="10"/>
      <c r="J30" s="25"/>
      <c r="K30" s="25"/>
      <c r="L30" s="25"/>
      <c r="M30" s="25"/>
      <c r="N30" s="25"/>
      <c r="O30" s="25">
        <v>119194</v>
      </c>
      <c r="P30" s="25"/>
      <c r="Q30" s="25"/>
      <c r="R30" s="25">
        <f t="shared" si="3"/>
        <v>119194</v>
      </c>
    </row>
    <row r="31" spans="3:20" x14ac:dyDescent="0.2">
      <c r="C31" s="25" t="s">
        <v>77</v>
      </c>
      <c r="F31" s="10"/>
      <c r="G31" s="52"/>
      <c r="H31" s="43"/>
      <c r="I31" s="10"/>
      <c r="J31" s="25"/>
      <c r="K31" s="25"/>
      <c r="L31" s="25"/>
      <c r="M31" s="74" t="s">
        <v>101</v>
      </c>
      <c r="N31" s="25"/>
      <c r="O31" s="25">
        <v>-102133</v>
      </c>
      <c r="P31" s="25"/>
      <c r="Q31" s="25"/>
      <c r="R31" s="25">
        <f t="shared" si="3"/>
        <v>-102133</v>
      </c>
    </row>
    <row r="32" spans="3:20" x14ac:dyDescent="0.2">
      <c r="C32" s="7" t="s">
        <v>66</v>
      </c>
      <c r="F32" s="10"/>
      <c r="G32" s="52"/>
      <c r="H32" s="36"/>
      <c r="I32" s="10"/>
      <c r="J32" s="36"/>
      <c r="K32" s="36"/>
      <c r="L32" s="36"/>
      <c r="M32" s="73">
        <f>448687-163576.97</f>
        <v>285110.03000000003</v>
      </c>
      <c r="N32" s="25">
        <v>63860</v>
      </c>
      <c r="O32" s="25"/>
      <c r="P32" s="36"/>
      <c r="Q32" s="12"/>
      <c r="R32" s="25">
        <f t="shared" si="3"/>
        <v>348970.03</v>
      </c>
    </row>
    <row r="33" spans="2:18" x14ac:dyDescent="0.2">
      <c r="C33" s="7" t="s">
        <v>52</v>
      </c>
      <c r="F33" s="10"/>
      <c r="G33" s="52"/>
      <c r="H33" s="43"/>
      <c r="I33" s="36"/>
      <c r="J33" s="48"/>
      <c r="K33" s="36"/>
      <c r="L33" s="25"/>
      <c r="M33" s="25">
        <f>501800+363208+283600+23129</f>
        <v>1171737</v>
      </c>
      <c r="N33" s="25"/>
      <c r="O33" s="25"/>
      <c r="P33" s="36"/>
      <c r="Q33" s="12"/>
      <c r="R33" s="25">
        <f t="shared" si="3"/>
        <v>1171737</v>
      </c>
    </row>
    <row r="34" spans="2:18" x14ac:dyDescent="0.2">
      <c r="C34" s="25" t="s">
        <v>35</v>
      </c>
      <c r="D34" s="17"/>
      <c r="E34" s="17"/>
      <c r="F34" s="38"/>
      <c r="G34" s="38"/>
      <c r="H34" s="11"/>
      <c r="I34" s="11"/>
      <c r="J34" s="11"/>
      <c r="K34" s="11"/>
      <c r="L34" s="11"/>
      <c r="M34" s="11"/>
      <c r="N34" s="11">
        <f>-46785+114725+58900-153317+65100+370896+977500</f>
        <v>1387019</v>
      </c>
      <c r="O34" s="11">
        <f>-21700+128408-308317-683202-57780+1507459-1216617-328639-324422+183300+1007624+18330+1524934-320750-320750</f>
        <v>787878</v>
      </c>
      <c r="P34" s="11"/>
      <c r="Q34" s="25"/>
      <c r="R34" s="11">
        <f t="shared" si="3"/>
        <v>2174897</v>
      </c>
    </row>
    <row r="35" spans="2:18" x14ac:dyDescent="0.2">
      <c r="C35" s="41"/>
      <c r="D35" s="17"/>
      <c r="E35" s="17"/>
      <c r="F35" s="17"/>
      <c r="G35" s="17"/>
      <c r="H35" s="10"/>
      <c r="I35" s="10"/>
      <c r="J35" s="25"/>
      <c r="K35" s="25">
        <f>SUM(K28:K34)</f>
        <v>210531</v>
      </c>
      <c r="L35" s="25">
        <f>SUM(L28:L34)</f>
        <v>111333</v>
      </c>
      <c r="M35" s="25">
        <f>SUM(M28:M34)</f>
        <v>1510081.03</v>
      </c>
      <c r="N35" s="25">
        <f>SUM(N28:N34)</f>
        <v>58012.800000000047</v>
      </c>
      <c r="O35" s="25">
        <f>SUM(O28:O34)</f>
        <v>1262968</v>
      </c>
      <c r="P35" s="25">
        <f>SUM(P19:P34)</f>
        <v>-3505382</v>
      </c>
      <c r="Q35" s="25"/>
      <c r="R35" s="10">
        <f>SUM(R19:R34)</f>
        <v>-352456.16999999993</v>
      </c>
    </row>
    <row r="36" spans="2:18" x14ac:dyDescent="0.2">
      <c r="C36" s="17"/>
      <c r="F36" s="10"/>
      <c r="G36" s="6"/>
      <c r="H36" s="10"/>
      <c r="I36" s="10"/>
      <c r="J36" s="25"/>
      <c r="K36" s="25"/>
      <c r="L36" s="25"/>
      <c r="M36" s="25"/>
      <c r="N36" s="25"/>
      <c r="O36" s="25"/>
      <c r="P36" s="25"/>
      <c r="Q36" s="25"/>
      <c r="R36" s="10"/>
    </row>
    <row r="37" spans="2:18" x14ac:dyDescent="0.2">
      <c r="B37" s="33"/>
      <c r="C37" s="31" t="s">
        <v>5</v>
      </c>
      <c r="F37" s="10"/>
      <c r="H37" s="10"/>
      <c r="I37" s="10"/>
      <c r="J37" s="48"/>
      <c r="K37" s="48"/>
      <c r="L37" s="48"/>
      <c r="M37" s="48"/>
      <c r="N37" s="48"/>
      <c r="O37" s="48"/>
      <c r="P37" s="25"/>
      <c r="Q37" s="25"/>
      <c r="R37" s="10"/>
    </row>
    <row r="38" spans="2:18" x14ac:dyDescent="0.2">
      <c r="B38" s="33"/>
      <c r="C38" s="7" t="s">
        <v>53</v>
      </c>
      <c r="F38" s="10"/>
      <c r="H38" s="10"/>
      <c r="I38" s="10"/>
      <c r="J38" s="48"/>
      <c r="K38" s="48"/>
      <c r="L38" s="48"/>
      <c r="M38" s="48">
        <v>51797</v>
      </c>
      <c r="N38" s="48"/>
      <c r="O38" s="48"/>
      <c r="P38" s="25"/>
      <c r="Q38" s="25"/>
      <c r="R38" s="25">
        <f t="shared" ref="R38:R47" si="4">SUM(G38:P38)</f>
        <v>51797</v>
      </c>
    </row>
    <row r="39" spans="2:18" x14ac:dyDescent="0.2">
      <c r="B39" s="33"/>
      <c r="C39" s="7" t="s">
        <v>59</v>
      </c>
      <c r="F39" s="10"/>
      <c r="H39" s="10"/>
      <c r="I39" s="10"/>
      <c r="J39" s="48"/>
      <c r="K39" s="48"/>
      <c r="L39" s="48"/>
      <c r="M39" s="48"/>
      <c r="N39" s="48">
        <v>191452</v>
      </c>
      <c r="O39" s="48">
        <v>83313</v>
      </c>
      <c r="P39" s="25"/>
      <c r="Q39" s="25"/>
      <c r="R39" s="25">
        <f t="shared" si="4"/>
        <v>274765</v>
      </c>
    </row>
    <row r="40" spans="2:18" x14ac:dyDescent="0.2">
      <c r="B40" s="33"/>
      <c r="C40" s="7" t="s">
        <v>85</v>
      </c>
      <c r="F40" s="10"/>
      <c r="H40" s="10"/>
      <c r="I40" s="10"/>
      <c r="J40" s="48"/>
      <c r="K40" s="48"/>
      <c r="L40" s="48"/>
      <c r="M40" s="48">
        <v>-206279</v>
      </c>
      <c r="N40" s="48"/>
      <c r="O40" s="48"/>
      <c r="P40" s="25"/>
      <c r="Q40" s="25"/>
      <c r="R40" s="25">
        <f t="shared" si="4"/>
        <v>-206279</v>
      </c>
    </row>
    <row r="41" spans="2:18" x14ac:dyDescent="0.2">
      <c r="B41" s="33"/>
      <c r="C41" s="7" t="s">
        <v>60</v>
      </c>
      <c r="F41" s="10"/>
      <c r="G41" s="52"/>
      <c r="H41" s="10"/>
      <c r="I41" s="43"/>
      <c r="J41" s="48"/>
      <c r="K41" s="48"/>
      <c r="L41" s="48"/>
      <c r="M41" s="48"/>
      <c r="N41" s="48">
        <f>1040608+516686-755556.06</f>
        <v>801737.94</v>
      </c>
      <c r="O41" s="48">
        <v>199748</v>
      </c>
      <c r="P41" s="48"/>
      <c r="Q41" s="48"/>
      <c r="R41" s="25">
        <f t="shared" si="4"/>
        <v>1001485.94</v>
      </c>
    </row>
    <row r="42" spans="2:18" x14ac:dyDescent="0.2">
      <c r="B42" s="33"/>
      <c r="C42" s="7" t="s">
        <v>38</v>
      </c>
      <c r="F42" s="10"/>
      <c r="G42" s="52"/>
      <c r="H42" s="10"/>
      <c r="I42" s="43"/>
      <c r="J42" s="48"/>
      <c r="K42" s="48"/>
      <c r="L42" s="48"/>
      <c r="M42" s="48">
        <v>42066</v>
      </c>
      <c r="N42" s="48"/>
      <c r="O42" s="48"/>
      <c r="P42" s="25"/>
      <c r="Q42" s="25"/>
      <c r="R42" s="25">
        <f t="shared" si="4"/>
        <v>42066</v>
      </c>
    </row>
    <row r="43" spans="2:18" x14ac:dyDescent="0.2">
      <c r="B43" s="33"/>
      <c r="C43" s="7" t="s">
        <v>86</v>
      </c>
      <c r="F43" s="10"/>
      <c r="G43" s="52"/>
      <c r="H43" s="10"/>
      <c r="I43" s="43"/>
      <c r="J43" s="48"/>
      <c r="K43" s="48"/>
      <c r="L43" s="48"/>
      <c r="M43" s="48">
        <v>-178667</v>
      </c>
      <c r="N43" s="48"/>
      <c r="O43" s="48"/>
      <c r="P43" s="25"/>
      <c r="Q43" s="25"/>
      <c r="R43" s="25">
        <f t="shared" si="4"/>
        <v>-178667</v>
      </c>
    </row>
    <row r="44" spans="2:18" x14ac:dyDescent="0.2">
      <c r="B44" s="33"/>
      <c r="C44" s="7" t="s">
        <v>57</v>
      </c>
      <c r="F44" s="10"/>
      <c r="G44" s="52"/>
      <c r="H44" s="10"/>
      <c r="I44" s="43"/>
      <c r="J44" s="48"/>
      <c r="K44" s="48"/>
      <c r="L44" s="48"/>
      <c r="M44" s="48">
        <v>247488</v>
      </c>
      <c r="N44" s="48"/>
      <c r="O44" s="48"/>
      <c r="P44" s="25"/>
      <c r="Q44" s="25"/>
      <c r="R44" s="25">
        <f t="shared" si="4"/>
        <v>247488</v>
      </c>
    </row>
    <row r="45" spans="2:18" x14ac:dyDescent="0.2">
      <c r="B45" s="33"/>
      <c r="C45" s="7" t="s">
        <v>46</v>
      </c>
      <c r="F45" s="10"/>
      <c r="G45" s="52"/>
      <c r="H45" s="10"/>
      <c r="I45" s="43"/>
      <c r="J45" s="48"/>
      <c r="K45" s="48"/>
      <c r="L45" s="48"/>
      <c r="M45" s="48">
        <v>542500</v>
      </c>
      <c r="N45" s="48"/>
      <c r="O45" s="48"/>
      <c r="P45" s="25"/>
      <c r="Q45" s="25"/>
      <c r="R45" s="25">
        <f t="shared" si="4"/>
        <v>542500</v>
      </c>
    </row>
    <row r="46" spans="2:18" x14ac:dyDescent="0.2">
      <c r="B46" s="33"/>
      <c r="C46" s="7" t="s">
        <v>51</v>
      </c>
      <c r="F46" s="10"/>
      <c r="G46" s="52"/>
      <c r="H46" s="10"/>
      <c r="I46" s="43"/>
      <c r="J46" s="48"/>
      <c r="K46" s="48"/>
      <c r="L46" s="48">
        <v>632935</v>
      </c>
      <c r="M46" s="48"/>
      <c r="N46" s="48"/>
      <c r="O46" s="48"/>
      <c r="P46" s="25"/>
      <c r="Q46" s="25"/>
      <c r="R46" s="25">
        <f t="shared" si="4"/>
        <v>632935</v>
      </c>
    </row>
    <row r="47" spans="2:18" x14ac:dyDescent="0.2">
      <c r="B47" s="33"/>
      <c r="C47" s="7" t="s">
        <v>31</v>
      </c>
      <c r="F47" s="10"/>
      <c r="G47" s="38"/>
      <c r="H47" s="11"/>
      <c r="I47" s="45"/>
      <c r="J47" s="45"/>
      <c r="K47" s="45"/>
      <c r="L47" s="45"/>
      <c r="M47" s="45">
        <f>41950+56206+63140+97765-25514+60718-68324</f>
        <v>225941</v>
      </c>
      <c r="N47" s="45">
        <f>41954-67902+87093+68185-82060-39820+44000-26857</f>
        <v>24593</v>
      </c>
      <c r="O47" s="45"/>
      <c r="P47" s="11"/>
      <c r="Q47" s="25"/>
      <c r="R47" s="11">
        <f t="shared" si="4"/>
        <v>250534</v>
      </c>
    </row>
    <row r="48" spans="2:18" x14ac:dyDescent="0.2">
      <c r="C48" s="49"/>
      <c r="F48" s="10"/>
      <c r="G48" s="6"/>
      <c r="H48" s="10"/>
      <c r="I48" s="10"/>
      <c r="J48" s="43"/>
      <c r="K48" s="43"/>
      <c r="L48" s="43">
        <f>SUM(L37:L47)</f>
        <v>632935</v>
      </c>
      <c r="M48" s="43">
        <f>SUM(M38:M47)</f>
        <v>724846</v>
      </c>
      <c r="N48" s="43">
        <f>SUM(N38:N47)</f>
        <v>1017782.94</v>
      </c>
      <c r="O48" s="43">
        <f>SUM(O38:O47)</f>
        <v>283061</v>
      </c>
      <c r="P48" s="10"/>
      <c r="Q48" s="25"/>
      <c r="R48" s="43">
        <f>SUM(R38:R47)</f>
        <v>2658624.94</v>
      </c>
    </row>
    <row r="49" spans="2:20" x14ac:dyDescent="0.2">
      <c r="F49" s="10"/>
      <c r="G49" s="6"/>
      <c r="H49" s="10"/>
      <c r="I49" s="10"/>
      <c r="J49" s="43"/>
      <c r="K49" s="43"/>
      <c r="L49" s="43"/>
      <c r="M49" s="43"/>
      <c r="N49" s="43"/>
      <c r="O49" s="43"/>
      <c r="P49" s="10"/>
      <c r="Q49" s="25"/>
      <c r="R49" s="10"/>
    </row>
    <row r="50" spans="2:20" x14ac:dyDescent="0.2">
      <c r="B50" s="33"/>
      <c r="C50" s="31" t="s">
        <v>6</v>
      </c>
      <c r="F50" s="10"/>
      <c r="H50" s="10"/>
      <c r="I50" s="10"/>
      <c r="J50" s="25"/>
      <c r="K50" s="25"/>
      <c r="L50" s="25"/>
      <c r="M50" s="25"/>
      <c r="N50" s="25"/>
      <c r="O50" s="25"/>
      <c r="P50" s="25"/>
      <c r="Q50" s="25"/>
      <c r="R50" s="10"/>
      <c r="T50" s="37"/>
    </row>
    <row r="51" spans="2:20" x14ac:dyDescent="0.2">
      <c r="B51" s="33"/>
      <c r="C51" s="25" t="s">
        <v>27</v>
      </c>
      <c r="F51" s="10"/>
      <c r="G51" s="52"/>
      <c r="H51" s="36"/>
      <c r="I51" s="65"/>
      <c r="J51" s="36"/>
      <c r="K51" s="36">
        <v>16693</v>
      </c>
      <c r="L51" s="36">
        <f>19500+159870+106714</f>
        <v>286084</v>
      </c>
      <c r="M51" s="36">
        <f>66562+24471-219819-24306+71049</f>
        <v>-82043</v>
      </c>
      <c r="N51" s="25">
        <f>-24078+59666-781950+101185</f>
        <v>-645177</v>
      </c>
      <c r="O51" s="25">
        <f>26242-11023-45289+868</f>
        <v>-29202</v>
      </c>
      <c r="P51" s="36"/>
      <c r="Q51" s="12"/>
      <c r="R51" s="25">
        <f>SUM(F51:Q51)</f>
        <v>-453645</v>
      </c>
      <c r="T51" s="37"/>
    </row>
    <row r="52" spans="2:20" x14ac:dyDescent="0.2">
      <c r="B52" s="33"/>
      <c r="C52" s="25" t="s">
        <v>28</v>
      </c>
      <c r="F52" s="10"/>
      <c r="G52" s="52"/>
      <c r="H52" s="36"/>
      <c r="I52" s="65"/>
      <c r="J52" s="36"/>
      <c r="K52" s="36">
        <f>-24981*5.3517</f>
        <v>-133690.81770000001</v>
      </c>
      <c r="L52" s="36"/>
      <c r="M52" s="36">
        <f>667811-274704</f>
        <v>393107</v>
      </c>
      <c r="N52" s="36">
        <f>1355782-621295</f>
        <v>734487</v>
      </c>
      <c r="O52" s="36">
        <f>1299473-144510</f>
        <v>1154963</v>
      </c>
      <c r="P52" s="36"/>
      <c r="Q52" s="12"/>
      <c r="R52" s="25">
        <f>SUM(F52:Q52)</f>
        <v>2148866.1823</v>
      </c>
      <c r="T52" s="37"/>
    </row>
    <row r="53" spans="2:20" x14ac:dyDescent="0.2">
      <c r="B53" s="33"/>
      <c r="C53" s="25" t="s">
        <v>54</v>
      </c>
      <c r="F53" s="10"/>
      <c r="G53" s="52"/>
      <c r="H53" s="36"/>
      <c r="I53" s="65"/>
      <c r="J53" s="36"/>
      <c r="K53" s="36"/>
      <c r="L53" s="36"/>
      <c r="M53" s="36"/>
      <c r="N53" s="36"/>
      <c r="O53" s="6">
        <f>-28052</f>
        <v>-28052</v>
      </c>
      <c r="P53" s="71"/>
      <c r="Q53" s="12"/>
      <c r="R53" s="25">
        <f>SUM(F53:Q53)</f>
        <v>-28052</v>
      </c>
      <c r="T53" s="37"/>
    </row>
    <row r="54" spans="2:20" x14ac:dyDescent="0.2">
      <c r="B54" s="33"/>
      <c r="C54" s="7" t="s">
        <v>13</v>
      </c>
      <c r="F54" s="11"/>
      <c r="G54" s="8"/>
      <c r="H54" s="11"/>
      <c r="I54" s="11"/>
      <c r="J54" s="45"/>
      <c r="K54" s="11">
        <f>-2054+1668844-1110231</f>
        <v>556559</v>
      </c>
      <c r="L54" s="11">
        <f>-139296+2952375-646537-1342918</f>
        <v>823624</v>
      </c>
      <c r="M54" s="11">
        <f>-528202+4628626-1717759</f>
        <v>2382665</v>
      </c>
      <c r="N54" s="11">
        <f>-17051+3786653-3081646</f>
        <v>687956</v>
      </c>
      <c r="O54" s="11">
        <f>-23392+759833-916778</f>
        <v>-180337</v>
      </c>
      <c r="P54" s="11"/>
      <c r="Q54" s="25"/>
      <c r="R54" s="11">
        <f>SUM(F54:Q54)</f>
        <v>4270467</v>
      </c>
      <c r="T54" s="37"/>
    </row>
    <row r="55" spans="2:20" ht="11.4" x14ac:dyDescent="0.2">
      <c r="B55" s="33"/>
      <c r="C55" s="17"/>
      <c r="F55" s="25"/>
      <c r="G55" s="32"/>
      <c r="H55" s="10"/>
      <c r="I55" s="10"/>
      <c r="J55" s="25"/>
      <c r="K55" s="25">
        <f>SUM(K51:K54)</f>
        <v>439561.18229999999</v>
      </c>
      <c r="L55" s="25">
        <f>SUM(L50:L54)</f>
        <v>1109708</v>
      </c>
      <c r="M55" s="25">
        <f>SUM(M51:M54)</f>
        <v>2693729</v>
      </c>
      <c r="N55" s="25">
        <f>SUM(N51:N54)</f>
        <v>777266</v>
      </c>
      <c r="O55" s="25">
        <f>SUM(O51:O54)</f>
        <v>917372</v>
      </c>
      <c r="P55" s="25"/>
      <c r="Q55" s="25"/>
      <c r="R55" s="25">
        <f>SUM(R51:R54)</f>
        <v>5937636.1822999995</v>
      </c>
      <c r="T55" s="37"/>
    </row>
    <row r="56" spans="2:20" ht="11.4" x14ac:dyDescent="0.2">
      <c r="B56" s="33"/>
      <c r="C56" s="31" t="s">
        <v>4</v>
      </c>
      <c r="F56" s="25"/>
      <c r="G56" s="32"/>
      <c r="H56" s="10"/>
      <c r="I56" s="10"/>
      <c r="J56" s="25"/>
      <c r="K56" s="25"/>
      <c r="L56" s="25"/>
      <c r="M56" s="25"/>
      <c r="N56" s="25"/>
      <c r="O56" s="25"/>
      <c r="P56" s="25"/>
      <c r="Q56" s="25"/>
      <c r="R56" s="25"/>
      <c r="T56" s="37"/>
    </row>
    <row r="57" spans="2:20" ht="11.4" x14ac:dyDescent="0.2">
      <c r="B57" s="33"/>
      <c r="C57" s="7" t="s">
        <v>61</v>
      </c>
      <c r="F57" s="25"/>
      <c r="G57" s="32"/>
      <c r="H57" s="10"/>
      <c r="I57" s="10"/>
      <c r="J57" s="25"/>
      <c r="K57" s="25"/>
      <c r="L57" s="25"/>
      <c r="M57" s="25"/>
      <c r="N57" s="25">
        <f>-810137+212829</f>
        <v>-597308</v>
      </c>
      <c r="O57" s="25"/>
      <c r="P57" s="25"/>
      <c r="Q57" s="25"/>
      <c r="R57" s="25">
        <f t="shared" ref="R57:R72" si="5">SUM(F57:Q57)</f>
        <v>-597308</v>
      </c>
      <c r="T57" s="37"/>
    </row>
    <row r="58" spans="2:20" ht="11.4" x14ac:dyDescent="0.2">
      <c r="B58" s="33"/>
      <c r="C58" s="72" t="s">
        <v>92</v>
      </c>
      <c r="F58" s="25"/>
      <c r="G58" s="32"/>
      <c r="H58" s="10"/>
      <c r="I58" s="10"/>
      <c r="J58" s="25"/>
      <c r="K58" s="25"/>
      <c r="L58" s="25"/>
      <c r="M58" s="25"/>
      <c r="N58" s="76">
        <v>-507763</v>
      </c>
      <c r="O58" s="25"/>
      <c r="P58" s="25"/>
      <c r="Q58" s="25"/>
      <c r="R58" s="25">
        <f t="shared" si="5"/>
        <v>-507763</v>
      </c>
      <c r="T58" s="37"/>
    </row>
    <row r="59" spans="2:20" ht="11.4" x14ac:dyDescent="0.2">
      <c r="B59" s="33"/>
      <c r="C59" s="7" t="s">
        <v>29</v>
      </c>
      <c r="F59" s="25"/>
      <c r="G59" s="32"/>
      <c r="H59" s="10"/>
      <c r="I59" s="10"/>
      <c r="J59" s="25"/>
      <c r="K59" s="25"/>
      <c r="L59" s="25"/>
      <c r="M59" s="25">
        <v>-16581</v>
      </c>
      <c r="N59" s="25"/>
      <c r="O59" s="25"/>
      <c r="P59" s="25"/>
      <c r="Q59" s="25"/>
      <c r="R59" s="25">
        <f t="shared" si="5"/>
        <v>-16581</v>
      </c>
      <c r="T59" s="37"/>
    </row>
    <row r="60" spans="2:20" ht="11.4" x14ac:dyDescent="0.2">
      <c r="B60" s="33"/>
      <c r="C60" s="7" t="s">
        <v>68</v>
      </c>
      <c r="F60" s="25"/>
      <c r="G60" s="32"/>
      <c r="H60" s="10"/>
      <c r="I60" s="10"/>
      <c r="J60" s="25"/>
      <c r="K60" s="25"/>
      <c r="L60" s="25"/>
      <c r="M60" s="25"/>
      <c r="N60" s="25">
        <v>86800</v>
      </c>
      <c r="O60" s="25"/>
      <c r="P60" s="25"/>
      <c r="Q60" s="25"/>
      <c r="R60" s="25">
        <f t="shared" si="5"/>
        <v>86800</v>
      </c>
      <c r="T60" s="37"/>
    </row>
    <row r="61" spans="2:20" ht="11.4" x14ac:dyDescent="0.2">
      <c r="B61" s="33"/>
      <c r="C61" s="7" t="s">
        <v>72</v>
      </c>
      <c r="F61" s="25"/>
      <c r="G61" s="32"/>
      <c r="H61" s="10"/>
      <c r="I61" s="10"/>
      <c r="J61" s="25"/>
      <c r="K61" s="25"/>
      <c r="L61" s="25"/>
      <c r="M61" s="25"/>
      <c r="N61" s="25">
        <v>-3792534</v>
      </c>
      <c r="O61" s="25"/>
      <c r="P61" s="25"/>
      <c r="Q61" s="25"/>
      <c r="R61" s="25">
        <f t="shared" si="5"/>
        <v>-3792534</v>
      </c>
      <c r="T61" s="37"/>
    </row>
    <row r="62" spans="2:20" ht="11.4" x14ac:dyDescent="0.2">
      <c r="B62" s="33"/>
      <c r="C62" s="7" t="s">
        <v>78</v>
      </c>
      <c r="F62" s="25"/>
      <c r="G62" s="32"/>
      <c r="H62" s="10"/>
      <c r="I62" s="10"/>
      <c r="J62" s="25"/>
      <c r="K62" s="25"/>
      <c r="L62" s="25"/>
      <c r="M62" s="25"/>
      <c r="N62" s="25"/>
      <c r="O62" s="25">
        <v>98265</v>
      </c>
      <c r="P62" s="25"/>
      <c r="Q62" s="25"/>
      <c r="R62" s="25">
        <f t="shared" si="5"/>
        <v>98265</v>
      </c>
      <c r="T62" s="37"/>
    </row>
    <row r="63" spans="2:20" ht="11.4" x14ac:dyDescent="0.2">
      <c r="B63" s="33"/>
      <c r="C63" s="7" t="s">
        <v>102</v>
      </c>
      <c r="F63" s="25"/>
      <c r="G63" s="32"/>
      <c r="H63" s="10"/>
      <c r="I63" s="10"/>
      <c r="J63" s="25"/>
      <c r="K63" s="25">
        <v>96938</v>
      </c>
      <c r="L63" s="25"/>
      <c r="M63" s="25"/>
      <c r="N63" s="25"/>
      <c r="O63" s="25"/>
      <c r="P63" s="25"/>
      <c r="Q63" s="25"/>
      <c r="R63" s="25"/>
      <c r="T63" s="37"/>
    </row>
    <row r="64" spans="2:20" ht="11.4" x14ac:dyDescent="0.2">
      <c r="B64" s="33"/>
      <c r="C64" s="7" t="s">
        <v>73</v>
      </c>
      <c r="F64" s="25"/>
      <c r="G64" s="32"/>
      <c r="H64" s="10"/>
      <c r="I64" s="10"/>
      <c r="J64" s="25"/>
      <c r="K64" s="25">
        <v>92753</v>
      </c>
      <c r="L64" s="25"/>
      <c r="M64" s="25"/>
      <c r="N64" s="25">
        <v>307363</v>
      </c>
      <c r="O64" s="25">
        <v>138465</v>
      </c>
      <c r="P64" s="25"/>
      <c r="Q64" s="25"/>
      <c r="R64" s="25">
        <f t="shared" si="5"/>
        <v>538581</v>
      </c>
      <c r="T64" s="37"/>
    </row>
    <row r="65" spans="1:20" ht="11.4" x14ac:dyDescent="0.2">
      <c r="B65" s="33"/>
      <c r="C65" s="7" t="s">
        <v>79</v>
      </c>
      <c r="F65" s="25"/>
      <c r="G65" s="32"/>
      <c r="H65" s="10"/>
      <c r="I65" s="10"/>
      <c r="J65" s="25"/>
      <c r="K65" s="25"/>
      <c r="L65" s="25"/>
      <c r="M65" s="25"/>
      <c r="N65" s="25"/>
      <c r="O65" s="25">
        <v>158201</v>
      </c>
      <c r="P65" s="25"/>
      <c r="Q65" s="25"/>
      <c r="R65" s="25">
        <f t="shared" si="5"/>
        <v>158201</v>
      </c>
      <c r="T65" s="37"/>
    </row>
    <row r="66" spans="1:20" ht="11.4" x14ac:dyDescent="0.2">
      <c r="B66" s="33"/>
      <c r="C66" s="7" t="s">
        <v>74</v>
      </c>
      <c r="F66" s="25"/>
      <c r="G66" s="32"/>
      <c r="H66" s="10"/>
      <c r="I66" s="10"/>
      <c r="J66" s="25"/>
      <c r="K66" s="25"/>
      <c r="L66" s="25"/>
      <c r="M66" s="25"/>
      <c r="N66" s="25">
        <v>72450</v>
      </c>
      <c r="O66" s="25"/>
      <c r="P66" s="25"/>
      <c r="Q66" s="25"/>
      <c r="R66" s="25">
        <f t="shared" si="5"/>
        <v>72450</v>
      </c>
      <c r="T66" s="37"/>
    </row>
    <row r="67" spans="1:20" x14ac:dyDescent="0.2">
      <c r="B67" s="33"/>
      <c r="C67" s="7" t="s">
        <v>67</v>
      </c>
      <c r="K67" s="17">
        <v>26300</v>
      </c>
      <c r="R67" s="25">
        <f t="shared" si="5"/>
        <v>26300</v>
      </c>
      <c r="T67" s="37"/>
    </row>
    <row r="68" spans="1:20" ht="11.4" x14ac:dyDescent="0.2">
      <c r="B68" s="33"/>
      <c r="C68" s="7" t="s">
        <v>42</v>
      </c>
      <c r="F68" s="25"/>
      <c r="G68" s="32"/>
      <c r="H68" s="10"/>
      <c r="I68" s="10"/>
      <c r="J68" s="25"/>
      <c r="K68" s="25">
        <f>72500+37271</f>
        <v>109771</v>
      </c>
      <c r="L68" s="25"/>
      <c r="M68" s="25"/>
      <c r="N68" s="25"/>
      <c r="O68" s="25"/>
      <c r="P68" s="25"/>
      <c r="Q68" s="25"/>
      <c r="R68" s="25">
        <f t="shared" si="5"/>
        <v>109771</v>
      </c>
      <c r="T68" s="37"/>
    </row>
    <row r="69" spans="1:20" ht="11.4" x14ac:dyDescent="0.2">
      <c r="B69" s="33"/>
      <c r="C69" s="7" t="s">
        <v>47</v>
      </c>
      <c r="F69" s="25"/>
      <c r="G69" s="32"/>
      <c r="H69" s="10"/>
      <c r="I69" s="10"/>
      <c r="J69" s="25"/>
      <c r="K69" s="25"/>
      <c r="L69" s="25">
        <f>-22500-20850+61662+15602+27225+77500</f>
        <v>138639</v>
      </c>
      <c r="M69" s="25"/>
      <c r="N69" s="25"/>
      <c r="O69" s="25"/>
      <c r="P69" s="25"/>
      <c r="Q69" s="25"/>
      <c r="R69" s="25">
        <f t="shared" si="5"/>
        <v>138639</v>
      </c>
      <c r="T69" s="37"/>
    </row>
    <row r="70" spans="1:20" ht="11.4" x14ac:dyDescent="0.2">
      <c r="B70" s="33"/>
      <c r="C70" s="7" t="s">
        <v>50</v>
      </c>
      <c r="G70" s="32"/>
      <c r="L70" s="17">
        <v>238681</v>
      </c>
      <c r="R70" s="25">
        <f t="shared" si="5"/>
        <v>238681</v>
      </c>
    </row>
    <row r="71" spans="1:20" ht="11.4" x14ac:dyDescent="0.2">
      <c r="B71" s="33"/>
      <c r="C71" s="25" t="s">
        <v>17</v>
      </c>
      <c r="F71" s="10"/>
      <c r="G71" s="32"/>
      <c r="H71" s="43"/>
      <c r="I71" s="10"/>
      <c r="J71" s="25"/>
      <c r="K71" s="25"/>
      <c r="L71" s="25"/>
      <c r="M71" s="25">
        <v>17500</v>
      </c>
      <c r="O71" s="17">
        <v>372680</v>
      </c>
      <c r="P71" s="25"/>
      <c r="Q71" s="25"/>
      <c r="R71" s="25">
        <f>SUM(F71:Q71)</f>
        <v>390180</v>
      </c>
    </row>
    <row r="72" spans="1:20" ht="11.4" x14ac:dyDescent="0.2">
      <c r="B72" s="33"/>
      <c r="C72" s="54" t="s">
        <v>55</v>
      </c>
      <c r="F72" s="10"/>
      <c r="G72" s="59"/>
      <c r="H72" s="45"/>
      <c r="I72" s="11"/>
      <c r="J72" s="11"/>
      <c r="K72" s="11"/>
      <c r="L72" s="11"/>
      <c r="M72" s="11">
        <v>1729206</v>
      </c>
      <c r="N72" s="11">
        <v>470078</v>
      </c>
      <c r="O72" s="11">
        <v>-2555927</v>
      </c>
      <c r="P72" s="11"/>
      <c r="Q72" s="25"/>
      <c r="R72" s="11">
        <f t="shared" si="5"/>
        <v>-356643</v>
      </c>
      <c r="T72" s="37"/>
    </row>
    <row r="73" spans="1:20" ht="11.4" x14ac:dyDescent="0.2">
      <c r="B73" s="33"/>
      <c r="C73" s="17"/>
      <c r="F73" s="25"/>
      <c r="G73" s="32"/>
      <c r="H73" s="10"/>
      <c r="I73" s="10"/>
      <c r="J73" s="25"/>
      <c r="K73" s="25">
        <f>SUM(K57:K72)</f>
        <v>325762</v>
      </c>
      <c r="L73" s="25">
        <f>SUM(L57:L72)</f>
        <v>377320</v>
      </c>
      <c r="M73" s="25">
        <f>SUM(M56:M72)</f>
        <v>1730125</v>
      </c>
      <c r="N73" s="25">
        <f>SUM(N57:N72)</f>
        <v>-3960914</v>
      </c>
      <c r="O73" s="25">
        <f>SUM(O57:O72)</f>
        <v>-1788316</v>
      </c>
      <c r="P73" s="25"/>
      <c r="Q73" s="25"/>
      <c r="R73" s="25">
        <f>SUM(R57:R72)</f>
        <v>-3412961</v>
      </c>
      <c r="T73" s="37"/>
    </row>
    <row r="74" spans="1:20" ht="11.4" x14ac:dyDescent="0.2">
      <c r="B74" s="33"/>
      <c r="C74" s="17"/>
      <c r="F74" s="25"/>
      <c r="G74" s="32"/>
      <c r="H74" s="10"/>
      <c r="I74" s="10"/>
      <c r="J74" s="25"/>
      <c r="K74" s="25"/>
      <c r="L74" s="25"/>
      <c r="M74" s="25"/>
      <c r="N74" s="25"/>
      <c r="O74" s="25"/>
      <c r="P74" s="25"/>
      <c r="Q74" s="25"/>
      <c r="R74" s="25"/>
      <c r="T74" s="37"/>
    </row>
    <row r="75" spans="1:20" x14ac:dyDescent="0.2">
      <c r="C75" s="31" t="s">
        <v>8</v>
      </c>
      <c r="F75" s="25"/>
      <c r="H75" s="25"/>
      <c r="I75" s="25"/>
      <c r="J75" s="25"/>
      <c r="K75" s="25"/>
      <c r="L75" s="25"/>
      <c r="M75" s="25"/>
      <c r="N75" s="25"/>
      <c r="O75" s="25"/>
      <c r="P75" s="25"/>
      <c r="Q75" s="25"/>
      <c r="R75" s="25"/>
    </row>
    <row r="76" spans="1:20" x14ac:dyDescent="0.2">
      <c r="C76" s="7" t="s">
        <v>103</v>
      </c>
      <c r="F76" s="25"/>
      <c r="H76" s="25"/>
      <c r="I76" s="25"/>
      <c r="J76" s="25"/>
      <c r="K76" s="25">
        <v>57068</v>
      </c>
      <c r="L76" s="25">
        <v>85027</v>
      </c>
      <c r="M76" s="25"/>
      <c r="N76" s="25"/>
      <c r="O76" s="25"/>
      <c r="P76" s="25"/>
      <c r="Q76" s="25"/>
      <c r="R76" s="25"/>
    </row>
    <row r="77" spans="1:20" s="22" customFormat="1" x14ac:dyDescent="0.2">
      <c r="A77" s="36"/>
      <c r="B77" s="36"/>
      <c r="C77" s="25" t="s">
        <v>84</v>
      </c>
      <c r="D77" s="6"/>
      <c r="E77" s="7"/>
      <c r="F77" s="11"/>
      <c r="G77" s="8"/>
      <c r="H77" s="11"/>
      <c r="I77" s="11"/>
      <c r="J77" s="77">
        <v>337500</v>
      </c>
      <c r="K77" s="11"/>
      <c r="L77" s="11"/>
      <c r="M77" s="11"/>
      <c r="N77" s="11"/>
      <c r="O77" s="11"/>
      <c r="P77" s="11">
        <f>-3964283-P35</f>
        <v>-458901</v>
      </c>
      <c r="Q77" s="25"/>
      <c r="R77" s="11">
        <f>SUM(F77:Q77)</f>
        <v>-121401</v>
      </c>
    </row>
    <row r="78" spans="1:20" x14ac:dyDescent="0.2">
      <c r="C78" s="7" t="s">
        <v>2</v>
      </c>
      <c r="F78" s="10"/>
      <c r="G78" s="6"/>
      <c r="H78" s="10"/>
      <c r="I78" s="10"/>
      <c r="J78" s="73">
        <f>SUM(J77)</f>
        <v>337500</v>
      </c>
      <c r="K78" s="10">
        <f>SUM(K76:K77)</f>
        <v>57068</v>
      </c>
      <c r="L78" s="10">
        <f>SUM(L76:L77)</f>
        <v>85027</v>
      </c>
      <c r="M78" s="10"/>
      <c r="N78" s="10"/>
      <c r="O78" s="10"/>
      <c r="P78" s="10">
        <f>SUM(P75:P77)</f>
        <v>-458901</v>
      </c>
      <c r="Q78" s="25"/>
      <c r="R78" s="10">
        <f>SUM(R75:R77)</f>
        <v>-121401</v>
      </c>
    </row>
    <row r="79" spans="1:20" x14ac:dyDescent="0.2">
      <c r="F79" s="10"/>
      <c r="H79" s="25"/>
      <c r="I79" s="25"/>
      <c r="J79" s="25"/>
      <c r="K79" s="25"/>
      <c r="L79" s="25"/>
      <c r="M79" s="25"/>
      <c r="N79" s="25"/>
      <c r="O79" s="25"/>
      <c r="P79" s="25"/>
      <c r="Q79" s="25"/>
      <c r="R79" s="25"/>
    </row>
    <row r="80" spans="1:20" ht="12" x14ac:dyDescent="0.25">
      <c r="B80" s="30" t="s">
        <v>87</v>
      </c>
      <c r="C80" s="31"/>
      <c r="F80" s="25"/>
      <c r="H80" s="25"/>
      <c r="I80" s="25"/>
      <c r="J80" s="25"/>
      <c r="K80" s="25"/>
      <c r="L80" s="25"/>
      <c r="M80" s="25"/>
      <c r="N80" s="25"/>
      <c r="O80" s="25"/>
      <c r="P80" s="25"/>
      <c r="Q80" s="25"/>
      <c r="R80" s="25"/>
    </row>
    <row r="81" spans="2:18" x14ac:dyDescent="0.2">
      <c r="C81" s="31" t="s">
        <v>5</v>
      </c>
      <c r="F81" s="25"/>
      <c r="H81" s="25"/>
      <c r="I81" s="25"/>
      <c r="J81" s="25"/>
      <c r="K81" s="25"/>
      <c r="L81" s="25"/>
      <c r="M81" s="25"/>
      <c r="N81" s="25"/>
      <c r="O81" s="25"/>
      <c r="P81" s="25"/>
      <c r="Q81" s="25"/>
      <c r="R81" s="25"/>
    </row>
    <row r="82" spans="2:18" x14ac:dyDescent="0.2">
      <c r="C82" s="7" t="s">
        <v>81</v>
      </c>
      <c r="F82" s="10"/>
      <c r="G82" s="52"/>
      <c r="H82" s="10"/>
      <c r="I82" s="43"/>
      <c r="J82" s="48"/>
      <c r="K82" s="48"/>
      <c r="L82" s="48"/>
      <c r="M82" s="48"/>
      <c r="N82" s="48"/>
      <c r="O82" s="48">
        <v>250621</v>
      </c>
      <c r="P82" s="25"/>
      <c r="Q82" s="25"/>
      <c r="R82" s="25">
        <f>SUM(G82:P82)</f>
        <v>250621</v>
      </c>
    </row>
    <row r="83" spans="2:18" x14ac:dyDescent="0.2">
      <c r="C83" s="7" t="s">
        <v>88</v>
      </c>
      <c r="F83" s="25"/>
      <c r="G83" s="8"/>
      <c r="H83" s="11"/>
      <c r="I83" s="11"/>
      <c r="J83" s="11"/>
      <c r="K83" s="11"/>
      <c r="L83" s="11"/>
      <c r="M83" s="45">
        <f>(-78953+47035)*5.786</f>
        <v>-184677.54799999998</v>
      </c>
      <c r="N83" s="11"/>
      <c r="O83" s="11"/>
      <c r="P83" s="11"/>
      <c r="Q83" s="25"/>
      <c r="R83" s="11">
        <f>SUM(F83:Q83)</f>
        <v>-184677.54799999998</v>
      </c>
    </row>
    <row r="84" spans="2:18" x14ac:dyDescent="0.2">
      <c r="C84" s="31"/>
      <c r="F84" s="25"/>
      <c r="H84" s="25"/>
      <c r="I84" s="25"/>
      <c r="J84" s="25"/>
      <c r="K84" s="48"/>
      <c r="L84" s="48"/>
      <c r="M84" s="48">
        <f>SUM(M83:M83)</f>
        <v>-184677.54799999998</v>
      </c>
      <c r="N84" s="48"/>
      <c r="O84" s="48">
        <f>SUM(O82:O83)</f>
        <v>250621</v>
      </c>
      <c r="P84" s="25"/>
      <c r="Q84" s="25"/>
      <c r="R84" s="25">
        <f>SUM(R83:R83)</f>
        <v>-184677.54799999998</v>
      </c>
    </row>
    <row r="85" spans="2:18" x14ac:dyDescent="0.2">
      <c r="C85" s="31"/>
      <c r="F85" s="25"/>
      <c r="H85" s="25"/>
      <c r="I85" s="25"/>
      <c r="J85" s="25"/>
      <c r="K85" s="48"/>
      <c r="L85" s="48"/>
      <c r="M85" s="48"/>
      <c r="N85" s="48"/>
      <c r="O85" s="48"/>
      <c r="P85" s="25"/>
      <c r="Q85" s="25"/>
      <c r="R85" s="25"/>
    </row>
    <row r="86" spans="2:18" x14ac:dyDescent="0.2">
      <c r="B86" s="33"/>
      <c r="C86" s="31" t="s">
        <v>4</v>
      </c>
      <c r="F86" s="10"/>
      <c r="H86" s="10"/>
      <c r="I86" s="10"/>
      <c r="J86" s="25"/>
      <c r="K86" s="48"/>
      <c r="L86" s="48"/>
      <c r="M86" s="48"/>
      <c r="N86" s="48"/>
      <c r="O86" s="48"/>
      <c r="P86" s="25"/>
      <c r="Q86" s="25"/>
      <c r="R86" s="10"/>
    </row>
    <row r="87" spans="2:18" hidden="1" x14ac:dyDescent="0.2">
      <c r="B87" s="33"/>
      <c r="C87" s="25" t="s">
        <v>17</v>
      </c>
      <c r="F87" s="10"/>
      <c r="H87" s="10"/>
      <c r="I87" s="10"/>
      <c r="J87" s="25"/>
      <c r="K87" s="48"/>
      <c r="L87" s="48"/>
      <c r="M87" s="48"/>
      <c r="N87" s="48"/>
      <c r="O87" s="48"/>
      <c r="P87" s="25"/>
      <c r="Q87" s="25"/>
      <c r="R87" s="25">
        <f>SUM(G87:Q87)</f>
        <v>0</v>
      </c>
    </row>
    <row r="88" spans="2:18" ht="0.75" hidden="1" customHeight="1" x14ac:dyDescent="0.2">
      <c r="B88" s="33"/>
      <c r="C88" s="25" t="s">
        <v>19</v>
      </c>
      <c r="F88" s="10"/>
      <c r="H88" s="10"/>
      <c r="I88" s="10"/>
      <c r="J88" s="25"/>
      <c r="K88" s="48"/>
      <c r="L88" s="48"/>
      <c r="M88" s="48"/>
      <c r="N88" s="48"/>
      <c r="O88" s="48"/>
      <c r="P88" s="25"/>
      <c r="Q88" s="25"/>
      <c r="R88" s="25">
        <f>SUM(G88:Q88)</f>
        <v>0</v>
      </c>
    </row>
    <row r="89" spans="2:18" hidden="1" x14ac:dyDescent="0.2">
      <c r="B89" s="33"/>
      <c r="C89" s="25" t="s">
        <v>20</v>
      </c>
      <c r="F89" s="10"/>
      <c r="H89" s="10"/>
      <c r="I89" s="10"/>
      <c r="J89" s="25"/>
      <c r="K89" s="48"/>
      <c r="L89" s="48"/>
      <c r="M89" s="48"/>
      <c r="N89" s="48"/>
      <c r="O89" s="48"/>
      <c r="P89" s="25"/>
      <c r="Q89" s="25"/>
      <c r="R89" s="25">
        <f>SUM(G89:Q89)</f>
        <v>0</v>
      </c>
    </row>
    <row r="90" spans="2:18" hidden="1" x14ac:dyDescent="0.2">
      <c r="B90" s="33"/>
      <c r="C90" s="25" t="s">
        <v>21</v>
      </c>
      <c r="F90" s="10"/>
      <c r="H90" s="10"/>
      <c r="I90" s="10"/>
      <c r="J90" s="25"/>
      <c r="K90" s="48"/>
      <c r="L90" s="48"/>
      <c r="M90" s="48"/>
      <c r="N90" s="48"/>
      <c r="O90" s="48"/>
      <c r="P90" s="25"/>
      <c r="Q90" s="25"/>
      <c r="R90" s="25">
        <f>SUM(G90:Q90)</f>
        <v>0</v>
      </c>
    </row>
    <row r="91" spans="2:18" x14ac:dyDescent="0.2">
      <c r="B91" s="33"/>
      <c r="C91" s="25" t="s">
        <v>62</v>
      </c>
      <c r="F91" s="10"/>
      <c r="H91" s="10"/>
      <c r="I91" s="10"/>
      <c r="J91" s="25"/>
      <c r="K91" s="48"/>
      <c r="L91" s="48"/>
      <c r="M91" s="48"/>
      <c r="N91" s="48">
        <v>-14243</v>
      </c>
      <c r="O91" s="48"/>
      <c r="P91" s="25"/>
      <c r="Q91" s="25"/>
      <c r="R91" s="25">
        <f t="shared" ref="R91:R96" si="6">SUM(F91:Q91)</f>
        <v>-14243</v>
      </c>
    </row>
    <row r="92" spans="2:18" x14ac:dyDescent="0.2">
      <c r="B92" s="33"/>
      <c r="C92" s="25" t="s">
        <v>63</v>
      </c>
      <c r="F92" s="10"/>
      <c r="H92" s="10"/>
      <c r="I92" s="10"/>
      <c r="J92" s="25"/>
      <c r="K92" s="48"/>
      <c r="L92" s="48"/>
      <c r="M92" s="48"/>
      <c r="N92" s="48">
        <v>-4130</v>
      </c>
      <c r="O92" s="48"/>
      <c r="P92" s="25"/>
      <c r="Q92" s="25"/>
      <c r="R92" s="25">
        <f t="shared" si="6"/>
        <v>-4130</v>
      </c>
    </row>
    <row r="93" spans="2:18" x14ac:dyDescent="0.2">
      <c r="B93" s="33"/>
      <c r="C93" s="25" t="s">
        <v>65</v>
      </c>
      <c r="F93" s="10"/>
      <c r="H93" s="10"/>
      <c r="I93" s="10"/>
      <c r="J93" s="25"/>
      <c r="K93" s="25"/>
      <c r="L93" s="48"/>
      <c r="M93" s="48"/>
      <c r="N93" s="48"/>
      <c r="O93" s="48"/>
      <c r="P93" s="25"/>
      <c r="Q93" s="25"/>
      <c r="R93" s="25">
        <f t="shared" si="6"/>
        <v>0</v>
      </c>
    </row>
    <row r="94" spans="2:18" x14ac:dyDescent="0.2">
      <c r="B94" s="33"/>
      <c r="C94" s="25" t="s">
        <v>64</v>
      </c>
      <c r="F94" s="10"/>
      <c r="H94" s="10"/>
      <c r="I94" s="10"/>
      <c r="J94" s="25"/>
      <c r="K94" s="48"/>
      <c r="L94" s="48"/>
      <c r="M94" s="48"/>
      <c r="N94" s="48">
        <v>-997500</v>
      </c>
      <c r="O94" s="48"/>
      <c r="P94" s="25"/>
      <c r="Q94" s="25"/>
      <c r="R94" s="25">
        <f t="shared" si="6"/>
        <v>-997500</v>
      </c>
    </row>
    <row r="95" spans="2:18" x14ac:dyDescent="0.2">
      <c r="B95" s="33"/>
      <c r="C95" s="69" t="s">
        <v>80</v>
      </c>
      <c r="F95" s="10"/>
      <c r="I95" s="10"/>
      <c r="J95" s="48"/>
      <c r="K95" s="48"/>
      <c r="L95" s="48"/>
      <c r="M95" s="48"/>
      <c r="N95" s="48"/>
      <c r="O95" s="75">
        <v>542022</v>
      </c>
      <c r="P95" s="25"/>
      <c r="Q95" s="25"/>
      <c r="R95" s="25">
        <f t="shared" si="6"/>
        <v>542022</v>
      </c>
    </row>
    <row r="96" spans="2:18" x14ac:dyDescent="0.2">
      <c r="B96" s="33"/>
      <c r="C96" s="25" t="s">
        <v>56</v>
      </c>
      <c r="F96" s="11"/>
      <c r="G96" s="8"/>
      <c r="H96" s="11"/>
      <c r="I96" s="11"/>
      <c r="J96" s="11"/>
      <c r="K96" s="45"/>
      <c r="L96" s="45"/>
      <c r="M96" s="11"/>
      <c r="N96" s="11"/>
      <c r="O96" s="11"/>
      <c r="P96" s="11"/>
      <c r="Q96" s="25"/>
      <c r="R96" s="11">
        <f t="shared" si="6"/>
        <v>0</v>
      </c>
    </row>
    <row r="97" spans="1:19" x14ac:dyDescent="0.2">
      <c r="C97" s="7" t="s">
        <v>2</v>
      </c>
      <c r="F97" s="25"/>
      <c r="G97" s="10"/>
      <c r="H97" s="10"/>
      <c r="I97" s="10"/>
      <c r="J97" s="10"/>
      <c r="K97" s="10"/>
      <c r="L97" s="10"/>
      <c r="M97" s="10"/>
      <c r="N97" s="10">
        <f>SUM(N91:N96)</f>
        <v>-1015873</v>
      </c>
      <c r="O97" s="10">
        <f>SUM(O91:O96)</f>
        <v>542022</v>
      </c>
      <c r="P97" s="10"/>
      <c r="Q97" s="25"/>
      <c r="R97" s="10">
        <f>SUM(R87:R96)</f>
        <v>-473851</v>
      </c>
    </row>
    <row r="98" spans="1:19" x14ac:dyDescent="0.2">
      <c r="G98" s="6"/>
      <c r="J98" s="21"/>
      <c r="K98" s="60"/>
      <c r="L98" s="60"/>
      <c r="M98" s="60"/>
      <c r="N98" s="60"/>
      <c r="O98" s="60"/>
      <c r="P98" s="21"/>
      <c r="Q98" s="21"/>
      <c r="R98" s="20"/>
    </row>
    <row r="99" spans="1:19" s="5" customFormat="1" ht="19.5" customHeight="1" thickBot="1" x14ac:dyDescent="0.25">
      <c r="A99" s="29" t="s">
        <v>7</v>
      </c>
      <c r="B99" s="6"/>
      <c r="C99" s="7"/>
      <c r="D99" s="35"/>
      <c r="E99" s="7"/>
      <c r="F99" s="34">
        <f>+F13+F36+F48+F55+F78+F97+F35+F36</f>
        <v>0</v>
      </c>
      <c r="G99" s="34">
        <f t="shared" ref="G99:P99" si="7">G13+G17+G35+G48+G55+G73+G78+G84+G97</f>
        <v>-23008</v>
      </c>
      <c r="H99" s="34">
        <f t="shared" si="7"/>
        <v>-8731</v>
      </c>
      <c r="I99" s="34">
        <f t="shared" si="7"/>
        <v>-14670</v>
      </c>
      <c r="J99" s="34">
        <f t="shared" si="7"/>
        <v>376341</v>
      </c>
      <c r="K99" s="34">
        <f t="shared" si="7"/>
        <v>1141398.1823</v>
      </c>
      <c r="L99" s="34">
        <f t="shared" si="7"/>
        <v>2464716</v>
      </c>
      <c r="M99" s="34">
        <f t="shared" si="7"/>
        <v>6460822.4819999998</v>
      </c>
      <c r="N99" s="34">
        <f t="shared" si="7"/>
        <v>-3302298.26</v>
      </c>
      <c r="O99" s="34">
        <f t="shared" si="7"/>
        <v>757718</v>
      </c>
      <c r="P99" s="34">
        <f t="shared" si="7"/>
        <v>-3964283</v>
      </c>
      <c r="Q99" s="35"/>
      <c r="R99" s="34">
        <f>+R13+R36+R48+R55+R78+R97+R35+R36+R17+R73++R84+R79</f>
        <v>3398351.4042999991</v>
      </c>
      <c r="S99" s="47">
        <f>R13+R17+R35+R48+R55+R73+R78+R84+R97</f>
        <v>3398351.4042999991</v>
      </c>
    </row>
    <row r="100" spans="1:19" s="5" customFormat="1" ht="10.8" thickTop="1" x14ac:dyDescent="0.2">
      <c r="A100" s="6"/>
      <c r="B100" s="6"/>
      <c r="C100" s="7"/>
      <c r="D100" s="14"/>
      <c r="E100" s="35"/>
      <c r="F100" s="14"/>
      <c r="G100" s="14"/>
      <c r="H100" s="14"/>
      <c r="I100" s="14"/>
      <c r="J100" s="14"/>
      <c r="K100" s="14"/>
      <c r="L100" s="14"/>
      <c r="M100" s="14"/>
      <c r="N100" s="14"/>
      <c r="O100" s="14"/>
      <c r="P100" s="14"/>
      <c r="Q100" s="51"/>
      <c r="R100" s="47"/>
      <c r="S100" s="47"/>
    </row>
    <row r="101" spans="1:19" s="5" customFormat="1" x14ac:dyDescent="0.2">
      <c r="A101" s="29" t="s">
        <v>9</v>
      </c>
      <c r="B101" s="6"/>
      <c r="C101" s="7"/>
      <c r="D101" s="14"/>
      <c r="E101" s="35"/>
      <c r="F101" s="14">
        <f t="shared" ref="F101:P101" si="8">+F8-F99</f>
        <v>0</v>
      </c>
      <c r="G101" s="29">
        <f t="shared" si="8"/>
        <v>0</v>
      </c>
      <c r="H101" s="29">
        <f t="shared" si="8"/>
        <v>0</v>
      </c>
      <c r="I101" s="14">
        <f t="shared" si="8"/>
        <v>0</v>
      </c>
      <c r="J101" s="14">
        <f t="shared" si="8"/>
        <v>0</v>
      </c>
      <c r="K101" s="14">
        <f t="shared" si="8"/>
        <v>-0.1822999999858439</v>
      </c>
      <c r="L101" s="14">
        <f t="shared" si="8"/>
        <v>0</v>
      </c>
      <c r="M101" s="14">
        <f t="shared" si="8"/>
        <v>-59006.481999999844</v>
      </c>
      <c r="N101" s="14">
        <f t="shared" si="8"/>
        <v>0.25999999977648258</v>
      </c>
      <c r="O101" s="14">
        <f t="shared" si="8"/>
        <v>19030</v>
      </c>
      <c r="P101" s="14">
        <f t="shared" si="8"/>
        <v>0</v>
      </c>
      <c r="Q101" s="7"/>
      <c r="R101" s="6">
        <f>+R8-R99</f>
        <v>449677.59570000088</v>
      </c>
    </row>
    <row r="102" spans="1:19" x14ac:dyDescent="0.2">
      <c r="Q102" s="52"/>
    </row>
    <row r="103" spans="1:19" ht="12.75" customHeight="1" x14ac:dyDescent="0.2">
      <c r="H103" s="46"/>
      <c r="J103" s="61"/>
      <c r="K103" s="61"/>
      <c r="L103" s="61"/>
      <c r="M103" s="61"/>
      <c r="N103" s="61"/>
      <c r="O103" s="61"/>
      <c r="P103" s="61"/>
      <c r="Q103" s="52"/>
    </row>
    <row r="104" spans="1:19" x14ac:dyDescent="0.2">
      <c r="H104" s="46"/>
      <c r="Q104" s="52"/>
    </row>
    <row r="105" spans="1:19" x14ac:dyDescent="0.2">
      <c r="Q105" s="52"/>
    </row>
    <row r="106" spans="1:19" x14ac:dyDescent="0.2">
      <c r="Q106" s="52"/>
    </row>
    <row r="107" spans="1:19" x14ac:dyDescent="0.2">
      <c r="Q107" s="52"/>
    </row>
    <row r="108" spans="1:19" x14ac:dyDescent="0.2">
      <c r="Q108" s="52"/>
    </row>
    <row r="109" spans="1:19" x14ac:dyDescent="0.2">
      <c r="Q109" s="52"/>
    </row>
    <row r="110" spans="1:19" x14ac:dyDescent="0.2">
      <c r="Q110" s="52"/>
    </row>
    <row r="111" spans="1:19" x14ac:dyDescent="0.2">
      <c r="Q111" s="52"/>
    </row>
    <row r="112" spans="1:19" x14ac:dyDescent="0.2">
      <c r="Q112" s="52"/>
    </row>
    <row r="113" spans="17:17" x14ac:dyDescent="0.2">
      <c r="Q113" s="52"/>
    </row>
    <row r="114" spans="17:17" x14ac:dyDescent="0.2">
      <c r="Q114" s="52"/>
    </row>
    <row r="115" spans="17:17" x14ac:dyDescent="0.2">
      <c r="Q115" s="52"/>
    </row>
    <row r="116" spans="17:17" x14ac:dyDescent="0.2">
      <c r="Q116" s="52"/>
    </row>
    <row r="117" spans="17:17" x14ac:dyDescent="0.2">
      <c r="Q117" s="52"/>
    </row>
    <row r="118" spans="17:17" x14ac:dyDescent="0.2">
      <c r="Q118" s="52"/>
    </row>
    <row r="119" spans="17:17" x14ac:dyDescent="0.2">
      <c r="Q119" s="52"/>
    </row>
    <row r="120" spans="17:17" x14ac:dyDescent="0.2">
      <c r="Q120" s="52"/>
    </row>
    <row r="121" spans="17:17" x14ac:dyDescent="0.2">
      <c r="Q121" s="52"/>
    </row>
    <row r="122" spans="17:17" x14ac:dyDescent="0.2">
      <c r="Q122" s="52"/>
    </row>
    <row r="123" spans="17:17" x14ac:dyDescent="0.2">
      <c r="Q123" s="52"/>
    </row>
    <row r="124" spans="17:17" x14ac:dyDescent="0.2">
      <c r="Q124" s="52"/>
    </row>
    <row r="125" spans="17:17" x14ac:dyDescent="0.2">
      <c r="Q125" s="52"/>
    </row>
    <row r="126" spans="17:17" x14ac:dyDescent="0.2">
      <c r="Q126" s="52"/>
    </row>
    <row r="127" spans="17:17" x14ac:dyDescent="0.2">
      <c r="Q127" s="52"/>
    </row>
    <row r="128" spans="17:17" x14ac:dyDescent="0.2">
      <c r="Q128" s="52"/>
    </row>
    <row r="129" spans="17:17" x14ac:dyDescent="0.2">
      <c r="Q129" s="52"/>
    </row>
    <row r="130" spans="17:17" x14ac:dyDescent="0.2">
      <c r="Q130" s="52"/>
    </row>
    <row r="131" spans="17:17" x14ac:dyDescent="0.2">
      <c r="Q131" s="52"/>
    </row>
    <row r="132" spans="17:17" x14ac:dyDescent="0.2">
      <c r="Q132" s="52"/>
    </row>
    <row r="133" spans="17:17" x14ac:dyDescent="0.2">
      <c r="Q133" s="52"/>
    </row>
    <row r="134" spans="17:17" x14ac:dyDescent="0.2">
      <c r="Q134" s="52"/>
    </row>
    <row r="135" spans="17:17" x14ac:dyDescent="0.2">
      <c r="Q135" s="52"/>
    </row>
    <row r="136" spans="17:17" x14ac:dyDescent="0.2">
      <c r="Q136" s="52"/>
    </row>
    <row r="137" spans="17:17" x14ac:dyDescent="0.2">
      <c r="Q137" s="52"/>
    </row>
    <row r="138" spans="17:17" x14ac:dyDescent="0.2">
      <c r="Q138" s="52"/>
    </row>
    <row r="139" spans="17:17" x14ac:dyDescent="0.2">
      <c r="Q139" s="52"/>
    </row>
    <row r="140" spans="17:17" x14ac:dyDescent="0.2">
      <c r="Q140" s="52"/>
    </row>
    <row r="141" spans="17:17" x14ac:dyDescent="0.2">
      <c r="Q141" s="52"/>
    </row>
    <row r="142" spans="17:17" x14ac:dyDescent="0.2">
      <c r="Q142" s="52"/>
    </row>
    <row r="143" spans="17:17" x14ac:dyDescent="0.2">
      <c r="Q143" s="52"/>
    </row>
    <row r="144" spans="17:17" x14ac:dyDescent="0.2">
      <c r="Q144" s="52"/>
    </row>
    <row r="145" spans="17:17" x14ac:dyDescent="0.2">
      <c r="Q145" s="52"/>
    </row>
    <row r="146" spans="17:17" x14ac:dyDescent="0.2">
      <c r="Q146" s="52"/>
    </row>
    <row r="147" spans="17:17" x14ac:dyDescent="0.2">
      <c r="Q147" s="52"/>
    </row>
    <row r="148" spans="17:17" x14ac:dyDescent="0.2">
      <c r="Q148" s="52"/>
    </row>
    <row r="149" spans="17:17" x14ac:dyDescent="0.2">
      <c r="Q149" s="52"/>
    </row>
    <row r="150" spans="17:17" x14ac:dyDescent="0.2">
      <c r="Q150" s="52"/>
    </row>
    <row r="151" spans="17:17" x14ac:dyDescent="0.2">
      <c r="Q151" s="52"/>
    </row>
    <row r="152" spans="17:17" x14ac:dyDescent="0.2">
      <c r="Q152" s="52"/>
    </row>
    <row r="153" spans="17:17" x14ac:dyDescent="0.2">
      <c r="Q153" s="52"/>
    </row>
    <row r="154" spans="17:17" x14ac:dyDescent="0.2">
      <c r="Q154" s="52"/>
    </row>
    <row r="155" spans="17:17" x14ac:dyDescent="0.2">
      <c r="Q155" s="52"/>
    </row>
    <row r="156" spans="17:17" x14ac:dyDescent="0.2">
      <c r="Q156" s="52"/>
    </row>
    <row r="157" spans="17:17" x14ac:dyDescent="0.2">
      <c r="Q157" s="52"/>
    </row>
    <row r="158" spans="17:17" x14ac:dyDescent="0.2">
      <c r="Q158" s="52"/>
    </row>
    <row r="159" spans="17:17" x14ac:dyDescent="0.2">
      <c r="Q159" s="52"/>
    </row>
    <row r="160" spans="17:17" x14ac:dyDescent="0.2">
      <c r="Q160" s="52"/>
    </row>
    <row r="161" spans="17:17" x14ac:dyDescent="0.2">
      <c r="Q161" s="52"/>
    </row>
    <row r="162" spans="17:17" x14ac:dyDescent="0.2">
      <c r="Q162" s="52"/>
    </row>
    <row r="163" spans="17:17" x14ac:dyDescent="0.2">
      <c r="Q163" s="52"/>
    </row>
    <row r="164" spans="17:17" x14ac:dyDescent="0.2">
      <c r="Q164" s="52"/>
    </row>
    <row r="165" spans="17:17" x14ac:dyDescent="0.2">
      <c r="Q165" s="52"/>
    </row>
    <row r="166" spans="17:17" x14ac:dyDescent="0.2">
      <c r="Q166" s="52"/>
    </row>
    <row r="167" spans="17:17" x14ac:dyDescent="0.2">
      <c r="Q167" s="52"/>
    </row>
    <row r="168" spans="17:17" x14ac:dyDescent="0.2">
      <c r="Q168" s="52"/>
    </row>
    <row r="169" spans="17:17" x14ac:dyDescent="0.2">
      <c r="Q169" s="52"/>
    </row>
    <row r="170" spans="17:17" x14ac:dyDescent="0.2">
      <c r="Q170" s="52"/>
    </row>
    <row r="171" spans="17:17" x14ac:dyDescent="0.2">
      <c r="Q171" s="52"/>
    </row>
    <row r="172" spans="17:17" x14ac:dyDescent="0.2">
      <c r="Q172" s="52"/>
    </row>
    <row r="173" spans="17:17" x14ac:dyDescent="0.2">
      <c r="Q173" s="52"/>
    </row>
    <row r="174" spans="17:17" x14ac:dyDescent="0.2">
      <c r="Q174" s="52"/>
    </row>
    <row r="175" spans="17:17" x14ac:dyDescent="0.2">
      <c r="Q175" s="52"/>
    </row>
    <row r="176" spans="17:17" x14ac:dyDescent="0.2">
      <c r="Q176" s="52"/>
    </row>
    <row r="177" spans="17:17" x14ac:dyDescent="0.2">
      <c r="Q177" s="52"/>
    </row>
    <row r="178" spans="17:17" x14ac:dyDescent="0.2">
      <c r="Q178" s="52"/>
    </row>
    <row r="179" spans="17:17" x14ac:dyDescent="0.2">
      <c r="Q179" s="52"/>
    </row>
    <row r="180" spans="17:17" x14ac:dyDescent="0.2">
      <c r="Q180" s="52"/>
    </row>
    <row r="181" spans="17:17" x14ac:dyDescent="0.2">
      <c r="Q181" s="52"/>
    </row>
    <row r="182" spans="17:17" x14ac:dyDescent="0.2">
      <c r="Q182" s="52"/>
    </row>
    <row r="183" spans="17:17" x14ac:dyDescent="0.2">
      <c r="Q183" s="52"/>
    </row>
    <row r="184" spans="17:17" x14ac:dyDescent="0.2">
      <c r="Q184" s="52"/>
    </row>
    <row r="185" spans="17:17" x14ac:dyDescent="0.2">
      <c r="Q185" s="52"/>
    </row>
    <row r="186" spans="17:17" x14ac:dyDescent="0.2">
      <c r="Q186" s="52"/>
    </row>
    <row r="187" spans="17:17" x14ac:dyDescent="0.2">
      <c r="Q187" s="52"/>
    </row>
    <row r="188" spans="17:17" x14ac:dyDescent="0.2">
      <c r="Q188" s="52"/>
    </row>
    <row r="189" spans="17:17" x14ac:dyDescent="0.2">
      <c r="Q189" s="52"/>
    </row>
    <row r="190" spans="17:17" x14ac:dyDescent="0.2">
      <c r="Q190" s="52"/>
    </row>
    <row r="191" spans="17:17" x14ac:dyDescent="0.2">
      <c r="Q191" s="52"/>
    </row>
    <row r="192" spans="17:17" x14ac:dyDescent="0.2">
      <c r="Q192" s="52"/>
    </row>
    <row r="193" spans="17:17" x14ac:dyDescent="0.2">
      <c r="Q193" s="52"/>
    </row>
    <row r="194" spans="17:17" x14ac:dyDescent="0.2">
      <c r="Q194" s="52"/>
    </row>
    <row r="195" spans="17:17" x14ac:dyDescent="0.2">
      <c r="Q195" s="52"/>
    </row>
    <row r="196" spans="17:17" x14ac:dyDescent="0.2">
      <c r="Q196" s="52"/>
    </row>
    <row r="197" spans="17:17" x14ac:dyDescent="0.2">
      <c r="Q197" s="52"/>
    </row>
    <row r="198" spans="17:17" x14ac:dyDescent="0.2">
      <c r="Q198" s="52"/>
    </row>
    <row r="199" spans="17:17" x14ac:dyDescent="0.2">
      <c r="Q199" s="52"/>
    </row>
    <row r="200" spans="17:17" x14ac:dyDescent="0.2">
      <c r="Q200" s="52"/>
    </row>
    <row r="201" spans="17:17" x14ac:dyDescent="0.2">
      <c r="Q201" s="52"/>
    </row>
    <row r="202" spans="17:17" x14ac:dyDescent="0.2">
      <c r="Q202" s="52"/>
    </row>
    <row r="203" spans="17:17" x14ac:dyDescent="0.2">
      <c r="Q203" s="52"/>
    </row>
    <row r="204" spans="17:17" x14ac:dyDescent="0.2">
      <c r="Q204" s="52"/>
    </row>
    <row r="205" spans="17:17" x14ac:dyDescent="0.2">
      <c r="Q205" s="52"/>
    </row>
    <row r="206" spans="17:17" x14ac:dyDescent="0.2">
      <c r="Q206" s="52"/>
    </row>
    <row r="207" spans="17:17" x14ac:dyDescent="0.2">
      <c r="Q207" s="52"/>
    </row>
    <row r="208" spans="17:17" x14ac:dyDescent="0.2">
      <c r="Q208" s="52"/>
    </row>
    <row r="209" spans="17:17" x14ac:dyDescent="0.2">
      <c r="Q209" s="52"/>
    </row>
    <row r="210" spans="17:17" x14ac:dyDescent="0.2">
      <c r="Q210" s="52"/>
    </row>
    <row r="211" spans="17:17" x14ac:dyDescent="0.2">
      <c r="Q211" s="52"/>
    </row>
    <row r="212" spans="17:17" x14ac:dyDescent="0.2">
      <c r="Q212" s="52"/>
    </row>
    <row r="213" spans="17:17" x14ac:dyDescent="0.2">
      <c r="Q213" s="52"/>
    </row>
    <row r="214" spans="17:17" x14ac:dyDescent="0.2">
      <c r="Q214" s="52"/>
    </row>
    <row r="215" spans="17:17" x14ac:dyDescent="0.2">
      <c r="Q215" s="52"/>
    </row>
    <row r="216" spans="17:17" x14ac:dyDescent="0.2">
      <c r="Q216" s="52"/>
    </row>
    <row r="217" spans="17:17" x14ac:dyDescent="0.2">
      <c r="Q217" s="52"/>
    </row>
    <row r="218" spans="17:17" x14ac:dyDescent="0.2">
      <c r="Q218" s="52"/>
    </row>
    <row r="219" spans="17:17" x14ac:dyDescent="0.2">
      <c r="Q219" s="52"/>
    </row>
    <row r="220" spans="17:17" x14ac:dyDescent="0.2">
      <c r="Q220" s="52"/>
    </row>
    <row r="221" spans="17:17" x14ac:dyDescent="0.2">
      <c r="Q221" s="52"/>
    </row>
    <row r="222" spans="17:17" x14ac:dyDescent="0.2">
      <c r="Q222" s="52"/>
    </row>
    <row r="223" spans="17:17" x14ac:dyDescent="0.2">
      <c r="Q223" s="52"/>
    </row>
    <row r="224" spans="17:17" x14ac:dyDescent="0.2">
      <c r="Q224" s="52"/>
    </row>
    <row r="225" spans="17:17" x14ac:dyDescent="0.2">
      <c r="Q225" s="52"/>
    </row>
    <row r="226" spans="17:17" x14ac:dyDescent="0.2">
      <c r="Q226" s="52"/>
    </row>
    <row r="227" spans="17:17" x14ac:dyDescent="0.2">
      <c r="Q227" s="52"/>
    </row>
    <row r="228" spans="17:17" x14ac:dyDescent="0.2">
      <c r="Q228" s="52"/>
    </row>
    <row r="229" spans="17:17" x14ac:dyDescent="0.2">
      <c r="Q229" s="52"/>
    </row>
    <row r="230" spans="17:17" x14ac:dyDescent="0.2">
      <c r="Q230" s="52"/>
    </row>
    <row r="231" spans="17:17" x14ac:dyDescent="0.2">
      <c r="Q231" s="52"/>
    </row>
    <row r="232" spans="17:17" x14ac:dyDescent="0.2">
      <c r="Q232" s="52"/>
    </row>
    <row r="233" spans="17:17" x14ac:dyDescent="0.2">
      <c r="Q233" s="52"/>
    </row>
    <row r="234" spans="17:17" x14ac:dyDescent="0.2">
      <c r="Q234" s="52"/>
    </row>
    <row r="235" spans="17:17" x14ac:dyDescent="0.2">
      <c r="Q235" s="52"/>
    </row>
    <row r="236" spans="17:17" x14ac:dyDescent="0.2">
      <c r="Q236" s="52"/>
    </row>
    <row r="237" spans="17:17" x14ac:dyDescent="0.2">
      <c r="Q237" s="52"/>
    </row>
    <row r="238" spans="17:17" x14ac:dyDescent="0.2">
      <c r="Q238" s="52"/>
    </row>
    <row r="239" spans="17:17" x14ac:dyDescent="0.2">
      <c r="Q239" s="52"/>
    </row>
    <row r="240" spans="17:17" x14ac:dyDescent="0.2">
      <c r="Q240" s="52"/>
    </row>
    <row r="241" spans="17:17" x14ac:dyDescent="0.2">
      <c r="Q241" s="52"/>
    </row>
    <row r="242" spans="17:17" x14ac:dyDescent="0.2">
      <c r="Q242" s="52"/>
    </row>
    <row r="243" spans="17:17" x14ac:dyDescent="0.2">
      <c r="Q243" s="52"/>
    </row>
    <row r="244" spans="17:17" x14ac:dyDescent="0.2">
      <c r="Q244" s="52"/>
    </row>
    <row r="245" spans="17:17" x14ac:dyDescent="0.2">
      <c r="Q245" s="52"/>
    </row>
    <row r="246" spans="17:17" x14ac:dyDescent="0.2">
      <c r="Q246" s="52"/>
    </row>
    <row r="247" spans="17:17" x14ac:dyDescent="0.2">
      <c r="Q247" s="52"/>
    </row>
    <row r="248" spans="17:17" x14ac:dyDescent="0.2">
      <c r="Q248" s="52"/>
    </row>
    <row r="249" spans="17:17" x14ac:dyDescent="0.2">
      <c r="Q249" s="52"/>
    </row>
    <row r="250" spans="17:17" x14ac:dyDescent="0.2">
      <c r="Q250" s="52"/>
    </row>
    <row r="251" spans="17:17" x14ac:dyDescent="0.2">
      <c r="Q251" s="52"/>
    </row>
    <row r="252" spans="17:17" x14ac:dyDescent="0.2">
      <c r="Q252" s="52"/>
    </row>
    <row r="253" spans="17:17" x14ac:dyDescent="0.2">
      <c r="Q253" s="52"/>
    </row>
    <row r="254" spans="17:17" x14ac:dyDescent="0.2">
      <c r="Q254" s="52"/>
    </row>
    <row r="255" spans="17:17" x14ac:dyDescent="0.2">
      <c r="Q255" s="52"/>
    </row>
    <row r="256" spans="17:17" x14ac:dyDescent="0.2">
      <c r="Q256" s="52"/>
    </row>
    <row r="257" spans="17:17" x14ac:dyDescent="0.2">
      <c r="Q257" s="52"/>
    </row>
    <row r="258" spans="17:17" x14ac:dyDescent="0.2">
      <c r="Q258" s="52"/>
    </row>
    <row r="259" spans="17:17" x14ac:dyDescent="0.2">
      <c r="Q259" s="52"/>
    </row>
    <row r="260" spans="17:17" x14ac:dyDescent="0.2">
      <c r="Q260" s="52"/>
    </row>
    <row r="261" spans="17:17" x14ac:dyDescent="0.2">
      <c r="Q261" s="52"/>
    </row>
    <row r="262" spans="17:17" x14ac:dyDescent="0.2">
      <c r="Q262" s="52"/>
    </row>
    <row r="263" spans="17:17" x14ac:dyDescent="0.2">
      <c r="Q263" s="52"/>
    </row>
    <row r="264" spans="17:17" x14ac:dyDescent="0.2">
      <c r="Q264" s="52"/>
    </row>
    <row r="265" spans="17:17" x14ac:dyDescent="0.2">
      <c r="Q265" s="52"/>
    </row>
    <row r="266" spans="17:17" x14ac:dyDescent="0.2">
      <c r="Q266" s="52"/>
    </row>
    <row r="267" spans="17:17" x14ac:dyDescent="0.2">
      <c r="Q267" s="52"/>
    </row>
    <row r="268" spans="17:17" x14ac:dyDescent="0.2">
      <c r="Q268" s="52"/>
    </row>
    <row r="269" spans="17:17" x14ac:dyDescent="0.2">
      <c r="Q269" s="52"/>
    </row>
    <row r="270" spans="17:17" x14ac:dyDescent="0.2">
      <c r="Q270" s="52"/>
    </row>
    <row r="271" spans="17:17" x14ac:dyDescent="0.2">
      <c r="Q271" s="52"/>
    </row>
    <row r="272" spans="17:17" x14ac:dyDescent="0.2">
      <c r="Q272" s="52"/>
    </row>
    <row r="273" spans="17:17" x14ac:dyDescent="0.2">
      <c r="Q273" s="52"/>
    </row>
    <row r="274" spans="17:17" x14ac:dyDescent="0.2">
      <c r="Q274" s="52"/>
    </row>
    <row r="275" spans="17:17" x14ac:dyDescent="0.2">
      <c r="Q275" s="52"/>
    </row>
    <row r="276" spans="17:17" x14ac:dyDescent="0.2">
      <c r="Q276" s="52"/>
    </row>
    <row r="277" spans="17:17" x14ac:dyDescent="0.2">
      <c r="Q277" s="52"/>
    </row>
    <row r="278" spans="17:17" x14ac:dyDescent="0.2">
      <c r="Q278" s="52"/>
    </row>
    <row r="279" spans="17:17" x14ac:dyDescent="0.2">
      <c r="Q279" s="52"/>
    </row>
    <row r="280" spans="17:17" x14ac:dyDescent="0.2">
      <c r="Q280" s="52"/>
    </row>
    <row r="281" spans="17:17" x14ac:dyDescent="0.2">
      <c r="Q281" s="52"/>
    </row>
  </sheetData>
  <mergeCells count="8">
    <mergeCell ref="T8:AL8"/>
    <mergeCell ref="T9:AL9"/>
    <mergeCell ref="T10:AL10"/>
    <mergeCell ref="T11:AL11"/>
    <mergeCell ref="A1:M1"/>
    <mergeCell ref="A2:M2"/>
    <mergeCell ref="A3:M3"/>
    <mergeCell ref="A4:M4"/>
  </mergeCells>
  <phoneticPr fontId="1" type="noConversion"/>
  <printOptions horizontalCentered="1"/>
  <pageMargins left="0" right="0" top="0" bottom="0.25" header="0" footer="0"/>
  <pageSetup scale="55" orientation="landscape" cellComments="asDisplayed" r:id="rId1"/>
  <headerFooter alignWithMargins="0">
    <oddFooter>&amp;R&amp;D &amp;T</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IP270"/>
  <sheetViews>
    <sheetView workbookViewId="0">
      <pane xSplit="6" ySplit="7" topLeftCell="Q38" activePane="bottomRight" state="frozen"/>
      <selection activeCell="V89" sqref="V89"/>
      <selection pane="topRight" activeCell="V89" sqref="V89"/>
      <selection pane="bottomLeft" activeCell="V89" sqref="V89"/>
      <selection pane="bottomRight" activeCell="Q59" sqref="Q59"/>
    </sheetView>
  </sheetViews>
  <sheetFormatPr defaultColWidth="9.28515625" defaultRowHeight="10.199999999999999" x14ac:dyDescent="0.2"/>
  <cols>
    <col min="1" max="1" width="3.140625" style="6" customWidth="1"/>
    <col min="2" max="2" width="5" style="6" customWidth="1"/>
    <col min="3" max="3" width="54.42578125" style="7" customWidth="1"/>
    <col min="4" max="4" width="6.42578125" style="6" customWidth="1"/>
    <col min="5" max="5" width="6.28515625" style="7" customWidth="1"/>
    <col min="6" max="6" width="0.140625" style="6" customWidth="1"/>
    <col min="7" max="7" width="13.140625" style="7" customWidth="1"/>
    <col min="8" max="13" width="16.28515625" style="6" customWidth="1"/>
    <col min="14" max="14" width="16.28515625" style="17" customWidth="1"/>
    <col min="15" max="22" width="16" style="17" customWidth="1"/>
    <col min="23" max="23" width="4.7109375" style="17" customWidth="1"/>
    <col min="24" max="24" width="17.140625" style="17" customWidth="1"/>
    <col min="25" max="25" width="14.28515625" style="17" bestFit="1" customWidth="1"/>
    <col min="26" max="26" width="12.7109375" style="17" bestFit="1" customWidth="1"/>
    <col min="27" max="16384" width="9.28515625" style="17"/>
  </cols>
  <sheetData>
    <row r="1" spans="1:250" ht="13.8" x14ac:dyDescent="0.25">
      <c r="A1" s="78" t="s">
        <v>11</v>
      </c>
      <c r="B1" s="78"/>
      <c r="C1" s="78"/>
      <c r="D1" s="78"/>
      <c r="E1" s="78"/>
      <c r="F1" s="78"/>
      <c r="G1" s="78"/>
      <c r="H1" s="78"/>
      <c r="I1" s="78"/>
      <c r="J1" s="78"/>
      <c r="K1" s="78"/>
      <c r="L1" s="78"/>
      <c r="M1" s="78"/>
      <c r="N1" s="78"/>
      <c r="O1" s="78"/>
      <c r="P1" s="78"/>
      <c r="Q1" s="78"/>
      <c r="R1" s="78"/>
      <c r="S1" s="78"/>
      <c r="T1" s="67"/>
      <c r="U1" s="67"/>
    </row>
    <row r="2" spans="1:250" ht="15.6" x14ac:dyDescent="0.3">
      <c r="A2" s="79" t="s">
        <v>23</v>
      </c>
      <c r="B2" s="79"/>
      <c r="C2" s="79"/>
      <c r="D2" s="79"/>
      <c r="E2" s="79"/>
      <c r="F2" s="79"/>
      <c r="G2" s="79"/>
      <c r="H2" s="79"/>
      <c r="I2" s="79"/>
      <c r="J2" s="79"/>
      <c r="K2" s="79"/>
      <c r="L2" s="79"/>
      <c r="M2" s="79"/>
      <c r="N2" s="79"/>
      <c r="O2" s="79"/>
      <c r="P2" s="79"/>
      <c r="Q2" s="79"/>
      <c r="R2" s="79"/>
      <c r="S2" s="79"/>
      <c r="T2" s="68"/>
      <c r="U2" s="68"/>
    </row>
    <row r="3" spans="1:250" ht="13.8" x14ac:dyDescent="0.25">
      <c r="A3" s="78" t="s">
        <v>0</v>
      </c>
      <c r="B3" s="78"/>
      <c r="C3" s="78"/>
      <c r="D3" s="78"/>
      <c r="E3" s="78"/>
      <c r="F3" s="78"/>
      <c r="G3" s="78"/>
      <c r="H3" s="78"/>
      <c r="I3" s="78"/>
      <c r="J3" s="78"/>
      <c r="K3" s="78"/>
      <c r="L3" s="78"/>
      <c r="M3" s="78"/>
      <c r="N3" s="78"/>
      <c r="O3" s="78"/>
      <c r="P3" s="78"/>
      <c r="Q3" s="78"/>
      <c r="R3" s="78"/>
      <c r="S3" s="78"/>
      <c r="T3" s="67"/>
      <c r="U3" s="67"/>
    </row>
    <row r="4" spans="1:250" ht="13.8" x14ac:dyDescent="0.25">
      <c r="A4" s="78" t="s">
        <v>24</v>
      </c>
      <c r="B4" s="78"/>
      <c r="C4" s="78"/>
      <c r="D4" s="78"/>
      <c r="E4" s="78"/>
      <c r="F4" s="78"/>
      <c r="G4" s="78"/>
      <c r="H4" s="78"/>
      <c r="I4" s="78"/>
      <c r="J4" s="78"/>
      <c r="K4" s="78"/>
      <c r="L4" s="78"/>
      <c r="M4" s="78"/>
      <c r="N4" s="78"/>
      <c r="O4" s="78"/>
      <c r="P4" s="78"/>
      <c r="Q4" s="78"/>
      <c r="R4" s="78"/>
      <c r="S4" s="78"/>
      <c r="T4" s="67"/>
      <c r="U4" s="67"/>
    </row>
    <row r="5" spans="1:250" ht="13.2" x14ac:dyDescent="0.25">
      <c r="A5" s="1"/>
      <c r="B5" s="1"/>
      <c r="C5" s="2"/>
      <c r="F5" s="1"/>
      <c r="G5" s="2"/>
      <c r="H5" s="1"/>
      <c r="I5" s="1"/>
      <c r="J5" s="1"/>
      <c r="K5" s="1"/>
      <c r="L5" s="1"/>
      <c r="M5" s="1"/>
      <c r="N5" s="16"/>
      <c r="O5" s="16"/>
      <c r="P5" s="16"/>
      <c r="Q5" s="16"/>
      <c r="R5" s="16"/>
      <c r="S5" s="16"/>
      <c r="T5" s="16"/>
      <c r="U5" s="16"/>
      <c r="V5" s="16"/>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5"/>
      <c r="BA5" s="15"/>
      <c r="BB5" s="15"/>
      <c r="BC5" s="15"/>
      <c r="BD5" s="15"/>
      <c r="BE5" s="15"/>
      <c r="BF5" s="15"/>
      <c r="BG5" s="15"/>
      <c r="BH5" s="15"/>
      <c r="BI5" s="15"/>
      <c r="BJ5" s="15"/>
      <c r="BK5" s="15"/>
      <c r="BL5" s="15"/>
      <c r="BM5" s="15"/>
      <c r="BN5" s="15"/>
      <c r="BO5" s="15"/>
      <c r="BP5" s="15"/>
      <c r="BQ5" s="15"/>
      <c r="BR5" s="15"/>
      <c r="BS5" s="15"/>
      <c r="BT5" s="15"/>
      <c r="BU5" s="15"/>
      <c r="BV5" s="15"/>
      <c r="BW5" s="15"/>
      <c r="BX5" s="15"/>
      <c r="BY5" s="15"/>
      <c r="BZ5" s="15"/>
      <c r="CA5" s="15"/>
      <c r="CB5" s="15"/>
      <c r="CC5" s="15"/>
      <c r="CD5" s="15"/>
      <c r="CE5" s="15"/>
      <c r="CF5" s="15"/>
      <c r="CG5" s="15"/>
      <c r="CH5" s="15"/>
      <c r="CI5" s="15"/>
      <c r="CJ5" s="15"/>
      <c r="CK5" s="15"/>
      <c r="CL5" s="15"/>
      <c r="CM5" s="15"/>
      <c r="CN5" s="15"/>
      <c r="CO5" s="15"/>
      <c r="CP5" s="15"/>
      <c r="CQ5" s="15"/>
      <c r="CR5" s="15"/>
      <c r="CS5" s="15"/>
      <c r="CT5" s="15"/>
      <c r="CU5" s="15"/>
      <c r="CV5" s="15"/>
      <c r="CW5" s="15"/>
      <c r="CX5" s="15"/>
      <c r="CY5" s="15"/>
      <c r="CZ5" s="15"/>
      <c r="DA5" s="15"/>
      <c r="DB5" s="15"/>
      <c r="DC5" s="15"/>
      <c r="DD5" s="15"/>
      <c r="DE5" s="15"/>
      <c r="DF5" s="15"/>
      <c r="DG5" s="15"/>
      <c r="DH5" s="15"/>
      <c r="DI5" s="15"/>
      <c r="DJ5" s="15"/>
      <c r="DK5" s="15"/>
      <c r="DL5" s="15"/>
      <c r="DM5" s="15"/>
      <c r="DN5" s="15"/>
      <c r="DO5" s="15"/>
      <c r="DP5" s="15"/>
      <c r="DQ5" s="15"/>
      <c r="DR5" s="15"/>
      <c r="DS5" s="15"/>
      <c r="DT5" s="15"/>
      <c r="DU5" s="15"/>
      <c r="DV5" s="15"/>
      <c r="DW5" s="15"/>
      <c r="DX5" s="15"/>
      <c r="DY5" s="15"/>
      <c r="DZ5" s="15"/>
      <c r="EA5" s="15"/>
      <c r="EB5" s="15"/>
      <c r="EC5" s="15"/>
      <c r="ED5" s="15"/>
      <c r="EE5" s="15"/>
      <c r="EF5" s="15"/>
      <c r="EG5" s="15"/>
      <c r="EH5" s="15"/>
      <c r="EI5" s="15"/>
      <c r="EJ5" s="15"/>
      <c r="EK5" s="15"/>
      <c r="EL5" s="15"/>
      <c r="EM5" s="15"/>
      <c r="EN5" s="15"/>
      <c r="EO5" s="15"/>
      <c r="EP5" s="15"/>
      <c r="EQ5" s="15"/>
      <c r="ER5" s="15"/>
      <c r="ES5" s="15"/>
      <c r="ET5" s="15"/>
      <c r="EU5" s="15"/>
      <c r="EV5" s="15"/>
      <c r="EW5" s="15"/>
      <c r="EX5" s="15"/>
      <c r="EY5" s="15"/>
      <c r="EZ5" s="15"/>
      <c r="FA5" s="15"/>
      <c r="FB5" s="15"/>
      <c r="FC5" s="15"/>
      <c r="FD5" s="15"/>
      <c r="FE5" s="15"/>
      <c r="FF5" s="15"/>
      <c r="FG5" s="15"/>
      <c r="FH5" s="15"/>
      <c r="FI5" s="15"/>
      <c r="FJ5" s="15"/>
      <c r="FK5" s="15"/>
      <c r="FL5" s="15"/>
      <c r="FM5" s="15"/>
      <c r="FN5" s="15"/>
      <c r="FO5" s="15"/>
      <c r="FP5" s="15"/>
      <c r="FQ5" s="15"/>
      <c r="FR5" s="15"/>
      <c r="FS5" s="15"/>
      <c r="FT5" s="15"/>
      <c r="FU5" s="15"/>
      <c r="FV5" s="15"/>
      <c r="FW5" s="15"/>
      <c r="FX5" s="15"/>
      <c r="FY5" s="15"/>
      <c r="FZ5" s="15"/>
      <c r="GA5" s="15"/>
      <c r="GB5" s="15"/>
      <c r="GC5" s="15"/>
      <c r="GD5" s="15"/>
      <c r="GE5" s="15"/>
      <c r="GF5" s="15"/>
      <c r="GG5" s="15"/>
      <c r="GH5" s="15"/>
      <c r="GI5" s="15"/>
      <c r="GJ5" s="15"/>
      <c r="GK5" s="15"/>
      <c r="GL5" s="15"/>
      <c r="GM5" s="15"/>
      <c r="GN5" s="15"/>
      <c r="GO5" s="15"/>
      <c r="GP5" s="15"/>
      <c r="GQ5" s="15"/>
      <c r="GR5" s="15"/>
      <c r="GS5" s="15"/>
      <c r="GT5" s="15"/>
      <c r="GU5" s="15"/>
      <c r="GV5" s="15"/>
      <c r="GW5" s="15"/>
      <c r="GX5" s="15"/>
      <c r="GY5" s="15"/>
      <c r="GZ5" s="15"/>
      <c r="HA5" s="15"/>
      <c r="HB5" s="15"/>
      <c r="HC5" s="15"/>
      <c r="HD5" s="15"/>
      <c r="HE5" s="15"/>
      <c r="HF5" s="15"/>
      <c r="HG5" s="15"/>
      <c r="HH5" s="15"/>
      <c r="HI5" s="15"/>
      <c r="HJ5" s="15"/>
      <c r="HK5" s="15"/>
      <c r="HL5" s="15"/>
      <c r="HM5" s="15"/>
      <c r="HN5" s="15"/>
      <c r="HO5" s="15"/>
      <c r="HP5" s="15"/>
      <c r="HQ5" s="15"/>
      <c r="HR5" s="15"/>
      <c r="HS5" s="15"/>
      <c r="HT5" s="15"/>
      <c r="HU5" s="15"/>
      <c r="HV5" s="15"/>
      <c r="HW5" s="15"/>
      <c r="HX5" s="15"/>
      <c r="HY5" s="15"/>
      <c r="HZ5" s="15"/>
      <c r="IA5" s="15"/>
      <c r="IB5" s="15"/>
      <c r="IC5" s="15"/>
      <c r="ID5" s="15"/>
      <c r="IE5" s="15"/>
      <c r="IF5" s="15"/>
      <c r="IG5" s="15"/>
      <c r="IH5" s="15"/>
      <c r="II5" s="15"/>
      <c r="IJ5" s="15"/>
      <c r="IK5" s="15"/>
      <c r="IL5" s="15"/>
      <c r="IM5" s="15"/>
      <c r="IN5" s="15"/>
      <c r="IO5" s="15"/>
      <c r="IP5" s="15"/>
    </row>
    <row r="6" spans="1:250" ht="11.25" customHeight="1" x14ac:dyDescent="0.25">
      <c r="A6" s="1"/>
      <c r="B6" s="1"/>
      <c r="C6" s="2"/>
      <c r="F6" s="1"/>
      <c r="G6" s="2"/>
      <c r="H6" s="1"/>
      <c r="I6" s="1"/>
      <c r="J6" s="1"/>
      <c r="K6" s="1"/>
      <c r="L6" s="1"/>
      <c r="M6" s="1"/>
      <c r="N6" s="16"/>
      <c r="O6" s="16"/>
      <c r="P6" s="16"/>
      <c r="Q6" s="16"/>
      <c r="R6" s="16"/>
      <c r="S6" s="16"/>
      <c r="T6" s="16"/>
      <c r="U6" s="16"/>
      <c r="V6" s="16"/>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5"/>
      <c r="BA6" s="15"/>
      <c r="BB6" s="15"/>
      <c r="BC6" s="15"/>
      <c r="BD6" s="15"/>
      <c r="BE6" s="15"/>
      <c r="BF6" s="15"/>
      <c r="BG6" s="15"/>
      <c r="BH6" s="15"/>
      <c r="BI6" s="15"/>
      <c r="BJ6" s="15"/>
      <c r="BK6" s="15"/>
      <c r="BL6" s="15"/>
      <c r="BM6" s="15"/>
      <c r="BN6" s="15"/>
      <c r="BO6" s="15"/>
      <c r="BP6" s="15"/>
      <c r="BQ6" s="15"/>
      <c r="BR6" s="15"/>
      <c r="BS6" s="15"/>
      <c r="BT6" s="15"/>
      <c r="BU6" s="15"/>
      <c r="BV6" s="15"/>
      <c r="BW6" s="15"/>
      <c r="BX6" s="15"/>
      <c r="BY6" s="15"/>
      <c r="BZ6" s="15"/>
      <c r="CA6" s="15"/>
      <c r="CB6" s="15"/>
      <c r="CC6" s="15"/>
      <c r="CD6" s="15"/>
      <c r="CE6" s="15"/>
      <c r="CF6" s="15"/>
      <c r="CG6" s="15"/>
      <c r="CH6" s="15"/>
      <c r="CI6" s="15"/>
      <c r="CJ6" s="15"/>
      <c r="CK6" s="15"/>
      <c r="CL6" s="15"/>
      <c r="CM6" s="15"/>
      <c r="CN6" s="15"/>
      <c r="CO6" s="15"/>
      <c r="CP6" s="15"/>
      <c r="CQ6" s="15"/>
      <c r="CR6" s="15"/>
      <c r="CS6" s="15"/>
      <c r="CT6" s="15"/>
      <c r="CU6" s="15"/>
      <c r="CV6" s="15"/>
      <c r="CW6" s="15"/>
      <c r="CX6" s="15"/>
      <c r="CY6" s="15"/>
      <c r="CZ6" s="15"/>
      <c r="DA6" s="15"/>
      <c r="DB6" s="15"/>
      <c r="DC6" s="15"/>
      <c r="DD6" s="15"/>
      <c r="DE6" s="15"/>
      <c r="DF6" s="15"/>
      <c r="DG6" s="15"/>
      <c r="DH6" s="15"/>
      <c r="DI6" s="15"/>
      <c r="DJ6" s="15"/>
      <c r="DK6" s="15"/>
      <c r="DL6" s="15"/>
      <c r="DM6" s="15"/>
      <c r="DN6" s="15"/>
      <c r="DO6" s="15"/>
      <c r="DP6" s="15"/>
      <c r="DQ6" s="15"/>
      <c r="DR6" s="15"/>
      <c r="DS6" s="15"/>
      <c r="DT6" s="15"/>
      <c r="DU6" s="15"/>
      <c r="DV6" s="15"/>
      <c r="DW6" s="15"/>
      <c r="DX6" s="15"/>
      <c r="DY6" s="15"/>
      <c r="DZ6" s="15"/>
      <c r="EA6" s="15"/>
      <c r="EB6" s="15"/>
      <c r="EC6" s="15"/>
      <c r="ED6" s="15"/>
      <c r="EE6" s="15"/>
      <c r="EF6" s="15"/>
      <c r="EG6" s="15"/>
      <c r="EH6" s="15"/>
      <c r="EI6" s="15"/>
      <c r="EJ6" s="15"/>
      <c r="EK6" s="15"/>
      <c r="EL6" s="15"/>
      <c r="EM6" s="15"/>
      <c r="EN6" s="15"/>
      <c r="EO6" s="15"/>
      <c r="EP6" s="15"/>
      <c r="EQ6" s="15"/>
      <c r="ER6" s="15"/>
      <c r="ES6" s="15"/>
      <c r="ET6" s="15"/>
      <c r="EU6" s="15"/>
      <c r="EV6" s="15"/>
      <c r="EW6" s="15"/>
      <c r="EX6" s="15"/>
      <c r="EY6" s="15"/>
      <c r="EZ6" s="15"/>
      <c r="FA6" s="15"/>
      <c r="FB6" s="15"/>
      <c r="FC6" s="15"/>
      <c r="FD6" s="15"/>
      <c r="FE6" s="15"/>
      <c r="FF6" s="15"/>
      <c r="FG6" s="15"/>
      <c r="FH6" s="15"/>
      <c r="FI6" s="15"/>
      <c r="FJ6" s="15"/>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row>
    <row r="7" spans="1:250" s="23" customFormat="1" x14ac:dyDescent="0.2">
      <c r="A7" s="6"/>
      <c r="B7" s="6"/>
      <c r="C7" s="7"/>
      <c r="D7" s="6"/>
      <c r="E7" s="57"/>
      <c r="F7" s="58"/>
      <c r="G7" s="24" t="s">
        <v>48</v>
      </c>
      <c r="H7" s="39" t="s">
        <v>14</v>
      </c>
      <c r="I7" s="39" t="s">
        <v>15</v>
      </c>
      <c r="J7" s="39" t="s">
        <v>16</v>
      </c>
      <c r="K7" s="39" t="s">
        <v>18</v>
      </c>
      <c r="L7" s="39" t="s">
        <v>22</v>
      </c>
      <c r="M7" s="39" t="s">
        <v>26</v>
      </c>
      <c r="N7" s="39" t="s">
        <v>30</v>
      </c>
      <c r="O7" s="39" t="s">
        <v>34</v>
      </c>
      <c r="P7" s="39" t="s">
        <v>36</v>
      </c>
      <c r="Q7" s="39" t="s">
        <v>37</v>
      </c>
      <c r="R7" s="39" t="s">
        <v>40</v>
      </c>
      <c r="S7" s="39" t="s">
        <v>45</v>
      </c>
      <c r="T7" s="39" t="s">
        <v>49</v>
      </c>
      <c r="U7" s="39" t="s">
        <v>58</v>
      </c>
      <c r="V7" s="39" t="s">
        <v>70</v>
      </c>
      <c r="W7" s="24"/>
      <c r="X7" s="24" t="s">
        <v>1</v>
      </c>
    </row>
    <row r="8" spans="1:250" s="4" customFormat="1" ht="21.75" customHeight="1" x14ac:dyDescent="0.25">
      <c r="A8" s="27" t="s">
        <v>12</v>
      </c>
      <c r="B8" s="27"/>
      <c r="C8" s="28"/>
      <c r="D8" s="13"/>
      <c r="E8" s="13"/>
      <c r="F8" s="13">
        <v>0</v>
      </c>
      <c r="G8" s="13">
        <v>-23008</v>
      </c>
      <c r="H8" s="13">
        <v>-1008</v>
      </c>
      <c r="I8" s="13">
        <v>-2954</v>
      </c>
      <c r="J8" s="13">
        <v>-4769</v>
      </c>
      <c r="K8" s="13">
        <v>-4326</v>
      </c>
      <c r="L8" s="13">
        <v>-6206</v>
      </c>
      <c r="M8" s="13">
        <v>-4138</v>
      </c>
      <c r="N8" s="13">
        <v>1157</v>
      </c>
      <c r="O8" s="13">
        <v>374261</v>
      </c>
      <c r="P8" s="13">
        <v>923</v>
      </c>
      <c r="Q8" s="13">
        <v>1141398</v>
      </c>
      <c r="R8" s="13">
        <v>2464716</v>
      </c>
      <c r="S8" s="13">
        <v>6401816</v>
      </c>
      <c r="T8" s="13">
        <v>-3302298</v>
      </c>
      <c r="U8" s="13">
        <v>776748</v>
      </c>
      <c r="V8" s="13">
        <v>-3964283</v>
      </c>
      <c r="W8" s="26"/>
      <c r="X8" s="26">
        <f>SUM(F8:W8)</f>
        <v>3848029</v>
      </c>
      <c r="Y8" s="53"/>
      <c r="Z8" s="78" t="s">
        <v>11</v>
      </c>
      <c r="AA8" s="78"/>
      <c r="AB8" s="78"/>
      <c r="AC8" s="78"/>
      <c r="AD8" s="78"/>
      <c r="AE8" s="78"/>
      <c r="AF8" s="78"/>
      <c r="AG8" s="78"/>
      <c r="AH8" s="78"/>
      <c r="AI8" s="78"/>
      <c r="AJ8" s="78"/>
      <c r="AK8" s="78"/>
      <c r="AL8" s="78"/>
      <c r="AM8" s="78"/>
      <c r="AN8" s="78"/>
      <c r="AO8" s="78"/>
      <c r="AP8" s="78"/>
      <c r="AQ8" s="78"/>
      <c r="AR8" s="78"/>
    </row>
    <row r="9" spans="1:250" s="3" customFormat="1" ht="12" customHeight="1" x14ac:dyDescent="0.3">
      <c r="A9" s="29"/>
      <c r="B9" s="29" t="s">
        <v>69</v>
      </c>
      <c r="C9" s="9"/>
      <c r="D9" s="9"/>
      <c r="E9" s="9"/>
      <c r="F9" s="9"/>
      <c r="G9" s="9"/>
      <c r="H9" s="9"/>
      <c r="I9" s="9"/>
      <c r="J9" s="9"/>
      <c r="K9" s="9"/>
      <c r="L9" s="9"/>
      <c r="M9" s="9"/>
      <c r="X9" s="56"/>
      <c r="Z9" s="79" t="s">
        <v>23</v>
      </c>
      <c r="AA9" s="79"/>
      <c r="AB9" s="79"/>
      <c r="AC9" s="79"/>
      <c r="AD9" s="79"/>
      <c r="AE9" s="79"/>
      <c r="AF9" s="79"/>
      <c r="AG9" s="79"/>
      <c r="AH9" s="79"/>
      <c r="AI9" s="79"/>
      <c r="AJ9" s="79"/>
      <c r="AK9" s="79"/>
      <c r="AL9" s="79"/>
      <c r="AM9" s="79"/>
      <c r="AN9" s="79"/>
      <c r="AO9" s="79"/>
      <c r="AP9" s="79"/>
      <c r="AQ9" s="79"/>
      <c r="AR9" s="79"/>
    </row>
    <row r="10" spans="1:250" s="18" customFormat="1" ht="12" customHeight="1" x14ac:dyDescent="0.25">
      <c r="A10" s="29"/>
      <c r="B10" s="29"/>
      <c r="C10" s="9"/>
      <c r="D10" s="29"/>
      <c r="E10" s="29"/>
      <c r="F10" s="9"/>
      <c r="G10" s="9"/>
      <c r="H10" s="9"/>
      <c r="I10" s="9"/>
      <c r="J10" s="9"/>
      <c r="K10" s="9"/>
      <c r="L10" s="9"/>
      <c r="M10" s="9"/>
      <c r="N10" s="19"/>
      <c r="O10" s="19"/>
      <c r="P10" s="19"/>
      <c r="Q10" s="19"/>
      <c r="R10" s="19"/>
      <c r="S10" s="19"/>
      <c r="T10" s="19"/>
      <c r="U10" s="19"/>
      <c r="V10" s="19"/>
      <c r="W10" s="19"/>
      <c r="X10" s="19"/>
      <c r="Z10" s="78" t="s">
        <v>0</v>
      </c>
      <c r="AA10" s="78"/>
      <c r="AB10" s="78"/>
      <c r="AC10" s="78"/>
      <c r="AD10" s="78"/>
      <c r="AE10" s="78"/>
      <c r="AF10" s="78"/>
      <c r="AG10" s="78"/>
      <c r="AH10" s="78"/>
      <c r="AI10" s="78"/>
      <c r="AJ10" s="78"/>
      <c r="AK10" s="78"/>
      <c r="AL10" s="78"/>
      <c r="AM10" s="78"/>
      <c r="AN10" s="78"/>
      <c r="AO10" s="78"/>
      <c r="AP10" s="78"/>
      <c r="AQ10" s="78"/>
      <c r="AR10" s="78"/>
    </row>
    <row r="11" spans="1:250" ht="13.8" x14ac:dyDescent="0.25">
      <c r="B11" s="30" t="s">
        <v>71</v>
      </c>
      <c r="H11" s="10"/>
      <c r="I11" s="10"/>
      <c r="J11" s="10"/>
      <c r="K11" s="10"/>
      <c r="L11" s="10"/>
      <c r="M11" s="10"/>
      <c r="N11" s="25"/>
      <c r="O11" s="25"/>
      <c r="P11" s="25"/>
      <c r="Q11" s="25"/>
      <c r="R11" s="25"/>
      <c r="S11" s="25"/>
      <c r="T11" s="25"/>
      <c r="U11" s="25"/>
      <c r="V11" s="25"/>
      <c r="W11" s="25"/>
      <c r="X11" s="10"/>
      <c r="Z11" s="78" t="s">
        <v>24</v>
      </c>
      <c r="AA11" s="78"/>
      <c r="AB11" s="78"/>
      <c r="AC11" s="78"/>
      <c r="AD11" s="78"/>
      <c r="AE11" s="78"/>
      <c r="AF11" s="78"/>
      <c r="AG11" s="78"/>
      <c r="AH11" s="78"/>
      <c r="AI11" s="78"/>
      <c r="AJ11" s="78"/>
      <c r="AK11" s="78"/>
      <c r="AL11" s="78"/>
      <c r="AM11" s="78"/>
      <c r="AN11" s="78"/>
      <c r="AO11" s="78"/>
      <c r="AP11" s="78"/>
      <c r="AQ11" s="78"/>
      <c r="AR11" s="78"/>
    </row>
    <row r="12" spans="1:250" s="22" customFormat="1" x14ac:dyDescent="0.2">
      <c r="A12" s="36"/>
      <c r="B12" s="36"/>
      <c r="C12" s="17" t="s">
        <v>41</v>
      </c>
      <c r="D12" s="6"/>
      <c r="E12" s="7"/>
      <c r="F12" s="11"/>
      <c r="G12" s="8"/>
      <c r="H12" s="11"/>
      <c r="I12" s="45"/>
      <c r="J12" s="11"/>
      <c r="K12" s="11"/>
      <c r="L12" s="11"/>
      <c r="M12" s="11"/>
      <c r="N12" s="66"/>
      <c r="O12" s="45"/>
      <c r="P12" s="11"/>
      <c r="Q12" s="11"/>
      <c r="R12" s="11"/>
      <c r="S12" s="11"/>
      <c r="T12" s="11"/>
      <c r="U12" s="11"/>
      <c r="V12" s="11"/>
      <c r="W12" s="25"/>
      <c r="X12" s="11">
        <f>SUM(F12:W12)</f>
        <v>0</v>
      </c>
      <c r="Y12" s="17"/>
      <c r="Z12" s="17"/>
      <c r="AA12" s="17"/>
      <c r="AB12" s="17"/>
      <c r="AC12" s="17"/>
      <c r="AD12" s="17"/>
      <c r="AE12" s="17"/>
      <c r="AF12" s="17"/>
      <c r="AG12" s="17"/>
      <c r="AH12" s="17"/>
      <c r="AI12" s="17"/>
      <c r="AJ12" s="17"/>
      <c r="AK12" s="17"/>
      <c r="AL12" s="17"/>
      <c r="AM12" s="17"/>
      <c r="AN12" s="17"/>
      <c r="AO12" s="17"/>
      <c r="AP12" s="17"/>
      <c r="AQ12" s="17"/>
      <c r="AR12" s="17"/>
      <c r="AS12" s="17"/>
      <c r="AT12" s="17"/>
      <c r="AU12" s="17"/>
      <c r="AV12" s="17"/>
      <c r="AW12" s="17"/>
      <c r="AX12" s="17"/>
      <c r="AY12" s="17"/>
      <c r="AZ12" s="17"/>
      <c r="BA12" s="17"/>
      <c r="BB12" s="17"/>
      <c r="BC12" s="17"/>
    </row>
    <row r="13" spans="1:250" x14ac:dyDescent="0.2">
      <c r="C13" s="7" t="s">
        <v>2</v>
      </c>
      <c r="F13" s="10"/>
      <c r="G13" s="7">
        <f t="shared" ref="G13:T13" si="0">SUM(G12:G12)</f>
        <v>0</v>
      </c>
      <c r="H13" s="7">
        <f t="shared" si="0"/>
        <v>0</v>
      </c>
      <c r="I13" s="7">
        <f t="shared" si="0"/>
        <v>0</v>
      </c>
      <c r="J13" s="7">
        <f t="shared" si="0"/>
        <v>0</v>
      </c>
      <c r="K13" s="7">
        <f t="shared" si="0"/>
        <v>0</v>
      </c>
      <c r="L13" s="7">
        <f t="shared" si="0"/>
        <v>0</v>
      </c>
      <c r="M13" s="7">
        <f t="shared" si="0"/>
        <v>0</v>
      </c>
      <c r="N13" s="7">
        <f t="shared" si="0"/>
        <v>0</v>
      </c>
      <c r="O13" s="7">
        <f t="shared" si="0"/>
        <v>0</v>
      </c>
      <c r="P13" s="7">
        <f t="shared" si="0"/>
        <v>0</v>
      </c>
      <c r="Q13" s="7">
        <f t="shared" si="0"/>
        <v>0</v>
      </c>
      <c r="R13" s="7">
        <f t="shared" si="0"/>
        <v>0</v>
      </c>
      <c r="S13" s="7">
        <f t="shared" si="0"/>
        <v>0</v>
      </c>
      <c r="T13" s="7">
        <f t="shared" si="0"/>
        <v>0</v>
      </c>
      <c r="U13" s="7"/>
      <c r="V13" s="25"/>
      <c r="W13" s="25"/>
      <c r="X13" s="10">
        <f>SUM(X12:X12)</f>
        <v>0</v>
      </c>
      <c r="Z13" s="25"/>
    </row>
    <row r="14" spans="1:250" ht="12" x14ac:dyDescent="0.25">
      <c r="B14" s="30" t="s">
        <v>10</v>
      </c>
      <c r="F14" s="10"/>
      <c r="H14" s="10"/>
      <c r="I14" s="10"/>
      <c r="J14" s="10"/>
      <c r="K14" s="10"/>
      <c r="L14" s="10"/>
      <c r="M14" s="10"/>
      <c r="N14" s="25"/>
      <c r="O14" s="25"/>
      <c r="P14" s="25"/>
      <c r="Q14" s="25"/>
      <c r="R14" s="25"/>
      <c r="S14" s="25"/>
      <c r="T14" s="25"/>
      <c r="U14" s="25"/>
      <c r="V14" s="25"/>
      <c r="W14" s="25"/>
      <c r="X14" s="10"/>
    </row>
    <row r="15" spans="1:250" ht="12" x14ac:dyDescent="0.25">
      <c r="B15" s="30"/>
      <c r="C15" s="41" t="s">
        <v>39</v>
      </c>
      <c r="F15" s="10"/>
      <c r="H15" s="10"/>
      <c r="I15" s="10"/>
      <c r="J15" s="10"/>
      <c r="K15" s="10"/>
      <c r="L15" s="10"/>
      <c r="M15" s="10"/>
      <c r="N15" s="25"/>
      <c r="O15" s="25"/>
      <c r="P15" s="25"/>
      <c r="Q15" s="25"/>
      <c r="R15" s="25"/>
      <c r="S15" s="25"/>
      <c r="T15" s="25"/>
      <c r="U15" s="25"/>
      <c r="V15" s="25"/>
      <c r="W15" s="25"/>
      <c r="X15" s="10"/>
    </row>
    <row r="16" spans="1:250" ht="11.25" customHeight="1" x14ac:dyDescent="0.2">
      <c r="C16" s="17" t="s">
        <v>41</v>
      </c>
      <c r="D16" s="17"/>
      <c r="E16" s="17"/>
      <c r="F16" s="38"/>
      <c r="G16" s="8">
        <v>-23008</v>
      </c>
      <c r="H16" s="11">
        <v>-1008</v>
      </c>
      <c r="I16" s="45">
        <v>-2954</v>
      </c>
      <c r="J16" s="11">
        <v>-4769</v>
      </c>
      <c r="K16" s="11">
        <v>-4326</v>
      </c>
      <c r="L16" s="11">
        <v>-6206</v>
      </c>
      <c r="M16" s="11">
        <v>-4138</v>
      </c>
      <c r="N16" s="66">
        <v>1157</v>
      </c>
      <c r="O16" s="45">
        <f>26218+10543</f>
        <v>36761</v>
      </c>
      <c r="P16" s="11">
        <v>923</v>
      </c>
      <c r="Q16" s="11">
        <v>87392</v>
      </c>
      <c r="R16" s="11">
        <v>172355</v>
      </c>
      <c r="S16" s="11">
        <v>-13281</v>
      </c>
      <c r="T16" s="11">
        <v>-175049</v>
      </c>
      <c r="U16" s="11">
        <v>-675708</v>
      </c>
      <c r="V16" s="11"/>
      <c r="W16" s="25"/>
      <c r="X16" s="11">
        <f>SUM(F16:W16)</f>
        <v>-611859</v>
      </c>
    </row>
    <row r="17" spans="2:26" x14ac:dyDescent="0.2">
      <c r="F17" s="10"/>
      <c r="G17" s="7">
        <f t="shared" ref="G17:U17" si="1">SUM(G16)</f>
        <v>-23008</v>
      </c>
      <c r="H17" s="7">
        <f t="shared" si="1"/>
        <v>-1008</v>
      </c>
      <c r="I17" s="7">
        <f t="shared" si="1"/>
        <v>-2954</v>
      </c>
      <c r="J17" s="7">
        <f t="shared" si="1"/>
        <v>-4769</v>
      </c>
      <c r="K17" s="7">
        <f t="shared" si="1"/>
        <v>-4326</v>
      </c>
      <c r="L17" s="7">
        <f t="shared" si="1"/>
        <v>-6206</v>
      </c>
      <c r="M17" s="7">
        <f t="shared" si="1"/>
        <v>-4138</v>
      </c>
      <c r="N17" s="7">
        <f t="shared" si="1"/>
        <v>1157</v>
      </c>
      <c r="O17" s="7">
        <f t="shared" si="1"/>
        <v>36761</v>
      </c>
      <c r="P17" s="7">
        <f t="shared" si="1"/>
        <v>923</v>
      </c>
      <c r="Q17" s="7">
        <f t="shared" si="1"/>
        <v>87392</v>
      </c>
      <c r="R17" s="7">
        <f t="shared" si="1"/>
        <v>172355</v>
      </c>
      <c r="S17" s="7">
        <f t="shared" si="1"/>
        <v>-13281</v>
      </c>
      <c r="T17" s="7">
        <f t="shared" si="1"/>
        <v>-175049</v>
      </c>
      <c r="U17" s="7">
        <f t="shared" si="1"/>
        <v>-675708</v>
      </c>
      <c r="V17" s="25"/>
      <c r="W17" s="25"/>
      <c r="X17" s="10">
        <f>SUM(X16:X16)</f>
        <v>-611859</v>
      </c>
      <c r="Z17" s="25"/>
    </row>
    <row r="18" spans="2:26" x14ac:dyDescent="0.2">
      <c r="C18" s="31" t="s">
        <v>3</v>
      </c>
      <c r="F18" s="10"/>
      <c r="H18" s="10"/>
      <c r="I18" s="10"/>
      <c r="J18" s="10"/>
      <c r="K18" s="10"/>
      <c r="L18" s="10"/>
      <c r="M18" s="10"/>
      <c r="N18" s="25"/>
      <c r="O18" s="25"/>
      <c r="P18" s="25"/>
      <c r="Q18" s="25"/>
      <c r="R18" s="25"/>
      <c r="S18" s="25"/>
      <c r="T18" s="25"/>
      <c r="U18" s="25"/>
      <c r="V18" s="25"/>
      <c r="W18" s="25"/>
      <c r="X18" s="10"/>
      <c r="Z18" s="25"/>
    </row>
    <row r="19" spans="2:26" x14ac:dyDescent="0.2">
      <c r="C19" s="25" t="s">
        <v>25</v>
      </c>
      <c r="F19" s="10"/>
      <c r="G19" s="52"/>
      <c r="H19" s="43"/>
      <c r="I19" s="43"/>
      <c r="J19" s="43"/>
      <c r="K19" s="10"/>
      <c r="L19" s="10"/>
      <c r="M19" s="43"/>
      <c r="N19" s="48"/>
      <c r="O19" s="25"/>
      <c r="P19" s="25"/>
      <c r="Q19" s="25">
        <f>-3520458+378664+192125.6-392150+571299+573360.75+577557.9+1366058.28+327599.98+136473</f>
        <v>210530.51</v>
      </c>
      <c r="R19" s="25">
        <v>111333</v>
      </c>
      <c r="S19" s="25">
        <f>-4140628-503809+4755040-57369</f>
        <v>53234</v>
      </c>
      <c r="T19" s="25">
        <f>483934-1693991+7112</f>
        <v>-1202945</v>
      </c>
      <c r="U19" s="25"/>
      <c r="V19" s="25"/>
      <c r="W19" s="25"/>
      <c r="X19" s="25">
        <f t="shared" ref="X19:X25" si="2">SUM(F19:W19)</f>
        <v>-827847.49</v>
      </c>
    </row>
    <row r="20" spans="2:26" x14ac:dyDescent="0.2">
      <c r="C20" s="25" t="s">
        <v>76</v>
      </c>
      <c r="F20" s="10"/>
      <c r="G20" s="52"/>
      <c r="H20" s="43"/>
      <c r="I20" s="43"/>
      <c r="J20" s="43"/>
      <c r="K20" s="10"/>
      <c r="L20" s="10"/>
      <c r="M20" s="43"/>
      <c r="N20" s="48"/>
      <c r="O20" s="25"/>
      <c r="P20" s="25"/>
      <c r="Q20" s="25"/>
      <c r="R20" s="25"/>
      <c r="S20" s="25"/>
      <c r="T20" s="25"/>
      <c r="U20" s="25">
        <v>458029</v>
      </c>
      <c r="V20" s="25"/>
      <c r="W20" s="25"/>
      <c r="X20" s="25">
        <f t="shared" si="2"/>
        <v>458029</v>
      </c>
    </row>
    <row r="21" spans="2:26" x14ac:dyDescent="0.2">
      <c r="C21" s="25" t="s">
        <v>83</v>
      </c>
      <c r="F21" s="10"/>
      <c r="G21" s="52"/>
      <c r="H21" s="43"/>
      <c r="I21" s="43"/>
      <c r="J21" s="43"/>
      <c r="K21" s="10"/>
      <c r="L21" s="10"/>
      <c r="M21" s="43"/>
      <c r="N21" s="48"/>
      <c r="O21" s="25"/>
      <c r="P21" s="25"/>
      <c r="Q21" s="25"/>
      <c r="R21" s="25"/>
      <c r="S21" s="25"/>
      <c r="T21" s="25"/>
      <c r="U21" s="25">
        <v>119194</v>
      </c>
      <c r="V21" s="25"/>
      <c r="W21" s="25"/>
      <c r="X21" s="25">
        <f t="shared" si="2"/>
        <v>119194</v>
      </c>
    </row>
    <row r="22" spans="2:26" x14ac:dyDescent="0.2">
      <c r="C22" s="25" t="s">
        <v>77</v>
      </c>
      <c r="F22" s="10"/>
      <c r="G22" s="52"/>
      <c r="H22" s="43"/>
      <c r="I22" s="43"/>
      <c r="J22" s="43"/>
      <c r="K22" s="10"/>
      <c r="L22" s="10"/>
      <c r="M22" s="43"/>
      <c r="N22" s="48"/>
      <c r="O22" s="25"/>
      <c r="P22" s="25"/>
      <c r="Q22" s="25"/>
      <c r="R22" s="25"/>
      <c r="S22" s="25"/>
      <c r="T22" s="25"/>
      <c r="U22" s="25">
        <v>-102133</v>
      </c>
      <c r="V22" s="25"/>
      <c r="W22" s="25"/>
      <c r="X22" s="25">
        <f t="shared" si="2"/>
        <v>-102133</v>
      </c>
    </row>
    <row r="23" spans="2:26" x14ac:dyDescent="0.2">
      <c r="C23" s="7" t="s">
        <v>66</v>
      </c>
      <c r="F23" s="10"/>
      <c r="G23" s="52"/>
      <c r="H23" s="36"/>
      <c r="I23" s="65"/>
      <c r="J23" s="36"/>
      <c r="K23" s="10"/>
      <c r="L23" s="43"/>
      <c r="M23" s="43"/>
      <c r="N23" s="36"/>
      <c r="O23" s="36"/>
      <c r="P23" s="36"/>
      <c r="Q23" s="36"/>
      <c r="R23" s="36"/>
      <c r="S23" s="36">
        <f>448687-163576.97</f>
        <v>285110.03000000003</v>
      </c>
      <c r="T23" s="25">
        <v>63860</v>
      </c>
      <c r="U23" s="25"/>
      <c r="V23" s="36"/>
      <c r="W23" s="12"/>
      <c r="X23" s="25">
        <f t="shared" si="2"/>
        <v>348970.03</v>
      </c>
    </row>
    <row r="24" spans="2:26" x14ac:dyDescent="0.2">
      <c r="C24" s="7" t="s">
        <v>52</v>
      </c>
      <c r="F24" s="10"/>
      <c r="G24" s="52"/>
      <c r="H24" s="43"/>
      <c r="I24" s="65"/>
      <c r="J24" s="36"/>
      <c r="K24" s="36"/>
      <c r="L24" s="36"/>
      <c r="M24" s="25"/>
      <c r="N24" s="36"/>
      <c r="O24" s="48"/>
      <c r="P24" s="36"/>
      <c r="Q24" s="36"/>
      <c r="R24" s="25"/>
      <c r="S24" s="25">
        <f>501800+363208+283600+23129</f>
        <v>1171737</v>
      </c>
      <c r="T24" s="25"/>
      <c r="U24" s="25"/>
      <c r="V24" s="36"/>
      <c r="W24" s="12"/>
      <c r="X24" s="25">
        <f t="shared" si="2"/>
        <v>1171737</v>
      </c>
    </row>
    <row r="25" spans="2:26" x14ac:dyDescent="0.2">
      <c r="C25" s="25" t="s">
        <v>35</v>
      </c>
      <c r="D25" s="17"/>
      <c r="E25" s="17"/>
      <c r="F25" s="38"/>
      <c r="G25" s="38"/>
      <c r="H25" s="11"/>
      <c r="I25" s="11"/>
      <c r="J25" s="11"/>
      <c r="K25" s="11"/>
      <c r="L25" s="11"/>
      <c r="M25" s="11"/>
      <c r="N25" s="11"/>
      <c r="O25" s="11"/>
      <c r="P25" s="11"/>
      <c r="Q25" s="11"/>
      <c r="R25" s="11">
        <f>60332.48+51000+66000</f>
        <v>177332.48000000001</v>
      </c>
      <c r="S25" s="11"/>
      <c r="T25" s="11">
        <f>-46785+114725+58900-153317+65100+370896+977500</f>
        <v>1387019</v>
      </c>
      <c r="U25" s="11">
        <f>-21700+128408-308317-683202-57780+1507459-1216617-328639-324422+183300+1007624+18330+1524934-320750-320750</f>
        <v>787878</v>
      </c>
      <c r="V25" s="11"/>
      <c r="W25" s="25"/>
      <c r="X25" s="11">
        <f t="shared" si="2"/>
        <v>2352229.48</v>
      </c>
    </row>
    <row r="26" spans="2:26" x14ac:dyDescent="0.2">
      <c r="C26" s="41"/>
      <c r="D26" s="17"/>
      <c r="E26" s="17"/>
      <c r="F26" s="17"/>
      <c r="G26" s="17"/>
      <c r="H26" s="10"/>
      <c r="I26" s="10"/>
      <c r="J26" s="10"/>
      <c r="K26" s="10"/>
      <c r="L26" s="10"/>
      <c r="M26" s="10"/>
      <c r="N26" s="10"/>
      <c r="O26" s="25"/>
      <c r="P26" s="25"/>
      <c r="Q26" s="25">
        <f>SUM(Q19:Q25)</f>
        <v>210530.51</v>
      </c>
      <c r="R26" s="25">
        <f>SUM(R19:R25)</f>
        <v>288665.48</v>
      </c>
      <c r="S26" s="25">
        <f>SUM(S19:S25)</f>
        <v>1510081.03</v>
      </c>
      <c r="T26" s="25">
        <f>SUM(T19:T25)</f>
        <v>247934</v>
      </c>
      <c r="U26" s="25">
        <f>SUM(U19:U25)</f>
        <v>1262968</v>
      </c>
      <c r="V26" s="25"/>
      <c r="W26" s="25"/>
      <c r="X26" s="10">
        <f>SUM(X19:X25)</f>
        <v>3520179.02</v>
      </c>
    </row>
    <row r="27" spans="2:26" x14ac:dyDescent="0.2">
      <c r="C27" s="17"/>
      <c r="F27" s="10"/>
      <c r="G27" s="6"/>
      <c r="H27" s="10"/>
      <c r="I27" s="10"/>
      <c r="J27" s="10"/>
      <c r="K27" s="10"/>
      <c r="L27" s="10"/>
      <c r="M27" s="43"/>
      <c r="N27" s="25"/>
      <c r="O27" s="25"/>
      <c r="P27" s="25"/>
      <c r="Q27" s="25"/>
      <c r="R27" s="25"/>
      <c r="S27" s="25"/>
      <c r="T27" s="25"/>
      <c r="U27" s="25"/>
      <c r="V27" s="25"/>
      <c r="W27" s="25"/>
      <c r="X27" s="10"/>
    </row>
    <row r="28" spans="2:26" x14ac:dyDescent="0.2">
      <c r="B28" s="33"/>
      <c r="C28" s="31" t="s">
        <v>5</v>
      </c>
      <c r="F28" s="10"/>
      <c r="H28" s="10"/>
      <c r="I28" s="10"/>
      <c r="J28" s="10"/>
      <c r="K28" s="10"/>
      <c r="L28" s="43"/>
      <c r="M28" s="43"/>
      <c r="N28" s="48"/>
      <c r="O28" s="48"/>
      <c r="P28" s="48"/>
      <c r="Q28" s="48"/>
      <c r="R28" s="48"/>
      <c r="S28" s="48"/>
      <c r="T28" s="48"/>
      <c r="U28" s="48"/>
      <c r="V28" s="25"/>
      <c r="W28" s="25"/>
      <c r="X28" s="10"/>
    </row>
    <row r="29" spans="2:26" x14ac:dyDescent="0.2">
      <c r="B29" s="33"/>
      <c r="C29" s="7" t="s">
        <v>53</v>
      </c>
      <c r="F29" s="10"/>
      <c r="H29" s="10"/>
      <c r="I29" s="10"/>
      <c r="J29" s="10"/>
      <c r="K29" s="10"/>
      <c r="L29" s="43"/>
      <c r="M29" s="43"/>
      <c r="N29" s="48"/>
      <c r="O29" s="48"/>
      <c r="P29" s="48"/>
      <c r="Q29" s="48"/>
      <c r="R29" s="48"/>
      <c r="S29" s="48">
        <v>51797</v>
      </c>
      <c r="T29" s="48"/>
      <c r="U29" s="48"/>
      <c r="V29" s="25"/>
      <c r="W29" s="25"/>
      <c r="X29" s="25">
        <f>SUM(G29:V29)</f>
        <v>51797</v>
      </c>
    </row>
    <row r="30" spans="2:26" x14ac:dyDescent="0.2">
      <c r="B30" s="33"/>
      <c r="C30" s="7" t="s">
        <v>59</v>
      </c>
      <c r="F30" s="10"/>
      <c r="H30" s="10"/>
      <c r="I30" s="10"/>
      <c r="J30" s="10"/>
      <c r="K30" s="10"/>
      <c r="L30" s="43"/>
      <c r="M30" s="43"/>
      <c r="N30" s="48"/>
      <c r="O30" s="48"/>
      <c r="P30" s="48"/>
      <c r="Q30" s="48"/>
      <c r="R30" s="48"/>
      <c r="S30" s="48"/>
      <c r="T30" s="48">
        <v>191452</v>
      </c>
      <c r="U30" s="48">
        <v>83313</v>
      </c>
      <c r="V30" s="25"/>
      <c r="W30" s="25"/>
      <c r="X30" s="25">
        <f t="shared" ref="X30:X38" si="3">SUM(G30:V30)</f>
        <v>274765</v>
      </c>
    </row>
    <row r="31" spans="2:26" x14ac:dyDescent="0.2">
      <c r="B31" s="33"/>
      <c r="C31" s="7" t="s">
        <v>85</v>
      </c>
      <c r="F31" s="10"/>
      <c r="H31" s="10"/>
      <c r="I31" s="10"/>
      <c r="J31" s="10"/>
      <c r="K31" s="10"/>
      <c r="L31" s="43"/>
      <c r="M31" s="43"/>
      <c r="N31" s="48"/>
      <c r="O31" s="48"/>
      <c r="P31" s="48"/>
      <c r="Q31" s="48"/>
      <c r="R31" s="48"/>
      <c r="S31" s="48">
        <v>-206279</v>
      </c>
      <c r="T31" s="48"/>
      <c r="U31" s="48"/>
      <c r="V31" s="25"/>
      <c r="W31" s="25"/>
      <c r="X31" s="25">
        <f t="shared" si="3"/>
        <v>-206279</v>
      </c>
    </row>
    <row r="32" spans="2:26" x14ac:dyDescent="0.2">
      <c r="B32" s="33"/>
      <c r="C32" s="7" t="s">
        <v>60</v>
      </c>
      <c r="F32" s="10"/>
      <c r="G32" s="52"/>
      <c r="H32" s="10"/>
      <c r="I32" s="10"/>
      <c r="J32" s="10"/>
      <c r="K32" s="43"/>
      <c r="L32" s="48"/>
      <c r="M32" s="43"/>
      <c r="N32" s="48"/>
      <c r="O32" s="48"/>
      <c r="P32" s="48"/>
      <c r="Q32" s="48"/>
      <c r="R32" s="48"/>
      <c r="S32" s="48"/>
      <c r="T32" s="48">
        <f>1040608+516686-755556.06</f>
        <v>801737.94</v>
      </c>
      <c r="U32" s="48">
        <v>199748</v>
      </c>
      <c r="V32" s="48"/>
      <c r="W32" s="48"/>
      <c r="X32" s="25">
        <f t="shared" si="3"/>
        <v>1001485.94</v>
      </c>
    </row>
    <row r="33" spans="2:26" x14ac:dyDescent="0.2">
      <c r="B33" s="33"/>
      <c r="C33" s="7" t="s">
        <v>81</v>
      </c>
      <c r="F33" s="10"/>
      <c r="G33" s="52"/>
      <c r="H33" s="10"/>
      <c r="I33" s="10"/>
      <c r="J33" s="10"/>
      <c r="K33" s="43"/>
      <c r="L33" s="43"/>
      <c r="M33" s="43"/>
      <c r="N33" s="48"/>
      <c r="O33" s="48"/>
      <c r="P33" s="48"/>
      <c r="Q33" s="48"/>
      <c r="R33" s="48"/>
      <c r="S33" s="48"/>
      <c r="T33" s="48"/>
      <c r="U33" s="48">
        <v>250621</v>
      </c>
      <c r="V33" s="25"/>
      <c r="W33" s="25"/>
      <c r="X33" s="25">
        <f t="shared" si="3"/>
        <v>250621</v>
      </c>
    </row>
    <row r="34" spans="2:26" x14ac:dyDescent="0.2">
      <c r="B34" s="33"/>
      <c r="C34" s="7" t="s">
        <v>38</v>
      </c>
      <c r="F34" s="10"/>
      <c r="G34" s="52"/>
      <c r="H34" s="10"/>
      <c r="I34" s="10"/>
      <c r="J34" s="10"/>
      <c r="K34" s="43"/>
      <c r="L34" s="43"/>
      <c r="M34" s="43"/>
      <c r="N34" s="48"/>
      <c r="O34" s="48"/>
      <c r="P34" s="48"/>
      <c r="Q34" s="48"/>
      <c r="R34" s="48"/>
      <c r="S34" s="48">
        <v>42066</v>
      </c>
      <c r="T34" s="48"/>
      <c r="U34" s="48"/>
      <c r="V34" s="25"/>
      <c r="W34" s="25"/>
      <c r="X34" s="25">
        <f t="shared" si="3"/>
        <v>42066</v>
      </c>
    </row>
    <row r="35" spans="2:26" x14ac:dyDescent="0.2">
      <c r="B35" s="33"/>
      <c r="C35" s="7" t="s">
        <v>86</v>
      </c>
      <c r="F35" s="10"/>
      <c r="G35" s="52"/>
      <c r="H35" s="10"/>
      <c r="I35" s="10"/>
      <c r="J35" s="10"/>
      <c r="K35" s="43"/>
      <c r="L35" s="43"/>
      <c r="M35" s="43"/>
      <c r="N35" s="48"/>
      <c r="O35" s="48"/>
      <c r="P35" s="48"/>
      <c r="Q35" s="48"/>
      <c r="R35" s="48"/>
      <c r="S35" s="48">
        <v>-178667</v>
      </c>
      <c r="T35" s="48"/>
      <c r="U35" s="48"/>
      <c r="V35" s="25"/>
      <c r="W35" s="25"/>
      <c r="X35" s="25">
        <f t="shared" si="3"/>
        <v>-178667</v>
      </c>
    </row>
    <row r="36" spans="2:26" x14ac:dyDescent="0.2">
      <c r="B36" s="33"/>
      <c r="C36" s="7" t="s">
        <v>57</v>
      </c>
      <c r="F36" s="10"/>
      <c r="G36" s="52"/>
      <c r="H36" s="10"/>
      <c r="I36" s="10"/>
      <c r="J36" s="10"/>
      <c r="K36" s="43"/>
      <c r="L36" s="43"/>
      <c r="M36" s="43"/>
      <c r="N36" s="48"/>
      <c r="O36" s="48"/>
      <c r="P36" s="48"/>
      <c r="Q36" s="48"/>
      <c r="R36" s="48"/>
      <c r="S36" s="48">
        <v>247488</v>
      </c>
      <c r="T36" s="48"/>
      <c r="U36" s="48"/>
      <c r="V36" s="25"/>
      <c r="W36" s="25"/>
      <c r="X36" s="25">
        <f t="shared" si="3"/>
        <v>247488</v>
      </c>
    </row>
    <row r="37" spans="2:26" x14ac:dyDescent="0.2">
      <c r="B37" s="33"/>
      <c r="C37" s="7" t="s">
        <v>46</v>
      </c>
      <c r="F37" s="10"/>
      <c r="G37" s="52"/>
      <c r="H37" s="10"/>
      <c r="I37" s="10"/>
      <c r="J37" s="10"/>
      <c r="K37" s="43"/>
      <c r="L37" s="43"/>
      <c r="M37" s="43"/>
      <c r="N37" s="48"/>
      <c r="O37" s="48"/>
      <c r="P37" s="48"/>
      <c r="Q37" s="48"/>
      <c r="R37" s="48"/>
      <c r="S37" s="48">
        <v>542500</v>
      </c>
      <c r="T37" s="48"/>
      <c r="U37" s="48"/>
      <c r="V37" s="25"/>
      <c r="W37" s="25"/>
      <c r="X37" s="25">
        <f t="shared" si="3"/>
        <v>542500</v>
      </c>
    </row>
    <row r="38" spans="2:26" x14ac:dyDescent="0.2">
      <c r="B38" s="33"/>
      <c r="C38" s="7" t="s">
        <v>51</v>
      </c>
      <c r="F38" s="10"/>
      <c r="G38" s="52"/>
      <c r="H38" s="10"/>
      <c r="I38" s="10"/>
      <c r="J38" s="10"/>
      <c r="K38" s="43"/>
      <c r="L38" s="43"/>
      <c r="M38" s="43"/>
      <c r="N38" s="48"/>
      <c r="O38" s="48"/>
      <c r="P38" s="48"/>
      <c r="Q38" s="48"/>
      <c r="R38" s="48">
        <v>632935</v>
      </c>
      <c r="S38" s="48"/>
      <c r="T38" s="48"/>
      <c r="U38" s="48"/>
      <c r="V38" s="25"/>
      <c r="W38" s="25"/>
      <c r="X38" s="25">
        <f t="shared" si="3"/>
        <v>632935</v>
      </c>
    </row>
    <row r="39" spans="2:26" x14ac:dyDescent="0.2">
      <c r="B39" s="33"/>
      <c r="C39" s="7" t="s">
        <v>31</v>
      </c>
      <c r="F39" s="10"/>
      <c r="G39" s="38"/>
      <c r="H39" s="11"/>
      <c r="I39" s="11"/>
      <c r="J39" s="11"/>
      <c r="K39" s="45"/>
      <c r="L39" s="45"/>
      <c r="M39" s="45"/>
      <c r="N39" s="45"/>
      <c r="O39" s="45"/>
      <c r="P39" s="45"/>
      <c r="Q39" s="45">
        <f>57068</f>
        <v>57068</v>
      </c>
      <c r="R39" s="45"/>
      <c r="S39" s="45">
        <f>41950+56206+63140+97765-25514+60718-68324</f>
        <v>225941</v>
      </c>
      <c r="T39" s="45">
        <f>41954-67902+87093+68185-82060-39820+44000-26857</f>
        <v>24593</v>
      </c>
      <c r="U39" s="45"/>
      <c r="V39" s="11"/>
      <c r="W39" s="25"/>
      <c r="X39" s="11">
        <f>SUM(G39:V39)</f>
        <v>307602</v>
      </c>
    </row>
    <row r="40" spans="2:26" x14ac:dyDescent="0.2">
      <c r="C40" s="49"/>
      <c r="F40" s="10"/>
      <c r="G40" s="6"/>
      <c r="H40" s="10"/>
      <c r="I40" s="10"/>
      <c r="J40" s="10"/>
      <c r="K40" s="10"/>
      <c r="L40" s="43"/>
      <c r="M40" s="43"/>
      <c r="N40" s="43"/>
      <c r="O40" s="43"/>
      <c r="P40" s="43"/>
      <c r="Q40" s="43">
        <f>SUM(Q32:Q39)</f>
        <v>57068</v>
      </c>
      <c r="R40" s="43">
        <f>SUM(R28:R39)</f>
        <v>632935</v>
      </c>
      <c r="S40" s="43">
        <f>SUM(S29:S39)</f>
        <v>724846</v>
      </c>
      <c r="T40" s="43">
        <f>SUM(T29:T39)</f>
        <v>1017782.94</v>
      </c>
      <c r="U40" s="43">
        <f>SUM(U29:U39)</f>
        <v>533682</v>
      </c>
      <c r="V40" s="10"/>
      <c r="W40" s="25"/>
      <c r="X40" s="43">
        <f>SUM(X29:X39)</f>
        <v>2966313.94</v>
      </c>
    </row>
    <row r="41" spans="2:26" x14ac:dyDescent="0.2">
      <c r="F41" s="10"/>
      <c r="G41" s="6"/>
      <c r="H41" s="10"/>
      <c r="I41" s="10"/>
      <c r="J41" s="10"/>
      <c r="K41" s="10"/>
      <c r="L41" s="43"/>
      <c r="M41" s="43"/>
      <c r="N41" s="43"/>
      <c r="O41" s="43"/>
      <c r="P41" s="43"/>
      <c r="Q41" s="43"/>
      <c r="R41" s="43"/>
      <c r="S41" s="43"/>
      <c r="T41" s="43"/>
      <c r="U41" s="43"/>
      <c r="V41" s="10"/>
      <c r="W41" s="25"/>
      <c r="X41" s="10"/>
    </row>
    <row r="42" spans="2:26" x14ac:dyDescent="0.2">
      <c r="B42" s="33"/>
      <c r="C42" s="31" t="s">
        <v>6</v>
      </c>
      <c r="F42" s="10"/>
      <c r="H42" s="10"/>
      <c r="I42" s="43"/>
      <c r="J42" s="10"/>
      <c r="K42" s="10"/>
      <c r="L42" s="10"/>
      <c r="M42" s="43"/>
      <c r="N42" s="25"/>
      <c r="O42" s="25"/>
      <c r="P42" s="25"/>
      <c r="Q42" s="25"/>
      <c r="R42" s="25"/>
      <c r="S42" s="25"/>
      <c r="T42" s="25"/>
      <c r="U42" s="25"/>
      <c r="V42" s="25"/>
      <c r="W42" s="25"/>
      <c r="X42" s="10"/>
      <c r="Z42" s="37"/>
    </row>
    <row r="43" spans="2:26" x14ac:dyDescent="0.2">
      <c r="B43" s="33"/>
      <c r="C43" s="25" t="s">
        <v>27</v>
      </c>
      <c r="F43" s="10"/>
      <c r="G43" s="52"/>
      <c r="H43" s="36"/>
      <c r="I43" s="65"/>
      <c r="J43" s="10"/>
      <c r="K43" s="65"/>
      <c r="L43" s="10"/>
      <c r="M43" s="65"/>
      <c r="N43" s="65"/>
      <c r="O43" s="36"/>
      <c r="P43" s="36"/>
      <c r="Q43" s="36">
        <v>16693</v>
      </c>
      <c r="R43" s="36">
        <f>-39777+48970+92126-72625-39000+159870+106714</f>
        <v>256278</v>
      </c>
      <c r="S43" s="36">
        <f>66562+24471-219819-24306+71049</f>
        <v>-82043</v>
      </c>
      <c r="T43" s="25">
        <f>-24078+59666-781950+101185</f>
        <v>-645177</v>
      </c>
      <c r="U43" s="25">
        <f>26242-11023-45289+868</f>
        <v>-29202</v>
      </c>
      <c r="V43" s="36"/>
      <c r="W43" s="12"/>
      <c r="X43" s="25">
        <f>SUM(F43:W43)</f>
        <v>-483451</v>
      </c>
      <c r="Z43" s="37"/>
    </row>
    <row r="44" spans="2:26" x14ac:dyDescent="0.2">
      <c r="B44" s="33"/>
      <c r="C44" s="25" t="s">
        <v>28</v>
      </c>
      <c r="F44" s="10"/>
      <c r="G44" s="52"/>
      <c r="H44" s="36"/>
      <c r="I44" s="65"/>
      <c r="J44" s="10"/>
      <c r="K44" s="65"/>
      <c r="L44" s="10"/>
      <c r="M44" s="65"/>
      <c r="N44" s="65"/>
      <c r="O44" s="36"/>
      <c r="P44" s="36"/>
      <c r="Q44" s="36">
        <f>-24981*5.3517</f>
        <v>-133690.81770000001</v>
      </c>
      <c r="R44" s="36"/>
      <c r="S44" s="36">
        <f>667811-274704</f>
        <v>393107</v>
      </c>
      <c r="T44" s="36">
        <f>1355782-621295</f>
        <v>734487</v>
      </c>
      <c r="U44" s="36">
        <f>1299473-144510</f>
        <v>1154963</v>
      </c>
      <c r="V44" s="36"/>
      <c r="W44" s="12"/>
      <c r="X44" s="25">
        <f>SUM(F44:W44)</f>
        <v>2148866.1823</v>
      </c>
      <c r="Z44" s="37"/>
    </row>
    <row r="45" spans="2:26" x14ac:dyDescent="0.2">
      <c r="B45" s="33"/>
      <c r="C45" s="25" t="s">
        <v>54</v>
      </c>
      <c r="F45" s="10"/>
      <c r="G45" s="52"/>
      <c r="H45" s="36"/>
      <c r="I45" s="65"/>
      <c r="J45" s="10"/>
      <c r="K45" s="65"/>
      <c r="L45" s="10"/>
      <c r="M45" s="65"/>
      <c r="N45" s="65"/>
      <c r="O45" s="36"/>
      <c r="P45" s="36"/>
      <c r="Q45" s="36"/>
      <c r="R45" s="36"/>
      <c r="S45" s="36"/>
      <c r="T45" s="36"/>
      <c r="U45" s="71">
        <f>-28052-34293</f>
        <v>-62345</v>
      </c>
      <c r="V45" s="71" t="s">
        <v>82</v>
      </c>
      <c r="W45" s="12"/>
      <c r="X45" s="25">
        <f>SUM(F45:W45)</f>
        <v>-62345</v>
      </c>
      <c r="Z45" s="37"/>
    </row>
    <row r="46" spans="2:26" x14ac:dyDescent="0.2">
      <c r="B46" s="33"/>
      <c r="C46" s="7" t="s">
        <v>13</v>
      </c>
      <c r="F46" s="11"/>
      <c r="G46" s="8"/>
      <c r="H46" s="11"/>
      <c r="I46" s="45"/>
      <c r="J46" s="11"/>
      <c r="K46" s="11"/>
      <c r="L46" s="11"/>
      <c r="M46" s="45"/>
      <c r="N46" s="45"/>
      <c r="O46" s="45"/>
      <c r="P46" s="11"/>
      <c r="Q46" s="11">
        <f>-2054+1668844-1110231</f>
        <v>556559</v>
      </c>
      <c r="R46" s="11">
        <f>-139296+2952375-646537-1342918</f>
        <v>823624</v>
      </c>
      <c r="S46" s="11">
        <f>-528202+4628626-1717759</f>
        <v>2382665</v>
      </c>
      <c r="T46" s="11">
        <f>-17051+3786653-3081646</f>
        <v>687956</v>
      </c>
      <c r="U46" s="11">
        <f>-23392+759833-916778</f>
        <v>-180337</v>
      </c>
      <c r="V46" s="11"/>
      <c r="W46" s="25"/>
      <c r="X46" s="11">
        <f>SUM(F46:W46)</f>
        <v>4270467</v>
      </c>
      <c r="Z46" s="37"/>
    </row>
    <row r="47" spans="2:26" ht="11.4" x14ac:dyDescent="0.2">
      <c r="B47" s="33"/>
      <c r="C47" s="17"/>
      <c r="F47" s="25"/>
      <c r="G47" s="32"/>
      <c r="H47" s="10"/>
      <c r="I47" s="10"/>
      <c r="J47" s="10"/>
      <c r="K47" s="10"/>
      <c r="L47" s="10"/>
      <c r="M47" s="10"/>
      <c r="N47" s="43"/>
      <c r="O47" s="25"/>
      <c r="P47" s="25"/>
      <c r="Q47" s="25">
        <f>SUM(Q43:Q46)</f>
        <v>439561.18229999999</v>
      </c>
      <c r="R47" s="25">
        <f>SUM(R42:R46)</f>
        <v>1079902</v>
      </c>
      <c r="S47" s="25">
        <f>SUM(S43:S46)</f>
        <v>2693729</v>
      </c>
      <c r="T47" s="25">
        <f>SUM(T43:T46)</f>
        <v>777266</v>
      </c>
      <c r="U47" s="25">
        <f>SUM(U43:U46)</f>
        <v>883079</v>
      </c>
      <c r="V47" s="25"/>
      <c r="W47" s="25"/>
      <c r="X47" s="25">
        <f>SUM(X43:X46)</f>
        <v>5873537.1822999995</v>
      </c>
      <c r="Z47" s="37"/>
    </row>
    <row r="48" spans="2:26" ht="11.4" x14ac:dyDescent="0.2">
      <c r="B48" s="33"/>
      <c r="C48" s="31" t="s">
        <v>4</v>
      </c>
      <c r="F48" s="25"/>
      <c r="G48" s="32"/>
      <c r="H48" s="10"/>
      <c r="I48" s="10"/>
      <c r="J48" s="10"/>
      <c r="K48" s="10"/>
      <c r="L48" s="10"/>
      <c r="M48" s="43"/>
      <c r="N48" s="48"/>
      <c r="O48" s="25"/>
      <c r="P48" s="25"/>
      <c r="Q48" s="25"/>
      <c r="R48" s="25"/>
      <c r="S48" s="25"/>
      <c r="T48" s="25"/>
      <c r="U48" s="25"/>
      <c r="V48" s="25"/>
      <c r="W48" s="25"/>
      <c r="X48" s="25"/>
      <c r="Z48" s="37"/>
    </row>
    <row r="49" spans="2:26" ht="11.4" x14ac:dyDescent="0.2">
      <c r="B49" s="33"/>
      <c r="C49" s="7" t="s">
        <v>61</v>
      </c>
      <c r="F49" s="25"/>
      <c r="G49" s="32"/>
      <c r="H49" s="10"/>
      <c r="I49" s="10"/>
      <c r="J49" s="10"/>
      <c r="K49" s="10"/>
      <c r="L49" s="10"/>
      <c r="M49" s="43"/>
      <c r="N49" s="48"/>
      <c r="O49" s="25"/>
      <c r="P49" s="25"/>
      <c r="Q49" s="25"/>
      <c r="R49" s="25"/>
      <c r="S49" s="25"/>
      <c r="T49" s="25">
        <f>-810137+212829</f>
        <v>-597308</v>
      </c>
      <c r="U49" s="25"/>
      <c r="V49" s="25"/>
      <c r="W49" s="25"/>
      <c r="X49" s="25">
        <f t="shared" ref="X49:X63" si="4">SUM(F49:W49)</f>
        <v>-597308</v>
      </c>
      <c r="Z49" s="37"/>
    </row>
    <row r="50" spans="2:26" ht="11.4" x14ac:dyDescent="0.2">
      <c r="B50" s="33"/>
      <c r="C50" s="7" t="s">
        <v>75</v>
      </c>
      <c r="F50" s="25"/>
      <c r="G50" s="32"/>
      <c r="H50" s="10"/>
      <c r="I50" s="10"/>
      <c r="J50" s="10"/>
      <c r="K50" s="10"/>
      <c r="L50" s="10"/>
      <c r="M50" s="43"/>
      <c r="N50" s="48"/>
      <c r="O50" s="25"/>
      <c r="P50" s="25"/>
      <c r="Q50" s="25"/>
      <c r="R50" s="25"/>
      <c r="S50" s="25"/>
      <c r="T50" s="25">
        <v>-507763</v>
      </c>
      <c r="U50" s="25"/>
      <c r="V50" s="25"/>
      <c r="W50" s="25"/>
      <c r="X50" s="25">
        <f t="shared" si="4"/>
        <v>-507763</v>
      </c>
      <c r="Z50" s="37"/>
    </row>
    <row r="51" spans="2:26" ht="11.4" x14ac:dyDescent="0.2">
      <c r="B51" s="33"/>
      <c r="C51" s="7" t="s">
        <v>29</v>
      </c>
      <c r="F51" s="25"/>
      <c r="G51" s="32"/>
      <c r="H51" s="10"/>
      <c r="I51" s="10"/>
      <c r="J51" s="10"/>
      <c r="K51" s="10"/>
      <c r="L51" s="10"/>
      <c r="M51" s="43"/>
      <c r="N51" s="48"/>
      <c r="O51" s="25"/>
      <c r="P51" s="25"/>
      <c r="Q51" s="25"/>
      <c r="R51" s="25"/>
      <c r="S51" s="25">
        <v>-16581</v>
      </c>
      <c r="T51" s="25"/>
      <c r="U51" s="25"/>
      <c r="V51" s="25"/>
      <c r="W51" s="25"/>
      <c r="X51" s="25">
        <f t="shared" si="4"/>
        <v>-16581</v>
      </c>
      <c r="Z51" s="37"/>
    </row>
    <row r="52" spans="2:26" ht="11.4" x14ac:dyDescent="0.2">
      <c r="B52" s="33"/>
      <c r="C52" s="7" t="s">
        <v>68</v>
      </c>
      <c r="F52" s="25"/>
      <c r="G52" s="32"/>
      <c r="H52" s="10"/>
      <c r="I52" s="10"/>
      <c r="J52" s="10"/>
      <c r="K52" s="10"/>
      <c r="L52" s="10"/>
      <c r="M52" s="43"/>
      <c r="N52" s="48"/>
      <c r="O52" s="25"/>
      <c r="P52" s="25"/>
      <c r="Q52" s="25"/>
      <c r="R52" s="25"/>
      <c r="S52" s="25"/>
      <c r="T52" s="25">
        <v>86800</v>
      </c>
      <c r="U52" s="25"/>
      <c r="V52" s="25"/>
      <c r="W52" s="25"/>
      <c r="X52" s="25">
        <f t="shared" si="4"/>
        <v>86800</v>
      </c>
      <c r="Z52" s="37"/>
    </row>
    <row r="53" spans="2:26" ht="11.4" x14ac:dyDescent="0.2">
      <c r="B53" s="33"/>
      <c r="C53" s="7" t="s">
        <v>72</v>
      </c>
      <c r="F53" s="25"/>
      <c r="G53" s="32"/>
      <c r="H53" s="10"/>
      <c r="I53" s="10"/>
      <c r="J53" s="10"/>
      <c r="K53" s="10"/>
      <c r="L53" s="10"/>
      <c r="M53" s="43"/>
      <c r="N53" s="48"/>
      <c r="O53" s="25"/>
      <c r="P53" s="25"/>
      <c r="Q53" s="25"/>
      <c r="R53" s="25"/>
      <c r="S53" s="25"/>
      <c r="T53" s="25">
        <v>-3982455</v>
      </c>
      <c r="U53" s="25"/>
      <c r="V53" s="25"/>
      <c r="W53" s="25"/>
      <c r="X53" s="25">
        <f t="shared" si="4"/>
        <v>-3982455</v>
      </c>
      <c r="Z53" s="37"/>
    </row>
    <row r="54" spans="2:26" ht="11.4" x14ac:dyDescent="0.2">
      <c r="B54" s="33"/>
      <c r="C54" s="7" t="s">
        <v>78</v>
      </c>
      <c r="F54" s="25"/>
      <c r="G54" s="32"/>
      <c r="H54" s="10"/>
      <c r="I54" s="10"/>
      <c r="J54" s="10"/>
      <c r="K54" s="10"/>
      <c r="L54" s="10"/>
      <c r="M54" s="43"/>
      <c r="N54" s="48"/>
      <c r="O54" s="25"/>
      <c r="P54" s="25"/>
      <c r="Q54" s="25"/>
      <c r="R54" s="25"/>
      <c r="S54" s="25"/>
      <c r="T54" s="25"/>
      <c r="U54" s="25">
        <v>98265</v>
      </c>
      <c r="V54" s="25"/>
      <c r="W54" s="25"/>
      <c r="X54" s="25">
        <f t="shared" si="4"/>
        <v>98265</v>
      </c>
      <c r="Z54" s="37"/>
    </row>
    <row r="55" spans="2:26" ht="11.4" x14ac:dyDescent="0.2">
      <c r="B55" s="33"/>
      <c r="C55" s="7" t="s">
        <v>73</v>
      </c>
      <c r="F55" s="25"/>
      <c r="G55" s="32"/>
      <c r="H55" s="10"/>
      <c r="I55" s="10"/>
      <c r="J55" s="10"/>
      <c r="K55" s="10"/>
      <c r="L55" s="10"/>
      <c r="M55" s="43"/>
      <c r="N55" s="48"/>
      <c r="O55" s="25"/>
      <c r="P55" s="25"/>
      <c r="Q55" s="25">
        <v>92753</v>
      </c>
      <c r="R55" s="25"/>
      <c r="S55" s="25"/>
      <c r="T55" s="25">
        <v>307363</v>
      </c>
      <c r="U55" s="25">
        <v>138465</v>
      </c>
      <c r="V55" s="25"/>
      <c r="W55" s="25"/>
      <c r="X55" s="25">
        <f t="shared" si="4"/>
        <v>538581</v>
      </c>
      <c r="Z55" s="37"/>
    </row>
    <row r="56" spans="2:26" ht="11.4" x14ac:dyDescent="0.2">
      <c r="B56" s="33"/>
      <c r="C56" s="7" t="s">
        <v>79</v>
      </c>
      <c r="F56" s="25"/>
      <c r="G56" s="32"/>
      <c r="H56" s="10"/>
      <c r="I56" s="10"/>
      <c r="J56" s="10"/>
      <c r="K56" s="10"/>
      <c r="L56" s="10"/>
      <c r="M56" s="43"/>
      <c r="N56" s="48"/>
      <c r="O56" s="25"/>
      <c r="P56" s="25"/>
      <c r="Q56" s="25"/>
      <c r="R56" s="25"/>
      <c r="S56" s="25"/>
      <c r="T56" s="25"/>
      <c r="U56" s="25">
        <v>158201</v>
      </c>
      <c r="V56" s="25"/>
      <c r="W56" s="25"/>
      <c r="X56" s="25">
        <f t="shared" si="4"/>
        <v>158201</v>
      </c>
      <c r="Z56" s="37"/>
    </row>
    <row r="57" spans="2:26" ht="11.4" x14ac:dyDescent="0.2">
      <c r="B57" s="33"/>
      <c r="C57" s="7" t="s">
        <v>74</v>
      </c>
      <c r="F57" s="25"/>
      <c r="G57" s="32"/>
      <c r="H57" s="10"/>
      <c r="I57" s="10"/>
      <c r="J57" s="10"/>
      <c r="K57" s="10"/>
      <c r="L57" s="10"/>
      <c r="M57" s="43"/>
      <c r="N57" s="48"/>
      <c r="O57" s="25"/>
      <c r="P57" s="25"/>
      <c r="Q57" s="25"/>
      <c r="R57" s="25"/>
      <c r="S57" s="25"/>
      <c r="T57" s="25">
        <v>72450</v>
      </c>
      <c r="U57" s="25"/>
      <c r="V57" s="25"/>
      <c r="W57" s="25"/>
      <c r="X57" s="25">
        <f t="shared" si="4"/>
        <v>72450</v>
      </c>
      <c r="Z57" s="37"/>
    </row>
    <row r="58" spans="2:26" x14ac:dyDescent="0.2">
      <c r="B58" s="33"/>
      <c r="C58" s="7" t="s">
        <v>67</v>
      </c>
      <c r="Q58" s="17">
        <v>26300</v>
      </c>
      <c r="X58" s="25">
        <f t="shared" si="4"/>
        <v>26300</v>
      </c>
      <c r="Z58" s="37"/>
    </row>
    <row r="59" spans="2:26" ht="11.4" x14ac:dyDescent="0.2">
      <c r="B59" s="33"/>
      <c r="C59" s="7" t="s">
        <v>42</v>
      </c>
      <c r="F59" s="25"/>
      <c r="G59" s="32"/>
      <c r="H59" s="10"/>
      <c r="I59" s="10"/>
      <c r="J59" s="10"/>
      <c r="K59" s="10"/>
      <c r="L59" s="10"/>
      <c r="M59" s="43"/>
      <c r="N59" s="48"/>
      <c r="O59" s="25"/>
      <c r="P59" s="25"/>
      <c r="Q59" s="25">
        <f>72500+37271</f>
        <v>109771</v>
      </c>
      <c r="R59" s="25"/>
      <c r="S59" s="25"/>
      <c r="T59" s="25"/>
      <c r="U59" s="25"/>
      <c r="V59" s="25"/>
      <c r="W59" s="25"/>
      <c r="X59" s="25">
        <f t="shared" si="4"/>
        <v>109771</v>
      </c>
      <c r="Z59" s="37"/>
    </row>
    <row r="60" spans="2:26" ht="11.4" x14ac:dyDescent="0.2">
      <c r="B60" s="33"/>
      <c r="C60" s="7" t="s">
        <v>47</v>
      </c>
      <c r="F60" s="25"/>
      <c r="G60" s="32"/>
      <c r="H60" s="10"/>
      <c r="I60" s="10"/>
      <c r="J60" s="10"/>
      <c r="K60" s="10"/>
      <c r="L60" s="36"/>
      <c r="M60" s="25"/>
      <c r="N60" s="36"/>
      <c r="O60" s="25"/>
      <c r="P60" s="25"/>
      <c r="Q60" s="25"/>
      <c r="R60" s="25">
        <f>-22500-20850+61662+15602+27225+77500</f>
        <v>138639</v>
      </c>
      <c r="S60" s="25"/>
      <c r="T60" s="25"/>
      <c r="U60" s="25"/>
      <c r="V60" s="25"/>
      <c r="W60" s="25"/>
      <c r="X60" s="25">
        <f t="shared" si="4"/>
        <v>138639</v>
      </c>
      <c r="Z60" s="37"/>
    </row>
    <row r="61" spans="2:26" ht="11.4" x14ac:dyDescent="0.2">
      <c r="B61" s="33"/>
      <c r="C61" s="25" t="s">
        <v>17</v>
      </c>
      <c r="F61" s="10"/>
      <c r="G61" s="32"/>
      <c r="H61" s="43"/>
      <c r="I61" s="10"/>
      <c r="J61" s="10"/>
      <c r="K61" s="10"/>
      <c r="L61" s="10"/>
      <c r="M61" s="43"/>
      <c r="N61" s="48"/>
      <c r="O61" s="25"/>
      <c r="P61" s="25"/>
      <c r="Q61" s="25"/>
      <c r="R61" s="25"/>
      <c r="S61" s="25">
        <v>17500</v>
      </c>
      <c r="U61" s="17">
        <v>372680</v>
      </c>
      <c r="V61" s="25"/>
      <c r="W61" s="25"/>
      <c r="X61" s="25">
        <f t="shared" si="4"/>
        <v>390180</v>
      </c>
    </row>
    <row r="62" spans="2:26" ht="11.4" x14ac:dyDescent="0.2">
      <c r="B62" s="33"/>
      <c r="C62" s="7" t="s">
        <v>50</v>
      </c>
      <c r="G62" s="32"/>
      <c r="R62" s="17">
        <v>238681</v>
      </c>
      <c r="X62" s="25">
        <f t="shared" si="4"/>
        <v>238681</v>
      </c>
    </row>
    <row r="63" spans="2:26" ht="11.4" x14ac:dyDescent="0.2">
      <c r="B63" s="33"/>
      <c r="C63" s="54" t="s">
        <v>55</v>
      </c>
      <c r="F63" s="10"/>
      <c r="G63" s="59"/>
      <c r="H63" s="45"/>
      <c r="I63" s="11"/>
      <c r="J63" s="11"/>
      <c r="K63" s="11"/>
      <c r="L63" s="11"/>
      <c r="M63" s="11"/>
      <c r="N63" s="11"/>
      <c r="O63" s="11"/>
      <c r="P63" s="11"/>
      <c r="Q63" s="11"/>
      <c r="R63" s="11"/>
      <c r="S63" s="11">
        <v>1729206</v>
      </c>
      <c r="T63" s="11">
        <v>470078</v>
      </c>
      <c r="U63" s="11">
        <v>-2555927</v>
      </c>
      <c r="V63" s="11"/>
      <c r="W63" s="25"/>
      <c r="X63" s="11">
        <f t="shared" si="4"/>
        <v>-356643</v>
      </c>
      <c r="Z63" s="37"/>
    </row>
    <row r="64" spans="2:26" ht="11.4" x14ac:dyDescent="0.2">
      <c r="B64" s="33"/>
      <c r="C64" s="17"/>
      <c r="F64" s="25"/>
      <c r="G64" s="32"/>
      <c r="H64" s="10"/>
      <c r="I64" s="10"/>
      <c r="J64" s="10"/>
      <c r="K64" s="10"/>
      <c r="L64" s="10"/>
      <c r="M64" s="10"/>
      <c r="N64" s="10"/>
      <c r="O64" s="25"/>
      <c r="P64" s="25"/>
      <c r="Q64" s="25">
        <f>SUM(Q49:Q63)</f>
        <v>228824</v>
      </c>
      <c r="R64" s="25">
        <f>SUM(R49:R63)</f>
        <v>377320</v>
      </c>
      <c r="S64" s="25">
        <f>SUM(S48:S63)</f>
        <v>1730125</v>
      </c>
      <c r="T64" s="25">
        <f>SUM(T49:T63)</f>
        <v>-4150835</v>
      </c>
      <c r="U64" s="25">
        <f>SUM(U49:U63)</f>
        <v>-1788316</v>
      </c>
      <c r="V64" s="25"/>
      <c r="W64" s="25"/>
      <c r="X64" s="25">
        <f>SUM(X49:X63)</f>
        <v>-3602882</v>
      </c>
      <c r="Z64" s="37"/>
    </row>
    <row r="65" spans="1:26" ht="11.4" x14ac:dyDescent="0.2">
      <c r="B65" s="33"/>
      <c r="C65" s="17"/>
      <c r="F65" s="25"/>
      <c r="G65" s="32"/>
      <c r="H65" s="10"/>
      <c r="I65" s="10"/>
      <c r="J65" s="10"/>
      <c r="K65" s="10"/>
      <c r="L65" s="10"/>
      <c r="M65" s="10"/>
      <c r="N65" s="10"/>
      <c r="O65" s="25"/>
      <c r="P65" s="25"/>
      <c r="Q65" s="25"/>
      <c r="R65" s="25"/>
      <c r="S65" s="25"/>
      <c r="T65" s="25"/>
      <c r="U65" s="25"/>
      <c r="V65" s="25"/>
      <c r="W65" s="25"/>
      <c r="X65" s="25"/>
      <c r="Z65" s="37"/>
    </row>
    <row r="66" spans="1:26" x14ac:dyDescent="0.2">
      <c r="C66" s="31" t="s">
        <v>8</v>
      </c>
      <c r="F66" s="25"/>
      <c r="H66" s="25"/>
      <c r="I66" s="25"/>
      <c r="J66" s="25"/>
      <c r="K66" s="25"/>
      <c r="L66" s="25"/>
      <c r="M66" s="25"/>
      <c r="N66" s="25"/>
      <c r="O66" s="25"/>
      <c r="P66" s="25"/>
      <c r="Q66" s="25"/>
      <c r="R66" s="25"/>
      <c r="S66" s="25"/>
      <c r="T66" s="25"/>
      <c r="U66" s="25"/>
      <c r="V66" s="25"/>
      <c r="W66" s="25"/>
      <c r="X66" s="25"/>
    </row>
    <row r="67" spans="1:26" s="22" customFormat="1" x14ac:dyDescent="0.2">
      <c r="A67" s="36"/>
      <c r="B67" s="36"/>
      <c r="C67" s="25" t="s">
        <v>84</v>
      </c>
      <c r="D67" s="6"/>
      <c r="E67" s="7"/>
      <c r="F67" s="11"/>
      <c r="G67" s="8"/>
      <c r="H67" s="11"/>
      <c r="I67" s="11"/>
      <c r="J67" s="11"/>
      <c r="K67" s="11"/>
      <c r="L67" s="11"/>
      <c r="M67" s="11"/>
      <c r="N67" s="11"/>
      <c r="O67" s="11">
        <v>337500</v>
      </c>
      <c r="P67" s="11"/>
      <c r="Q67" s="11"/>
      <c r="R67" s="11"/>
      <c r="S67" s="11"/>
      <c r="T67" s="11"/>
      <c r="U67" s="11"/>
      <c r="V67" s="11">
        <v>-3964283</v>
      </c>
      <c r="W67" s="25"/>
      <c r="X67" s="11">
        <f>SUM(F67:W67)</f>
        <v>-3626783</v>
      </c>
    </row>
    <row r="68" spans="1:26" x14ac:dyDescent="0.2">
      <c r="C68" s="7" t="s">
        <v>2</v>
      </c>
      <c r="F68" s="10"/>
      <c r="G68" s="6"/>
      <c r="H68" s="10"/>
      <c r="I68" s="10"/>
      <c r="J68" s="10"/>
      <c r="K68" s="10"/>
      <c r="L68" s="10"/>
      <c r="M68" s="10"/>
      <c r="N68" s="10"/>
      <c r="O68" s="10">
        <f>SUM(O67)</f>
        <v>337500</v>
      </c>
      <c r="P68" s="10"/>
      <c r="Q68" s="10"/>
      <c r="R68" s="10"/>
      <c r="S68" s="10"/>
      <c r="T68" s="10"/>
      <c r="U68" s="10"/>
      <c r="V68" s="10">
        <f>SUM(V66:V67)</f>
        <v>-3964283</v>
      </c>
      <c r="W68" s="25"/>
      <c r="X68" s="10">
        <f>SUM(X66:X67)</f>
        <v>-3626783</v>
      </c>
    </row>
    <row r="69" spans="1:26" x14ac:dyDescent="0.2">
      <c r="F69" s="10"/>
      <c r="H69" s="25"/>
      <c r="I69" s="25"/>
      <c r="J69" s="25"/>
      <c r="K69" s="25"/>
      <c r="L69" s="25"/>
      <c r="M69" s="25"/>
      <c r="N69" s="25"/>
      <c r="O69" s="25"/>
      <c r="P69" s="25"/>
      <c r="Q69" s="25"/>
      <c r="R69" s="25"/>
      <c r="S69" s="25"/>
      <c r="T69" s="25"/>
      <c r="U69" s="25"/>
      <c r="V69" s="25"/>
      <c r="W69" s="25"/>
      <c r="X69" s="25"/>
    </row>
    <row r="70" spans="1:26" ht="12" x14ac:dyDescent="0.25">
      <c r="B70" s="30" t="s">
        <v>87</v>
      </c>
      <c r="C70" s="31"/>
      <c r="F70" s="25"/>
      <c r="H70" s="25"/>
      <c r="I70" s="25"/>
      <c r="J70" s="25"/>
      <c r="K70" s="25"/>
      <c r="L70" s="25"/>
      <c r="M70" s="25"/>
      <c r="N70" s="25"/>
      <c r="O70" s="25"/>
      <c r="P70" s="25"/>
      <c r="Q70" s="25"/>
      <c r="R70" s="25"/>
      <c r="S70" s="25"/>
      <c r="T70" s="25"/>
      <c r="U70" s="25"/>
      <c r="V70" s="25"/>
      <c r="W70" s="25"/>
      <c r="X70" s="25"/>
    </row>
    <row r="71" spans="1:26" x14ac:dyDescent="0.2">
      <c r="C71" s="31" t="s">
        <v>5</v>
      </c>
      <c r="F71" s="25"/>
      <c r="H71" s="25"/>
      <c r="I71" s="25"/>
      <c r="J71" s="25"/>
      <c r="K71" s="25"/>
      <c r="L71" s="25"/>
      <c r="M71" s="25"/>
      <c r="N71" s="25"/>
      <c r="O71" s="25"/>
      <c r="P71" s="25"/>
      <c r="Q71" s="25"/>
      <c r="R71" s="25"/>
      <c r="S71" s="25"/>
      <c r="T71" s="25"/>
      <c r="U71" s="25"/>
      <c r="V71" s="25"/>
      <c r="W71" s="25"/>
      <c r="X71" s="25"/>
    </row>
    <row r="72" spans="1:26" x14ac:dyDescent="0.2">
      <c r="C72" s="7" t="s">
        <v>88</v>
      </c>
      <c r="F72" s="25"/>
      <c r="G72" s="8"/>
      <c r="H72" s="11"/>
      <c r="I72" s="11"/>
      <c r="J72" s="11"/>
      <c r="K72" s="11"/>
      <c r="L72" s="11"/>
      <c r="M72" s="11"/>
      <c r="N72" s="11"/>
      <c r="O72" s="11"/>
      <c r="P72" s="11"/>
      <c r="Q72" s="11"/>
      <c r="R72" s="11"/>
      <c r="S72" s="45">
        <f>(-78953+47035)*5.786</f>
        <v>-184677.54799999998</v>
      </c>
      <c r="T72" s="11"/>
      <c r="U72" s="11"/>
      <c r="V72" s="11"/>
      <c r="W72" s="25"/>
      <c r="X72" s="11">
        <f>SUM(F72:W72)</f>
        <v>-184677.54799999998</v>
      </c>
    </row>
    <row r="73" spans="1:26" x14ac:dyDescent="0.2">
      <c r="C73" s="31"/>
      <c r="F73" s="25"/>
      <c r="H73" s="25"/>
      <c r="I73" s="25"/>
      <c r="J73" s="25"/>
      <c r="K73" s="25"/>
      <c r="L73" s="25"/>
      <c r="M73" s="25"/>
      <c r="N73" s="25"/>
      <c r="O73" s="25"/>
      <c r="P73" s="48"/>
      <c r="Q73" s="48"/>
      <c r="R73" s="48"/>
      <c r="S73" s="48">
        <f>SUM(S72:S72)</f>
        <v>-184677.54799999998</v>
      </c>
      <c r="T73" s="48"/>
      <c r="U73" s="48"/>
      <c r="V73" s="25"/>
      <c r="W73" s="25"/>
      <c r="X73" s="25">
        <f>SUM(X72:X72)</f>
        <v>-184677.54799999998</v>
      </c>
    </row>
    <row r="74" spans="1:26" x14ac:dyDescent="0.2">
      <c r="C74" s="31"/>
      <c r="F74" s="25"/>
      <c r="H74" s="25"/>
      <c r="I74" s="25"/>
      <c r="J74" s="25"/>
      <c r="K74" s="25"/>
      <c r="L74" s="25"/>
      <c r="M74" s="25"/>
      <c r="N74" s="25"/>
      <c r="O74" s="25"/>
      <c r="P74" s="48"/>
      <c r="Q74" s="48"/>
      <c r="R74" s="48"/>
      <c r="S74" s="48"/>
      <c r="T74" s="48"/>
      <c r="U74" s="48"/>
      <c r="V74" s="25"/>
      <c r="W74" s="25"/>
      <c r="X74" s="25"/>
    </row>
    <row r="75" spans="1:26" x14ac:dyDescent="0.2">
      <c r="B75" s="33"/>
      <c r="C75" s="31" t="s">
        <v>4</v>
      </c>
      <c r="F75" s="10"/>
      <c r="H75" s="10"/>
      <c r="I75" s="43"/>
      <c r="J75" s="43"/>
      <c r="K75" s="10"/>
      <c r="L75" s="10"/>
      <c r="M75" s="10"/>
      <c r="N75" s="25"/>
      <c r="O75" s="25"/>
      <c r="P75" s="48"/>
      <c r="Q75" s="48"/>
      <c r="R75" s="48"/>
      <c r="S75" s="48"/>
      <c r="T75" s="48"/>
      <c r="U75" s="48"/>
      <c r="V75" s="25"/>
      <c r="W75" s="25"/>
      <c r="X75" s="10"/>
    </row>
    <row r="76" spans="1:26" hidden="1" x14ac:dyDescent="0.2">
      <c r="B76" s="33"/>
      <c r="C76" s="25" t="s">
        <v>17</v>
      </c>
      <c r="F76" s="10"/>
      <c r="H76" s="10"/>
      <c r="I76" s="10"/>
      <c r="J76" s="10"/>
      <c r="K76" s="10"/>
      <c r="L76" s="10"/>
      <c r="M76" s="10"/>
      <c r="N76" s="25"/>
      <c r="O76" s="25"/>
      <c r="P76" s="48"/>
      <c r="Q76" s="48"/>
      <c r="R76" s="48"/>
      <c r="S76" s="48"/>
      <c r="T76" s="48"/>
      <c r="U76" s="48"/>
      <c r="V76" s="25"/>
      <c r="W76" s="25"/>
      <c r="X76" s="25">
        <f>SUM(G76:W76)</f>
        <v>0</v>
      </c>
    </row>
    <row r="77" spans="1:26" ht="0.75" hidden="1" customHeight="1" x14ac:dyDescent="0.2">
      <c r="B77" s="33"/>
      <c r="C77" s="25" t="s">
        <v>19</v>
      </c>
      <c r="F77" s="10"/>
      <c r="H77" s="10"/>
      <c r="I77" s="10"/>
      <c r="J77" s="10"/>
      <c r="K77" s="10"/>
      <c r="L77" s="10"/>
      <c r="M77" s="10"/>
      <c r="N77" s="25"/>
      <c r="O77" s="25"/>
      <c r="P77" s="48"/>
      <c r="Q77" s="48"/>
      <c r="R77" s="48"/>
      <c r="S77" s="48"/>
      <c r="T77" s="48"/>
      <c r="U77" s="48"/>
      <c r="V77" s="25"/>
      <c r="W77" s="25"/>
      <c r="X77" s="25">
        <f>SUM(G77:W77)</f>
        <v>0</v>
      </c>
    </row>
    <row r="78" spans="1:26" hidden="1" x14ac:dyDescent="0.2">
      <c r="B78" s="33"/>
      <c r="C78" s="25" t="s">
        <v>20</v>
      </c>
      <c r="F78" s="10"/>
      <c r="H78" s="10"/>
      <c r="I78" s="10"/>
      <c r="J78" s="10"/>
      <c r="K78" s="10"/>
      <c r="L78" s="10"/>
      <c r="M78" s="10"/>
      <c r="N78" s="25"/>
      <c r="O78" s="25"/>
      <c r="P78" s="48"/>
      <c r="Q78" s="48"/>
      <c r="R78" s="48"/>
      <c r="S78" s="48"/>
      <c r="T78" s="48"/>
      <c r="U78" s="48"/>
      <c r="V78" s="25"/>
      <c r="W78" s="25"/>
      <c r="X78" s="25">
        <f>SUM(G78:W78)</f>
        <v>0</v>
      </c>
    </row>
    <row r="79" spans="1:26" hidden="1" x14ac:dyDescent="0.2">
      <c r="B79" s="33"/>
      <c r="C79" s="25" t="s">
        <v>21</v>
      </c>
      <c r="F79" s="10"/>
      <c r="H79" s="10"/>
      <c r="I79" s="43"/>
      <c r="J79" s="10"/>
      <c r="K79" s="10"/>
      <c r="L79" s="10"/>
      <c r="M79" s="10"/>
      <c r="N79" s="25"/>
      <c r="O79" s="25"/>
      <c r="P79" s="48"/>
      <c r="Q79" s="48"/>
      <c r="R79" s="48"/>
      <c r="S79" s="48"/>
      <c r="T79" s="48"/>
      <c r="U79" s="48"/>
      <c r="V79" s="25"/>
      <c r="W79" s="25"/>
      <c r="X79" s="25">
        <f>SUM(G79:W79)</f>
        <v>0</v>
      </c>
    </row>
    <row r="80" spans="1:26" x14ac:dyDescent="0.2">
      <c r="B80" s="33"/>
      <c r="C80" s="25" t="s">
        <v>62</v>
      </c>
      <c r="F80" s="10"/>
      <c r="H80" s="10"/>
      <c r="I80" s="43"/>
      <c r="J80" s="10"/>
      <c r="K80" s="10"/>
      <c r="L80" s="10"/>
      <c r="M80" s="10"/>
      <c r="N80" s="25"/>
      <c r="O80" s="25"/>
      <c r="P80" s="48"/>
      <c r="Q80" s="48"/>
      <c r="R80" s="48"/>
      <c r="S80" s="48"/>
      <c r="T80" s="48">
        <v>-14243</v>
      </c>
      <c r="U80" s="48"/>
      <c r="V80" s="25"/>
      <c r="W80" s="25"/>
      <c r="X80" s="25">
        <f t="shared" ref="X80:X85" si="5">SUM(F80:W80)</f>
        <v>-14243</v>
      </c>
    </row>
    <row r="81" spans="1:25" x14ac:dyDescent="0.2">
      <c r="B81" s="33"/>
      <c r="C81" s="25" t="s">
        <v>63</v>
      </c>
      <c r="F81" s="10"/>
      <c r="H81" s="10"/>
      <c r="I81" s="43"/>
      <c r="J81" s="10"/>
      <c r="K81" s="10"/>
      <c r="L81" s="10"/>
      <c r="M81" s="10"/>
      <c r="N81" s="25"/>
      <c r="O81" s="25"/>
      <c r="P81" s="48"/>
      <c r="Q81" s="48"/>
      <c r="R81" s="48"/>
      <c r="S81" s="48"/>
      <c r="T81" s="48">
        <v>-4130</v>
      </c>
      <c r="U81" s="48"/>
      <c r="V81" s="25"/>
      <c r="W81" s="25"/>
      <c r="X81" s="25">
        <f t="shared" si="5"/>
        <v>-4130</v>
      </c>
    </row>
    <row r="82" spans="1:25" x14ac:dyDescent="0.2">
      <c r="B82" s="33"/>
      <c r="C82" s="25" t="s">
        <v>65</v>
      </c>
      <c r="F82" s="10"/>
      <c r="H82" s="10"/>
      <c r="I82" s="43"/>
      <c r="J82" s="10"/>
      <c r="K82" s="10"/>
      <c r="L82" s="10"/>
      <c r="M82" s="10"/>
      <c r="N82" s="25"/>
      <c r="O82" s="25"/>
      <c r="P82" s="25"/>
      <c r="Q82" s="25"/>
      <c r="R82" s="48"/>
      <c r="S82" s="48"/>
      <c r="T82" s="48"/>
      <c r="U82" s="48"/>
      <c r="V82" s="25"/>
      <c r="W82" s="25"/>
      <c r="X82" s="25">
        <f t="shared" si="5"/>
        <v>0</v>
      </c>
    </row>
    <row r="83" spans="1:25" x14ac:dyDescent="0.2">
      <c r="B83" s="33"/>
      <c r="C83" s="25" t="s">
        <v>64</v>
      </c>
      <c r="F83" s="10"/>
      <c r="H83" s="10"/>
      <c r="I83" s="43"/>
      <c r="J83" s="10"/>
      <c r="K83" s="10"/>
      <c r="L83" s="10"/>
      <c r="M83" s="10"/>
      <c r="N83" s="25"/>
      <c r="O83" s="25"/>
      <c r="P83" s="48"/>
      <c r="Q83" s="48"/>
      <c r="R83" s="48"/>
      <c r="S83" s="48"/>
      <c r="T83" s="48">
        <v>-997500</v>
      </c>
      <c r="U83" s="48"/>
      <c r="V83" s="25"/>
      <c r="W83" s="25"/>
      <c r="X83" s="25">
        <f t="shared" si="5"/>
        <v>-997500</v>
      </c>
    </row>
    <row r="84" spans="1:25" x14ac:dyDescent="0.2">
      <c r="B84" s="33"/>
      <c r="C84" s="69" t="s">
        <v>80</v>
      </c>
      <c r="F84" s="10"/>
      <c r="I84" s="43"/>
      <c r="J84" s="10"/>
      <c r="K84" s="10"/>
      <c r="L84" s="10"/>
      <c r="M84" s="10"/>
      <c r="N84" s="25"/>
      <c r="O84" s="48"/>
      <c r="P84" s="48"/>
      <c r="Q84" s="48"/>
      <c r="R84" s="48"/>
      <c r="S84" s="48"/>
      <c r="T84" s="48"/>
      <c r="U84" s="70">
        <v>542022</v>
      </c>
      <c r="V84" s="25"/>
      <c r="W84" s="25"/>
      <c r="X84" s="25">
        <f t="shared" si="5"/>
        <v>542022</v>
      </c>
    </row>
    <row r="85" spans="1:25" x14ac:dyDescent="0.2">
      <c r="B85" s="33"/>
      <c r="C85" s="25" t="s">
        <v>56</v>
      </c>
      <c r="F85" s="11"/>
      <c r="G85" s="8"/>
      <c r="H85" s="11"/>
      <c r="I85" s="45"/>
      <c r="J85" s="11"/>
      <c r="K85" s="11"/>
      <c r="L85" s="11"/>
      <c r="M85" s="11"/>
      <c r="N85" s="11"/>
      <c r="O85" s="11"/>
      <c r="P85" s="45"/>
      <c r="Q85" s="45"/>
      <c r="R85" s="45"/>
      <c r="S85" s="11"/>
      <c r="T85" s="11"/>
      <c r="U85" s="11"/>
      <c r="V85" s="11"/>
      <c r="W85" s="25"/>
      <c r="X85" s="11">
        <f t="shared" si="5"/>
        <v>0</v>
      </c>
    </row>
    <row r="86" spans="1:25" x14ac:dyDescent="0.2">
      <c r="C86" s="7" t="s">
        <v>2</v>
      </c>
      <c r="F86" s="25"/>
      <c r="G86" s="10"/>
      <c r="H86" s="10"/>
      <c r="I86" s="10"/>
      <c r="J86" s="10"/>
      <c r="K86" s="10"/>
      <c r="L86" s="10"/>
      <c r="M86" s="10"/>
      <c r="N86" s="10"/>
      <c r="O86" s="10"/>
      <c r="P86" s="10"/>
      <c r="Q86" s="10"/>
      <c r="R86" s="10"/>
      <c r="S86" s="10"/>
      <c r="T86" s="10">
        <f>SUM(T80:T85)</f>
        <v>-1015873</v>
      </c>
      <c r="U86" s="10">
        <f>SUM(U80:U85)</f>
        <v>542022</v>
      </c>
      <c r="V86" s="10"/>
      <c r="W86" s="25"/>
      <c r="X86" s="10">
        <f>SUM(X76:X85)</f>
        <v>-473851</v>
      </c>
    </row>
    <row r="87" spans="1:25" x14ac:dyDescent="0.2">
      <c r="G87" s="6"/>
      <c r="N87" s="21"/>
      <c r="O87" s="21"/>
      <c r="P87" s="60"/>
      <c r="Q87" s="60"/>
      <c r="R87" s="60"/>
      <c r="S87" s="60"/>
      <c r="T87" s="60"/>
      <c r="U87" s="60"/>
      <c r="V87" s="21"/>
      <c r="W87" s="21"/>
      <c r="X87" s="20"/>
    </row>
    <row r="88" spans="1:25" s="5" customFormat="1" ht="19.5" customHeight="1" thickBot="1" x14ac:dyDescent="0.25">
      <c r="A88" s="29" t="s">
        <v>7</v>
      </c>
      <c r="B88" s="6"/>
      <c r="C88" s="7"/>
      <c r="D88" s="35"/>
      <c r="E88" s="7"/>
      <c r="F88" s="34">
        <f>+F13+F27+F40+F47+F68+F86+F26+F27</f>
        <v>0</v>
      </c>
      <c r="G88" s="34">
        <f t="shared" ref="G88:V88" si="6">G13+G17+G26+G40+G47+G64+G68+G73+G86</f>
        <v>-23008</v>
      </c>
      <c r="H88" s="34">
        <f t="shared" si="6"/>
        <v>-1008</v>
      </c>
      <c r="I88" s="34">
        <f t="shared" si="6"/>
        <v>-2954</v>
      </c>
      <c r="J88" s="34">
        <f t="shared" si="6"/>
        <v>-4769</v>
      </c>
      <c r="K88" s="34">
        <f t="shared" si="6"/>
        <v>-4326</v>
      </c>
      <c r="L88" s="34">
        <f t="shared" si="6"/>
        <v>-6206</v>
      </c>
      <c r="M88" s="34">
        <f t="shared" si="6"/>
        <v>-4138</v>
      </c>
      <c r="N88" s="34">
        <f t="shared" si="6"/>
        <v>1157</v>
      </c>
      <c r="O88" s="34">
        <f t="shared" si="6"/>
        <v>374261</v>
      </c>
      <c r="P88" s="34">
        <f t="shared" si="6"/>
        <v>923</v>
      </c>
      <c r="Q88" s="34">
        <f t="shared" si="6"/>
        <v>1023375.6923</v>
      </c>
      <c r="R88" s="34">
        <f t="shared" si="6"/>
        <v>2551177.48</v>
      </c>
      <c r="S88" s="34">
        <f t="shared" si="6"/>
        <v>6460822.4819999998</v>
      </c>
      <c r="T88" s="34">
        <f t="shared" si="6"/>
        <v>-3298774.06</v>
      </c>
      <c r="U88" s="34">
        <f t="shared" si="6"/>
        <v>757727</v>
      </c>
      <c r="V88" s="34">
        <f t="shared" si="6"/>
        <v>-3964283</v>
      </c>
      <c r="W88" s="35"/>
      <c r="X88" s="34">
        <f>+X13+X27+X40+X47+X68+X86+X26+X27+X17+X64++X73+X69</f>
        <v>3859977.5942999986</v>
      </c>
      <c r="Y88" s="47">
        <f>X13+X17+X26+X40+X47+X64+X68+X73+X86</f>
        <v>3859977.5942999981</v>
      </c>
    </row>
    <row r="89" spans="1:25" s="5" customFormat="1" ht="10.8" thickTop="1" x14ac:dyDescent="0.2">
      <c r="A89" s="6"/>
      <c r="B89" s="6"/>
      <c r="C89" s="7"/>
      <c r="D89" s="14"/>
      <c r="E89" s="35"/>
      <c r="F89" s="14"/>
      <c r="G89" s="14"/>
      <c r="H89" s="14"/>
      <c r="I89" s="14"/>
      <c r="J89" s="14"/>
      <c r="K89" s="14"/>
      <c r="L89" s="14"/>
      <c r="M89" s="14"/>
      <c r="N89" s="14"/>
      <c r="O89" s="14"/>
      <c r="P89" s="14"/>
      <c r="Q89" s="14"/>
      <c r="R89" s="14"/>
      <c r="S89" s="14"/>
      <c r="T89" s="14"/>
      <c r="U89" s="14"/>
      <c r="V89" s="14"/>
      <c r="W89" s="51"/>
      <c r="X89" s="47"/>
      <c r="Y89" s="47"/>
    </row>
    <row r="90" spans="1:25" s="5" customFormat="1" x14ac:dyDescent="0.2">
      <c r="A90" s="29" t="s">
        <v>9</v>
      </c>
      <c r="B90" s="6"/>
      <c r="C90" s="7"/>
      <c r="D90" s="14"/>
      <c r="E90" s="35"/>
      <c r="F90" s="14">
        <f t="shared" ref="F90:V90" si="7">+F8-F88</f>
        <v>0</v>
      </c>
      <c r="G90" s="29">
        <f t="shared" si="7"/>
        <v>0</v>
      </c>
      <c r="H90" s="29">
        <f t="shared" si="7"/>
        <v>0</v>
      </c>
      <c r="I90" s="29">
        <f t="shared" si="7"/>
        <v>0</v>
      </c>
      <c r="J90" s="29">
        <f t="shared" si="7"/>
        <v>0</v>
      </c>
      <c r="K90" s="14">
        <f t="shared" si="7"/>
        <v>0</v>
      </c>
      <c r="L90" s="14">
        <f t="shared" si="7"/>
        <v>0</v>
      </c>
      <c r="M90" s="14">
        <f t="shared" si="7"/>
        <v>0</v>
      </c>
      <c r="N90" s="14">
        <f t="shared" si="7"/>
        <v>0</v>
      </c>
      <c r="O90" s="14">
        <f t="shared" si="7"/>
        <v>0</v>
      </c>
      <c r="P90" s="14">
        <f t="shared" si="7"/>
        <v>0</v>
      </c>
      <c r="Q90" s="14">
        <f t="shared" si="7"/>
        <v>118022.3077</v>
      </c>
      <c r="R90" s="14">
        <f t="shared" si="7"/>
        <v>-86461.479999999981</v>
      </c>
      <c r="S90" s="14">
        <f t="shared" si="7"/>
        <v>-59006.481999999844</v>
      </c>
      <c r="T90" s="14">
        <f t="shared" si="7"/>
        <v>-3523.9399999999441</v>
      </c>
      <c r="U90" s="14">
        <f t="shared" si="7"/>
        <v>19021</v>
      </c>
      <c r="V90" s="14">
        <f t="shared" si="7"/>
        <v>0</v>
      </c>
      <c r="W90" s="7"/>
      <c r="X90" s="6">
        <f>+X8-X88</f>
        <v>-11948.5942999986</v>
      </c>
    </row>
    <row r="91" spans="1:25" x14ac:dyDescent="0.2">
      <c r="J91" s="46"/>
      <c r="W91" s="52"/>
    </row>
    <row r="92" spans="1:25" ht="12.75" customHeight="1" x14ac:dyDescent="0.2">
      <c r="H92" s="46"/>
      <c r="J92" s="46"/>
      <c r="O92" s="61"/>
      <c r="P92" s="61"/>
      <c r="Q92" s="61"/>
      <c r="R92" s="61"/>
      <c r="S92" s="61"/>
      <c r="T92" s="61"/>
      <c r="U92" s="61"/>
      <c r="V92" s="61"/>
      <c r="W92" s="52"/>
    </row>
    <row r="93" spans="1:25" x14ac:dyDescent="0.2">
      <c r="H93" s="46"/>
      <c r="J93" s="46"/>
      <c r="W93" s="52"/>
    </row>
    <row r="94" spans="1:25" x14ac:dyDescent="0.2">
      <c r="J94" s="46"/>
      <c r="W94" s="52"/>
    </row>
    <row r="95" spans="1:25" x14ac:dyDescent="0.2">
      <c r="J95" s="46"/>
      <c r="W95" s="52"/>
    </row>
    <row r="96" spans="1:25" x14ac:dyDescent="0.2">
      <c r="J96" s="46"/>
      <c r="W96" s="52"/>
    </row>
    <row r="97" spans="10:23" x14ac:dyDescent="0.2">
      <c r="J97" s="46"/>
      <c r="W97" s="52"/>
    </row>
    <row r="98" spans="10:23" x14ac:dyDescent="0.2">
      <c r="J98" s="46"/>
      <c r="W98" s="52"/>
    </row>
    <row r="99" spans="10:23" x14ac:dyDescent="0.2">
      <c r="W99" s="52"/>
    </row>
    <row r="100" spans="10:23" x14ac:dyDescent="0.2">
      <c r="W100" s="52"/>
    </row>
    <row r="101" spans="10:23" x14ac:dyDescent="0.2">
      <c r="W101" s="52"/>
    </row>
    <row r="102" spans="10:23" x14ac:dyDescent="0.2">
      <c r="W102" s="52"/>
    </row>
    <row r="103" spans="10:23" x14ac:dyDescent="0.2">
      <c r="W103" s="52"/>
    </row>
    <row r="104" spans="10:23" x14ac:dyDescent="0.2">
      <c r="W104" s="52"/>
    </row>
    <row r="105" spans="10:23" x14ac:dyDescent="0.2">
      <c r="W105" s="52"/>
    </row>
    <row r="106" spans="10:23" x14ac:dyDescent="0.2">
      <c r="W106" s="52"/>
    </row>
    <row r="107" spans="10:23" x14ac:dyDescent="0.2">
      <c r="W107" s="52"/>
    </row>
    <row r="108" spans="10:23" x14ac:dyDescent="0.2">
      <c r="W108" s="52"/>
    </row>
    <row r="109" spans="10:23" x14ac:dyDescent="0.2">
      <c r="W109" s="52"/>
    </row>
    <row r="110" spans="10:23" x14ac:dyDescent="0.2">
      <c r="W110" s="52"/>
    </row>
    <row r="111" spans="10:23" x14ac:dyDescent="0.2">
      <c r="W111" s="52"/>
    </row>
    <row r="112" spans="10:23" x14ac:dyDescent="0.2">
      <c r="W112" s="52"/>
    </row>
    <row r="113" spans="23:23" x14ac:dyDescent="0.2">
      <c r="W113" s="52"/>
    </row>
    <row r="114" spans="23:23" x14ac:dyDescent="0.2">
      <c r="W114" s="52"/>
    </row>
    <row r="115" spans="23:23" x14ac:dyDescent="0.2">
      <c r="W115" s="52"/>
    </row>
    <row r="116" spans="23:23" x14ac:dyDescent="0.2">
      <c r="W116" s="52"/>
    </row>
    <row r="117" spans="23:23" x14ac:dyDescent="0.2">
      <c r="W117" s="52"/>
    </row>
    <row r="118" spans="23:23" x14ac:dyDescent="0.2">
      <c r="W118" s="52"/>
    </row>
    <row r="119" spans="23:23" x14ac:dyDescent="0.2">
      <c r="W119" s="52"/>
    </row>
    <row r="120" spans="23:23" x14ac:dyDescent="0.2">
      <c r="W120" s="52"/>
    </row>
    <row r="121" spans="23:23" x14ac:dyDescent="0.2">
      <c r="W121" s="52"/>
    </row>
    <row r="122" spans="23:23" x14ac:dyDescent="0.2">
      <c r="W122" s="52"/>
    </row>
    <row r="123" spans="23:23" x14ac:dyDescent="0.2">
      <c r="W123" s="52"/>
    </row>
    <row r="124" spans="23:23" x14ac:dyDescent="0.2">
      <c r="W124" s="52"/>
    </row>
    <row r="125" spans="23:23" x14ac:dyDescent="0.2">
      <c r="W125" s="52"/>
    </row>
    <row r="126" spans="23:23" x14ac:dyDescent="0.2">
      <c r="W126" s="52"/>
    </row>
    <row r="127" spans="23:23" x14ac:dyDescent="0.2">
      <c r="W127" s="52"/>
    </row>
    <row r="128" spans="23:23" x14ac:dyDescent="0.2">
      <c r="W128" s="52"/>
    </row>
    <row r="129" spans="23:23" x14ac:dyDescent="0.2">
      <c r="W129" s="52"/>
    </row>
    <row r="130" spans="23:23" x14ac:dyDescent="0.2">
      <c r="W130" s="52"/>
    </row>
    <row r="131" spans="23:23" x14ac:dyDescent="0.2">
      <c r="W131" s="52"/>
    </row>
    <row r="132" spans="23:23" x14ac:dyDescent="0.2">
      <c r="W132" s="52"/>
    </row>
    <row r="133" spans="23:23" x14ac:dyDescent="0.2">
      <c r="W133" s="52"/>
    </row>
    <row r="134" spans="23:23" x14ac:dyDescent="0.2">
      <c r="W134" s="52"/>
    </row>
    <row r="135" spans="23:23" x14ac:dyDescent="0.2">
      <c r="W135" s="52"/>
    </row>
    <row r="136" spans="23:23" x14ac:dyDescent="0.2">
      <c r="W136" s="52"/>
    </row>
    <row r="137" spans="23:23" x14ac:dyDescent="0.2">
      <c r="W137" s="52"/>
    </row>
    <row r="138" spans="23:23" x14ac:dyDescent="0.2">
      <c r="W138" s="52"/>
    </row>
    <row r="139" spans="23:23" x14ac:dyDescent="0.2">
      <c r="W139" s="52"/>
    </row>
    <row r="140" spans="23:23" x14ac:dyDescent="0.2">
      <c r="W140" s="52"/>
    </row>
    <row r="141" spans="23:23" x14ac:dyDescent="0.2">
      <c r="W141" s="52"/>
    </row>
    <row r="142" spans="23:23" x14ac:dyDescent="0.2">
      <c r="W142" s="52"/>
    </row>
    <row r="143" spans="23:23" x14ac:dyDescent="0.2">
      <c r="W143" s="52"/>
    </row>
    <row r="144" spans="23:23" x14ac:dyDescent="0.2">
      <c r="W144" s="52"/>
    </row>
    <row r="145" spans="23:23" x14ac:dyDescent="0.2">
      <c r="W145" s="52"/>
    </row>
    <row r="146" spans="23:23" x14ac:dyDescent="0.2">
      <c r="W146" s="52"/>
    </row>
    <row r="147" spans="23:23" x14ac:dyDescent="0.2">
      <c r="W147" s="52"/>
    </row>
    <row r="148" spans="23:23" x14ac:dyDescent="0.2">
      <c r="W148" s="52"/>
    </row>
    <row r="149" spans="23:23" x14ac:dyDescent="0.2">
      <c r="W149" s="52"/>
    </row>
    <row r="150" spans="23:23" x14ac:dyDescent="0.2">
      <c r="W150" s="52"/>
    </row>
    <row r="151" spans="23:23" x14ac:dyDescent="0.2">
      <c r="W151" s="52"/>
    </row>
    <row r="152" spans="23:23" x14ac:dyDescent="0.2">
      <c r="W152" s="52"/>
    </row>
    <row r="153" spans="23:23" x14ac:dyDescent="0.2">
      <c r="W153" s="52"/>
    </row>
    <row r="154" spans="23:23" x14ac:dyDescent="0.2">
      <c r="W154" s="52"/>
    </row>
    <row r="155" spans="23:23" x14ac:dyDescent="0.2">
      <c r="W155" s="52"/>
    </row>
    <row r="156" spans="23:23" x14ac:dyDescent="0.2">
      <c r="W156" s="52"/>
    </row>
    <row r="157" spans="23:23" x14ac:dyDescent="0.2">
      <c r="W157" s="52"/>
    </row>
    <row r="158" spans="23:23" x14ac:dyDescent="0.2">
      <c r="W158" s="52"/>
    </row>
    <row r="159" spans="23:23" x14ac:dyDescent="0.2">
      <c r="W159" s="52"/>
    </row>
    <row r="160" spans="23:23" x14ac:dyDescent="0.2">
      <c r="W160" s="52"/>
    </row>
    <row r="161" spans="23:23" x14ac:dyDescent="0.2">
      <c r="W161" s="52"/>
    </row>
    <row r="162" spans="23:23" x14ac:dyDescent="0.2">
      <c r="W162" s="52"/>
    </row>
    <row r="163" spans="23:23" x14ac:dyDescent="0.2">
      <c r="W163" s="52"/>
    </row>
    <row r="164" spans="23:23" x14ac:dyDescent="0.2">
      <c r="W164" s="52"/>
    </row>
    <row r="165" spans="23:23" x14ac:dyDescent="0.2">
      <c r="W165" s="52"/>
    </row>
    <row r="166" spans="23:23" x14ac:dyDescent="0.2">
      <c r="W166" s="52"/>
    </row>
    <row r="167" spans="23:23" x14ac:dyDescent="0.2">
      <c r="W167" s="52"/>
    </row>
    <row r="168" spans="23:23" x14ac:dyDescent="0.2">
      <c r="W168" s="52"/>
    </row>
    <row r="169" spans="23:23" x14ac:dyDescent="0.2">
      <c r="W169" s="52"/>
    </row>
    <row r="170" spans="23:23" x14ac:dyDescent="0.2">
      <c r="W170" s="52"/>
    </row>
    <row r="171" spans="23:23" x14ac:dyDescent="0.2">
      <c r="W171" s="52"/>
    </row>
    <row r="172" spans="23:23" x14ac:dyDescent="0.2">
      <c r="W172" s="52"/>
    </row>
    <row r="173" spans="23:23" x14ac:dyDescent="0.2">
      <c r="W173" s="52"/>
    </row>
    <row r="174" spans="23:23" x14ac:dyDescent="0.2">
      <c r="W174" s="52"/>
    </row>
    <row r="175" spans="23:23" x14ac:dyDescent="0.2">
      <c r="W175" s="52"/>
    </row>
    <row r="176" spans="23:23" x14ac:dyDescent="0.2">
      <c r="W176" s="52"/>
    </row>
    <row r="177" spans="23:23" x14ac:dyDescent="0.2">
      <c r="W177" s="52"/>
    </row>
    <row r="178" spans="23:23" x14ac:dyDescent="0.2">
      <c r="W178" s="52"/>
    </row>
    <row r="179" spans="23:23" x14ac:dyDescent="0.2">
      <c r="W179" s="52"/>
    </row>
    <row r="180" spans="23:23" x14ac:dyDescent="0.2">
      <c r="W180" s="52"/>
    </row>
    <row r="181" spans="23:23" x14ac:dyDescent="0.2">
      <c r="W181" s="52"/>
    </row>
    <row r="182" spans="23:23" x14ac:dyDescent="0.2">
      <c r="W182" s="52"/>
    </row>
    <row r="183" spans="23:23" x14ac:dyDescent="0.2">
      <c r="W183" s="52"/>
    </row>
    <row r="184" spans="23:23" x14ac:dyDescent="0.2">
      <c r="W184" s="52"/>
    </row>
    <row r="185" spans="23:23" x14ac:dyDescent="0.2">
      <c r="W185" s="52"/>
    </row>
    <row r="186" spans="23:23" x14ac:dyDescent="0.2">
      <c r="W186" s="52"/>
    </row>
    <row r="187" spans="23:23" x14ac:dyDescent="0.2">
      <c r="W187" s="52"/>
    </row>
    <row r="188" spans="23:23" x14ac:dyDescent="0.2">
      <c r="W188" s="52"/>
    </row>
    <row r="189" spans="23:23" x14ac:dyDescent="0.2">
      <c r="W189" s="52"/>
    </row>
    <row r="190" spans="23:23" x14ac:dyDescent="0.2">
      <c r="W190" s="52"/>
    </row>
    <row r="191" spans="23:23" x14ac:dyDescent="0.2">
      <c r="W191" s="52"/>
    </row>
    <row r="192" spans="23:23" x14ac:dyDescent="0.2">
      <c r="W192" s="52"/>
    </row>
    <row r="193" spans="23:23" x14ac:dyDescent="0.2">
      <c r="W193" s="52"/>
    </row>
    <row r="194" spans="23:23" x14ac:dyDescent="0.2">
      <c r="W194" s="52"/>
    </row>
    <row r="195" spans="23:23" x14ac:dyDescent="0.2">
      <c r="W195" s="52"/>
    </row>
    <row r="196" spans="23:23" x14ac:dyDescent="0.2">
      <c r="W196" s="52"/>
    </row>
    <row r="197" spans="23:23" x14ac:dyDescent="0.2">
      <c r="W197" s="52"/>
    </row>
    <row r="198" spans="23:23" x14ac:dyDescent="0.2">
      <c r="W198" s="52"/>
    </row>
    <row r="199" spans="23:23" x14ac:dyDescent="0.2">
      <c r="W199" s="52"/>
    </row>
    <row r="200" spans="23:23" x14ac:dyDescent="0.2">
      <c r="W200" s="52"/>
    </row>
    <row r="201" spans="23:23" x14ac:dyDescent="0.2">
      <c r="W201" s="52"/>
    </row>
    <row r="202" spans="23:23" x14ac:dyDescent="0.2">
      <c r="W202" s="52"/>
    </row>
    <row r="203" spans="23:23" x14ac:dyDescent="0.2">
      <c r="W203" s="52"/>
    </row>
    <row r="204" spans="23:23" x14ac:dyDescent="0.2">
      <c r="W204" s="52"/>
    </row>
    <row r="205" spans="23:23" x14ac:dyDescent="0.2">
      <c r="W205" s="52"/>
    </row>
    <row r="206" spans="23:23" x14ac:dyDescent="0.2">
      <c r="W206" s="52"/>
    </row>
    <row r="207" spans="23:23" x14ac:dyDescent="0.2">
      <c r="W207" s="52"/>
    </row>
    <row r="208" spans="23:23" x14ac:dyDescent="0.2">
      <c r="W208" s="52"/>
    </row>
    <row r="209" spans="23:23" x14ac:dyDescent="0.2">
      <c r="W209" s="52"/>
    </row>
    <row r="210" spans="23:23" x14ac:dyDescent="0.2">
      <c r="W210" s="52"/>
    </row>
    <row r="211" spans="23:23" x14ac:dyDescent="0.2">
      <c r="W211" s="52"/>
    </row>
    <row r="212" spans="23:23" x14ac:dyDescent="0.2">
      <c r="W212" s="52"/>
    </row>
    <row r="213" spans="23:23" x14ac:dyDescent="0.2">
      <c r="W213" s="52"/>
    </row>
    <row r="214" spans="23:23" x14ac:dyDescent="0.2">
      <c r="W214" s="52"/>
    </row>
    <row r="215" spans="23:23" x14ac:dyDescent="0.2">
      <c r="W215" s="52"/>
    </row>
    <row r="216" spans="23:23" x14ac:dyDescent="0.2">
      <c r="W216" s="52"/>
    </row>
    <row r="217" spans="23:23" x14ac:dyDescent="0.2">
      <c r="W217" s="52"/>
    </row>
    <row r="218" spans="23:23" x14ac:dyDescent="0.2">
      <c r="W218" s="52"/>
    </row>
    <row r="219" spans="23:23" x14ac:dyDescent="0.2">
      <c r="W219" s="52"/>
    </row>
    <row r="220" spans="23:23" x14ac:dyDescent="0.2">
      <c r="W220" s="52"/>
    </row>
    <row r="221" spans="23:23" x14ac:dyDescent="0.2">
      <c r="W221" s="52"/>
    </row>
    <row r="222" spans="23:23" x14ac:dyDescent="0.2">
      <c r="W222" s="52"/>
    </row>
    <row r="223" spans="23:23" x14ac:dyDescent="0.2">
      <c r="W223" s="52"/>
    </row>
    <row r="224" spans="23:23" x14ac:dyDescent="0.2">
      <c r="W224" s="52"/>
    </row>
    <row r="225" spans="23:23" x14ac:dyDescent="0.2">
      <c r="W225" s="52"/>
    </row>
    <row r="226" spans="23:23" x14ac:dyDescent="0.2">
      <c r="W226" s="52"/>
    </row>
    <row r="227" spans="23:23" x14ac:dyDescent="0.2">
      <c r="W227" s="52"/>
    </row>
    <row r="228" spans="23:23" x14ac:dyDescent="0.2">
      <c r="W228" s="52"/>
    </row>
    <row r="229" spans="23:23" x14ac:dyDescent="0.2">
      <c r="W229" s="52"/>
    </row>
    <row r="230" spans="23:23" x14ac:dyDescent="0.2">
      <c r="W230" s="52"/>
    </row>
    <row r="231" spans="23:23" x14ac:dyDescent="0.2">
      <c r="W231" s="52"/>
    </row>
    <row r="232" spans="23:23" x14ac:dyDescent="0.2">
      <c r="W232" s="52"/>
    </row>
    <row r="233" spans="23:23" x14ac:dyDescent="0.2">
      <c r="W233" s="52"/>
    </row>
    <row r="234" spans="23:23" x14ac:dyDescent="0.2">
      <c r="W234" s="52"/>
    </row>
    <row r="235" spans="23:23" x14ac:dyDescent="0.2">
      <c r="W235" s="52"/>
    </row>
    <row r="236" spans="23:23" x14ac:dyDescent="0.2">
      <c r="W236" s="52"/>
    </row>
    <row r="237" spans="23:23" x14ac:dyDescent="0.2">
      <c r="W237" s="52"/>
    </row>
    <row r="238" spans="23:23" x14ac:dyDescent="0.2">
      <c r="W238" s="52"/>
    </row>
    <row r="239" spans="23:23" x14ac:dyDescent="0.2">
      <c r="W239" s="52"/>
    </row>
    <row r="240" spans="23:23" x14ac:dyDescent="0.2">
      <c r="W240" s="52"/>
    </row>
    <row r="241" spans="23:23" x14ac:dyDescent="0.2">
      <c r="W241" s="52"/>
    </row>
    <row r="242" spans="23:23" x14ac:dyDescent="0.2">
      <c r="W242" s="52"/>
    </row>
    <row r="243" spans="23:23" x14ac:dyDescent="0.2">
      <c r="W243" s="52"/>
    </row>
    <row r="244" spans="23:23" x14ac:dyDescent="0.2">
      <c r="W244" s="52"/>
    </row>
    <row r="245" spans="23:23" x14ac:dyDescent="0.2">
      <c r="W245" s="52"/>
    </row>
    <row r="246" spans="23:23" x14ac:dyDescent="0.2">
      <c r="W246" s="52"/>
    </row>
    <row r="247" spans="23:23" x14ac:dyDescent="0.2">
      <c r="W247" s="52"/>
    </row>
    <row r="248" spans="23:23" x14ac:dyDescent="0.2">
      <c r="W248" s="52"/>
    </row>
    <row r="249" spans="23:23" x14ac:dyDescent="0.2">
      <c r="W249" s="52"/>
    </row>
    <row r="250" spans="23:23" x14ac:dyDescent="0.2">
      <c r="W250" s="52"/>
    </row>
    <row r="251" spans="23:23" x14ac:dyDescent="0.2">
      <c r="W251" s="52"/>
    </row>
    <row r="252" spans="23:23" x14ac:dyDescent="0.2">
      <c r="W252" s="52"/>
    </row>
    <row r="253" spans="23:23" x14ac:dyDescent="0.2">
      <c r="W253" s="52"/>
    </row>
    <row r="254" spans="23:23" x14ac:dyDescent="0.2">
      <c r="W254" s="52"/>
    </row>
    <row r="255" spans="23:23" x14ac:dyDescent="0.2">
      <c r="W255" s="52"/>
    </row>
    <row r="256" spans="23:23" x14ac:dyDescent="0.2">
      <c r="W256" s="52"/>
    </row>
    <row r="257" spans="23:23" x14ac:dyDescent="0.2">
      <c r="W257" s="52"/>
    </row>
    <row r="258" spans="23:23" x14ac:dyDescent="0.2">
      <c r="W258" s="52"/>
    </row>
    <row r="259" spans="23:23" x14ac:dyDescent="0.2">
      <c r="W259" s="52"/>
    </row>
    <row r="260" spans="23:23" x14ac:dyDescent="0.2">
      <c r="W260" s="52"/>
    </row>
    <row r="261" spans="23:23" x14ac:dyDescent="0.2">
      <c r="W261" s="52"/>
    </row>
    <row r="262" spans="23:23" x14ac:dyDescent="0.2">
      <c r="W262" s="52"/>
    </row>
    <row r="263" spans="23:23" x14ac:dyDescent="0.2">
      <c r="W263" s="52"/>
    </row>
    <row r="264" spans="23:23" x14ac:dyDescent="0.2">
      <c r="W264" s="52"/>
    </row>
    <row r="265" spans="23:23" x14ac:dyDescent="0.2">
      <c r="W265" s="52"/>
    </row>
    <row r="266" spans="23:23" x14ac:dyDescent="0.2">
      <c r="W266" s="52"/>
    </row>
    <row r="267" spans="23:23" x14ac:dyDescent="0.2">
      <c r="W267" s="52"/>
    </row>
    <row r="268" spans="23:23" x14ac:dyDescent="0.2">
      <c r="W268" s="52"/>
    </row>
    <row r="269" spans="23:23" x14ac:dyDescent="0.2">
      <c r="W269" s="52"/>
    </row>
    <row r="270" spans="23:23" x14ac:dyDescent="0.2">
      <c r="W270" s="52"/>
    </row>
  </sheetData>
  <mergeCells count="8">
    <mergeCell ref="Z10:AR10"/>
    <mergeCell ref="Z11:AR11"/>
    <mergeCell ref="A1:S1"/>
    <mergeCell ref="A2:S2"/>
    <mergeCell ref="A3:S3"/>
    <mergeCell ref="A4:S4"/>
    <mergeCell ref="Z8:AR8"/>
    <mergeCell ref="Z9:AR9"/>
  </mergeCells>
  <phoneticPr fontId="1" type="noConversion"/>
  <printOptions horizontalCentered="1"/>
  <pageMargins left="0" right="0" top="0" bottom="0.25" header="0" footer="0"/>
  <pageSetup scale="48" orientation="landscape" cellComments="asDisplayed" r:id="rId1"/>
  <headerFooter alignWithMargins="0">
    <oddFooter>&amp;R&amp;D &amp;T</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2:J80"/>
  <sheetViews>
    <sheetView topLeftCell="A2" workbookViewId="0">
      <selection activeCell="B24" sqref="B24"/>
    </sheetView>
  </sheetViews>
  <sheetFormatPr defaultRowHeight="10.199999999999999" x14ac:dyDescent="0.2"/>
  <cols>
    <col min="2" max="2" width="13.140625" style="40" bestFit="1" customWidth="1"/>
    <col min="3" max="3" width="15" style="40" customWidth="1"/>
    <col min="4" max="4" width="13.7109375" style="40" bestFit="1" customWidth="1"/>
    <col min="5" max="5" width="14.28515625" style="40" customWidth="1"/>
    <col min="6" max="6" width="14.7109375" style="42" bestFit="1" customWidth="1"/>
    <col min="7" max="7" width="11.140625" style="40" bestFit="1" customWidth="1"/>
    <col min="8" max="8" width="11.42578125" style="40" bestFit="1" customWidth="1"/>
    <col min="10" max="10" width="11.7109375" style="40" bestFit="1" customWidth="1"/>
  </cols>
  <sheetData>
    <row r="2" spans="1:8" x14ac:dyDescent="0.2">
      <c r="A2" t="s">
        <v>43</v>
      </c>
      <c r="B2" s="55" t="s">
        <v>32</v>
      </c>
      <c r="C2" s="55" t="s">
        <v>33</v>
      </c>
      <c r="E2" s="63"/>
      <c r="F2" s="50">
        <v>5.3520000000000003</v>
      </c>
      <c r="G2" s="50"/>
      <c r="H2" s="42"/>
    </row>
    <row r="3" spans="1:8" x14ac:dyDescent="0.2">
      <c r="B3" s="40">
        <v>-68522</v>
      </c>
      <c r="C3" s="40">
        <v>-576397</v>
      </c>
      <c r="D3" s="40">
        <f>-B3*F2</f>
        <v>366729.74400000001</v>
      </c>
      <c r="E3" s="44">
        <f>+C3+D3</f>
        <v>-209667.25599999999</v>
      </c>
      <c r="G3" s="62"/>
      <c r="H3" s="50"/>
    </row>
    <row r="4" spans="1:8" x14ac:dyDescent="0.2">
      <c r="B4" s="44"/>
      <c r="C4" s="44"/>
      <c r="D4" s="44">
        <f>-B4*$F$2</f>
        <v>0</v>
      </c>
      <c r="E4" s="44">
        <f>+C4+D4</f>
        <v>0</v>
      </c>
      <c r="F4" s="44"/>
    </row>
    <row r="5" spans="1:8" x14ac:dyDescent="0.2">
      <c r="B5" s="44"/>
      <c r="C5" s="44"/>
      <c r="D5" s="44">
        <f>-B5*$F$2</f>
        <v>0</v>
      </c>
      <c r="E5" s="44">
        <f>+C5+D5</f>
        <v>0</v>
      </c>
      <c r="F5" s="44"/>
    </row>
    <row r="6" spans="1:8" x14ac:dyDescent="0.2">
      <c r="B6" s="44"/>
      <c r="C6" s="44"/>
      <c r="D6" s="44">
        <f t="shared" ref="D6:D77" si="0">-B6*$F$2</f>
        <v>0</v>
      </c>
      <c r="E6" s="44">
        <f t="shared" ref="E6:E77" si="1">+C6+D6</f>
        <v>0</v>
      </c>
      <c r="F6" s="44"/>
    </row>
    <row r="7" spans="1:8" x14ac:dyDescent="0.2">
      <c r="B7" s="44"/>
      <c r="C7" s="44"/>
      <c r="D7" s="44">
        <f>-B7*$F$2</f>
        <v>0</v>
      </c>
      <c r="E7" s="44">
        <f t="shared" si="1"/>
        <v>0</v>
      </c>
      <c r="F7" s="44"/>
    </row>
    <row r="8" spans="1:8" x14ac:dyDescent="0.2">
      <c r="B8" s="44"/>
      <c r="C8" s="44"/>
      <c r="D8" s="44">
        <f>-B8*$F$2</f>
        <v>0</v>
      </c>
      <c r="E8" s="44">
        <f t="shared" si="1"/>
        <v>0</v>
      </c>
      <c r="F8" s="64"/>
    </row>
    <row r="9" spans="1:8" x14ac:dyDescent="0.2">
      <c r="D9" s="40">
        <f t="shared" si="0"/>
        <v>0</v>
      </c>
      <c r="E9" s="44">
        <f t="shared" si="1"/>
        <v>0</v>
      </c>
      <c r="F9" s="44"/>
    </row>
    <row r="10" spans="1:8" x14ac:dyDescent="0.2">
      <c r="D10" s="40">
        <f t="shared" si="0"/>
        <v>0</v>
      </c>
      <c r="E10" s="44">
        <f t="shared" si="1"/>
        <v>0</v>
      </c>
      <c r="F10" s="44"/>
    </row>
    <row r="11" spans="1:8" x14ac:dyDescent="0.2">
      <c r="D11" s="40">
        <f t="shared" si="0"/>
        <v>0</v>
      </c>
      <c r="E11" s="44">
        <f t="shared" si="1"/>
        <v>0</v>
      </c>
      <c r="F11" s="44"/>
    </row>
    <row r="12" spans="1:8" x14ac:dyDescent="0.2">
      <c r="D12" s="40">
        <f t="shared" si="0"/>
        <v>0</v>
      </c>
      <c r="E12" s="44">
        <f t="shared" si="1"/>
        <v>0</v>
      </c>
      <c r="F12" s="40"/>
    </row>
    <row r="13" spans="1:8" x14ac:dyDescent="0.2">
      <c r="D13" s="40">
        <f t="shared" si="0"/>
        <v>0</v>
      </c>
      <c r="E13" s="44">
        <f t="shared" si="1"/>
        <v>0</v>
      </c>
      <c r="F13" s="40"/>
    </row>
    <row r="14" spans="1:8" x14ac:dyDescent="0.2">
      <c r="D14" s="40">
        <f>-B14*$F$2</f>
        <v>0</v>
      </c>
      <c r="E14" s="44">
        <f t="shared" si="1"/>
        <v>0</v>
      </c>
      <c r="F14" s="40"/>
      <c r="G14" s="50"/>
    </row>
    <row r="15" spans="1:8" x14ac:dyDescent="0.2">
      <c r="D15" s="40">
        <f t="shared" si="0"/>
        <v>0</v>
      </c>
      <c r="E15" s="44">
        <f t="shared" si="1"/>
        <v>0</v>
      </c>
      <c r="F15" s="40"/>
      <c r="G15" s="50"/>
    </row>
    <row r="16" spans="1:8" x14ac:dyDescent="0.2">
      <c r="B16" s="40">
        <v>-68522</v>
      </c>
      <c r="C16" s="40">
        <v>-335108</v>
      </c>
      <c r="D16" s="40">
        <f t="shared" si="0"/>
        <v>366729.74400000001</v>
      </c>
      <c r="E16" s="44">
        <f t="shared" si="1"/>
        <v>31621.744000000006</v>
      </c>
      <c r="F16" s="40"/>
    </row>
    <row r="17" spans="2:6" x14ac:dyDescent="0.2">
      <c r="C17" s="40">
        <v>22500</v>
      </c>
      <c r="D17" s="40">
        <f t="shared" si="0"/>
        <v>0</v>
      </c>
      <c r="E17" s="44">
        <f t="shared" si="1"/>
        <v>22500</v>
      </c>
      <c r="F17" s="40"/>
    </row>
    <row r="18" spans="2:6" x14ac:dyDescent="0.2">
      <c r="C18" s="40">
        <v>-12920</v>
      </c>
      <c r="D18" s="40">
        <f t="shared" si="0"/>
        <v>0</v>
      </c>
      <c r="E18" s="44">
        <f t="shared" si="1"/>
        <v>-12920</v>
      </c>
      <c r="F18" s="40"/>
    </row>
    <row r="19" spans="2:6" x14ac:dyDescent="0.2">
      <c r="C19" s="40">
        <v>48347</v>
      </c>
      <c r="D19" s="40">
        <f t="shared" si="0"/>
        <v>0</v>
      </c>
      <c r="E19" s="44">
        <f t="shared" si="1"/>
        <v>48347</v>
      </c>
      <c r="F19" s="40"/>
    </row>
    <row r="20" spans="2:6" x14ac:dyDescent="0.2">
      <c r="D20" s="40">
        <f t="shared" si="0"/>
        <v>0</v>
      </c>
      <c r="E20" s="44">
        <f t="shared" si="1"/>
        <v>0</v>
      </c>
      <c r="F20" s="40"/>
    </row>
    <row r="21" spans="2:6" x14ac:dyDescent="0.2">
      <c r="D21" s="40">
        <f t="shared" si="0"/>
        <v>0</v>
      </c>
      <c r="E21" s="44">
        <f t="shared" si="1"/>
        <v>0</v>
      </c>
      <c r="F21" s="40"/>
    </row>
    <row r="22" spans="2:6" x14ac:dyDescent="0.2">
      <c r="D22" s="40">
        <f t="shared" si="0"/>
        <v>0</v>
      </c>
      <c r="E22" s="44">
        <f t="shared" si="1"/>
        <v>0</v>
      </c>
      <c r="F22" s="40"/>
    </row>
    <row r="23" spans="2:6" x14ac:dyDescent="0.2">
      <c r="D23" s="40">
        <f>-B23*$F$2</f>
        <v>0</v>
      </c>
      <c r="E23" s="44">
        <f>+C23+D23</f>
        <v>0</v>
      </c>
      <c r="F23" s="40"/>
    </row>
    <row r="24" spans="2:6" x14ac:dyDescent="0.2">
      <c r="B24" s="40">
        <v>56682</v>
      </c>
      <c r="C24" s="40">
        <v>321213</v>
      </c>
      <c r="D24" s="40">
        <f t="shared" si="0"/>
        <v>-303362.06400000001</v>
      </c>
      <c r="E24" s="44">
        <f>SUM(E3:E23)</f>
        <v>-120118.51199999999</v>
      </c>
      <c r="F24" s="40"/>
    </row>
    <row r="25" spans="2:6" x14ac:dyDescent="0.2">
      <c r="D25" s="40">
        <f t="shared" si="0"/>
        <v>0</v>
      </c>
      <c r="E25" s="44">
        <f t="shared" si="1"/>
        <v>0</v>
      </c>
      <c r="F25" s="40"/>
    </row>
    <row r="26" spans="2:6" x14ac:dyDescent="0.2">
      <c r="D26" s="40">
        <f t="shared" si="0"/>
        <v>0</v>
      </c>
      <c r="E26" s="44">
        <f t="shared" si="1"/>
        <v>0</v>
      </c>
      <c r="F26" s="40"/>
    </row>
    <row r="27" spans="2:6" x14ac:dyDescent="0.2">
      <c r="D27" s="40">
        <f t="shared" si="0"/>
        <v>0</v>
      </c>
      <c r="E27" s="44">
        <f t="shared" si="1"/>
        <v>0</v>
      </c>
      <c r="F27" s="40"/>
    </row>
    <row r="28" spans="2:6" x14ac:dyDescent="0.2">
      <c r="D28" s="40">
        <f t="shared" si="0"/>
        <v>0</v>
      </c>
      <c r="E28" s="44">
        <f t="shared" si="1"/>
        <v>0</v>
      </c>
      <c r="F28" s="40"/>
    </row>
    <row r="29" spans="2:6" x14ac:dyDescent="0.2">
      <c r="D29" s="40">
        <f t="shared" si="0"/>
        <v>0</v>
      </c>
      <c r="E29" s="44">
        <f t="shared" si="1"/>
        <v>0</v>
      </c>
      <c r="F29" s="40"/>
    </row>
    <row r="30" spans="2:6" x14ac:dyDescent="0.2">
      <c r="D30" s="40">
        <f t="shared" si="0"/>
        <v>0</v>
      </c>
      <c r="E30" s="44">
        <f t="shared" si="1"/>
        <v>0</v>
      </c>
      <c r="F30" s="40"/>
    </row>
    <row r="31" spans="2:6" x14ac:dyDescent="0.2">
      <c r="D31" s="40">
        <f t="shared" si="0"/>
        <v>0</v>
      </c>
      <c r="E31" s="44">
        <f t="shared" si="1"/>
        <v>0</v>
      </c>
      <c r="F31" s="40"/>
    </row>
    <row r="32" spans="2:6" x14ac:dyDescent="0.2">
      <c r="D32" s="40">
        <f t="shared" si="0"/>
        <v>0</v>
      </c>
      <c r="E32" s="44">
        <f t="shared" si="1"/>
        <v>0</v>
      </c>
      <c r="F32" s="40"/>
    </row>
    <row r="33" spans="4:6" x14ac:dyDescent="0.2">
      <c r="D33" s="40">
        <f t="shared" si="0"/>
        <v>0</v>
      </c>
      <c r="E33" s="44">
        <f t="shared" si="1"/>
        <v>0</v>
      </c>
      <c r="F33" s="40"/>
    </row>
    <row r="34" spans="4:6" x14ac:dyDescent="0.2">
      <c r="D34" s="40">
        <f t="shared" si="0"/>
        <v>0</v>
      </c>
      <c r="E34" s="44">
        <f t="shared" si="1"/>
        <v>0</v>
      </c>
      <c r="F34" s="40"/>
    </row>
    <row r="35" spans="4:6" x14ac:dyDescent="0.2">
      <c r="D35" s="40">
        <f t="shared" si="0"/>
        <v>0</v>
      </c>
      <c r="E35" s="44">
        <f t="shared" si="1"/>
        <v>0</v>
      </c>
      <c r="F35" s="40"/>
    </row>
    <row r="36" spans="4:6" x14ac:dyDescent="0.2">
      <c r="D36" s="40">
        <f t="shared" si="0"/>
        <v>0</v>
      </c>
      <c r="E36" s="44">
        <f t="shared" si="1"/>
        <v>0</v>
      </c>
      <c r="F36" s="40"/>
    </row>
    <row r="37" spans="4:6" x14ac:dyDescent="0.2">
      <c r="D37" s="40">
        <f t="shared" si="0"/>
        <v>0</v>
      </c>
      <c r="E37" s="44">
        <f t="shared" si="1"/>
        <v>0</v>
      </c>
      <c r="F37" s="40"/>
    </row>
    <row r="38" spans="4:6" x14ac:dyDescent="0.2">
      <c r="D38" s="40">
        <f t="shared" si="0"/>
        <v>0</v>
      </c>
      <c r="E38" s="44">
        <f t="shared" si="1"/>
        <v>0</v>
      </c>
      <c r="F38" s="40"/>
    </row>
    <row r="39" spans="4:6" x14ac:dyDescent="0.2">
      <c r="D39" s="40">
        <f t="shared" si="0"/>
        <v>0</v>
      </c>
      <c r="E39" s="44">
        <f t="shared" si="1"/>
        <v>0</v>
      </c>
      <c r="F39" s="40"/>
    </row>
    <row r="40" spans="4:6" x14ac:dyDescent="0.2">
      <c r="D40" s="40">
        <f t="shared" si="0"/>
        <v>0</v>
      </c>
      <c r="E40" s="44">
        <f t="shared" si="1"/>
        <v>0</v>
      </c>
      <c r="F40" s="40"/>
    </row>
    <row r="41" spans="4:6" x14ac:dyDescent="0.2">
      <c r="D41" s="40">
        <f t="shared" si="0"/>
        <v>0</v>
      </c>
      <c r="E41" s="44">
        <f t="shared" si="1"/>
        <v>0</v>
      </c>
      <c r="F41" s="40"/>
    </row>
    <row r="42" spans="4:6" x14ac:dyDescent="0.2">
      <c r="D42" s="40">
        <f t="shared" si="0"/>
        <v>0</v>
      </c>
      <c r="E42" s="44">
        <f t="shared" si="1"/>
        <v>0</v>
      </c>
      <c r="F42" s="40"/>
    </row>
    <row r="43" spans="4:6" x14ac:dyDescent="0.2">
      <c r="D43" s="40">
        <f t="shared" si="0"/>
        <v>0</v>
      </c>
      <c r="E43" s="44">
        <f t="shared" si="1"/>
        <v>0</v>
      </c>
      <c r="F43" s="40"/>
    </row>
    <row r="44" spans="4:6" x14ac:dyDescent="0.2">
      <c r="D44" s="40">
        <f t="shared" si="0"/>
        <v>0</v>
      </c>
      <c r="E44" s="44">
        <f t="shared" si="1"/>
        <v>0</v>
      </c>
      <c r="F44" s="40"/>
    </row>
    <row r="45" spans="4:6" x14ac:dyDescent="0.2">
      <c r="D45" s="40">
        <f t="shared" si="0"/>
        <v>0</v>
      </c>
      <c r="E45" s="44">
        <f t="shared" si="1"/>
        <v>0</v>
      </c>
      <c r="F45" s="40"/>
    </row>
    <row r="46" spans="4:6" x14ac:dyDescent="0.2">
      <c r="D46" s="40">
        <f t="shared" si="0"/>
        <v>0</v>
      </c>
      <c r="E46" s="44">
        <f t="shared" si="1"/>
        <v>0</v>
      </c>
      <c r="F46" s="40"/>
    </row>
    <row r="47" spans="4:6" x14ac:dyDescent="0.2">
      <c r="D47" s="40">
        <f t="shared" si="0"/>
        <v>0</v>
      </c>
      <c r="E47" s="44">
        <f t="shared" si="1"/>
        <v>0</v>
      </c>
      <c r="F47" s="40"/>
    </row>
    <row r="48" spans="4:6" x14ac:dyDescent="0.2">
      <c r="D48" s="40">
        <f t="shared" si="0"/>
        <v>0</v>
      </c>
      <c r="E48" s="44">
        <f t="shared" si="1"/>
        <v>0</v>
      </c>
      <c r="F48" s="40"/>
    </row>
    <row r="49" spans="4:6" x14ac:dyDescent="0.2">
      <c r="D49" s="40">
        <f t="shared" si="0"/>
        <v>0</v>
      </c>
      <c r="E49" s="44">
        <f t="shared" si="1"/>
        <v>0</v>
      </c>
      <c r="F49" s="40"/>
    </row>
    <row r="50" spans="4:6" x14ac:dyDescent="0.2">
      <c r="D50" s="40">
        <f t="shared" si="0"/>
        <v>0</v>
      </c>
      <c r="E50" s="44">
        <f t="shared" si="1"/>
        <v>0</v>
      </c>
      <c r="F50" s="40"/>
    </row>
    <row r="51" spans="4:6" x14ac:dyDescent="0.2">
      <c r="D51" s="40">
        <f t="shared" ref="D51:D64" si="2">-B51*$F$2</f>
        <v>0</v>
      </c>
      <c r="E51" s="44">
        <f t="shared" ref="E51:E64" si="3">+C51+D51</f>
        <v>0</v>
      </c>
      <c r="F51" s="40"/>
    </row>
    <row r="52" spans="4:6" x14ac:dyDescent="0.2">
      <c r="D52" s="40">
        <f t="shared" si="2"/>
        <v>0</v>
      </c>
      <c r="E52" s="44">
        <f t="shared" si="3"/>
        <v>0</v>
      </c>
      <c r="F52" s="40"/>
    </row>
    <row r="53" spans="4:6" x14ac:dyDescent="0.2">
      <c r="D53" s="40">
        <f t="shared" si="2"/>
        <v>0</v>
      </c>
      <c r="E53" s="44">
        <f t="shared" si="3"/>
        <v>0</v>
      </c>
      <c r="F53" s="40"/>
    </row>
    <row r="54" spans="4:6" x14ac:dyDescent="0.2">
      <c r="D54" s="40">
        <f t="shared" si="2"/>
        <v>0</v>
      </c>
      <c r="E54" s="44">
        <f t="shared" si="3"/>
        <v>0</v>
      </c>
      <c r="F54" s="40"/>
    </row>
    <row r="55" spans="4:6" x14ac:dyDescent="0.2">
      <c r="D55" s="40">
        <f t="shared" si="2"/>
        <v>0</v>
      </c>
      <c r="E55" s="44">
        <f t="shared" si="3"/>
        <v>0</v>
      </c>
      <c r="F55" s="40"/>
    </row>
    <row r="56" spans="4:6" x14ac:dyDescent="0.2">
      <c r="D56" s="40">
        <f t="shared" si="2"/>
        <v>0</v>
      </c>
      <c r="E56" s="44">
        <f t="shared" si="3"/>
        <v>0</v>
      </c>
      <c r="F56" s="40"/>
    </row>
    <row r="57" spans="4:6" x14ac:dyDescent="0.2">
      <c r="D57" s="40">
        <f t="shared" si="2"/>
        <v>0</v>
      </c>
      <c r="E57" s="44">
        <f t="shared" si="3"/>
        <v>0</v>
      </c>
      <c r="F57" s="40"/>
    </row>
    <row r="58" spans="4:6" x14ac:dyDescent="0.2">
      <c r="D58" s="40">
        <f t="shared" si="2"/>
        <v>0</v>
      </c>
      <c r="E58" s="44">
        <f t="shared" si="3"/>
        <v>0</v>
      </c>
      <c r="F58" s="40"/>
    </row>
    <row r="59" spans="4:6" x14ac:dyDescent="0.2">
      <c r="D59" s="40">
        <f t="shared" si="2"/>
        <v>0</v>
      </c>
      <c r="E59" s="44">
        <f t="shared" si="3"/>
        <v>0</v>
      </c>
      <c r="F59" s="40"/>
    </row>
    <row r="60" spans="4:6" x14ac:dyDescent="0.2">
      <c r="D60" s="40">
        <f t="shared" si="2"/>
        <v>0</v>
      </c>
      <c r="E60" s="44">
        <f t="shared" si="3"/>
        <v>0</v>
      </c>
      <c r="F60" s="40"/>
    </row>
    <row r="61" spans="4:6" x14ac:dyDescent="0.2">
      <c r="D61" s="40">
        <f>-B61*$F$2</f>
        <v>0</v>
      </c>
      <c r="E61" s="44">
        <f>+C61+D61</f>
        <v>0</v>
      </c>
      <c r="F61" s="40"/>
    </row>
    <row r="62" spans="4:6" x14ac:dyDescent="0.2">
      <c r="D62" s="40">
        <f t="shared" si="2"/>
        <v>0</v>
      </c>
      <c r="E62" s="44">
        <f t="shared" si="3"/>
        <v>0</v>
      </c>
      <c r="F62" s="40"/>
    </row>
    <row r="63" spans="4:6" x14ac:dyDescent="0.2">
      <c r="D63" s="40">
        <f t="shared" si="2"/>
        <v>0</v>
      </c>
      <c r="E63" s="44">
        <f t="shared" si="3"/>
        <v>0</v>
      </c>
      <c r="F63" s="40"/>
    </row>
    <row r="64" spans="4:6" x14ac:dyDescent="0.2">
      <c r="D64" s="40">
        <f t="shared" si="2"/>
        <v>0</v>
      </c>
      <c r="E64" s="44">
        <f t="shared" si="3"/>
        <v>0</v>
      </c>
      <c r="F64" s="40"/>
    </row>
    <row r="65" spans="4:6" x14ac:dyDescent="0.2">
      <c r="D65" s="40">
        <f t="shared" ref="D65:D74" si="4">-B65*$F$2</f>
        <v>0</v>
      </c>
      <c r="E65" s="44">
        <f t="shared" ref="E65:E74" si="5">+C65+D65</f>
        <v>0</v>
      </c>
      <c r="F65" s="40"/>
    </row>
    <row r="66" spans="4:6" x14ac:dyDescent="0.2">
      <c r="D66" s="40">
        <f t="shared" si="4"/>
        <v>0</v>
      </c>
      <c r="E66" s="44">
        <f t="shared" si="5"/>
        <v>0</v>
      </c>
      <c r="F66" s="40"/>
    </row>
    <row r="67" spans="4:6" x14ac:dyDescent="0.2">
      <c r="D67" s="40">
        <f t="shared" si="4"/>
        <v>0</v>
      </c>
      <c r="E67" s="44">
        <f t="shared" si="5"/>
        <v>0</v>
      </c>
      <c r="F67" s="40"/>
    </row>
    <row r="68" spans="4:6" x14ac:dyDescent="0.2">
      <c r="D68" s="40">
        <f t="shared" si="4"/>
        <v>0</v>
      </c>
      <c r="E68" s="44">
        <f t="shared" si="5"/>
        <v>0</v>
      </c>
      <c r="F68" s="40"/>
    </row>
    <row r="69" spans="4:6" x14ac:dyDescent="0.2">
      <c r="D69" s="40">
        <f t="shared" si="4"/>
        <v>0</v>
      </c>
      <c r="E69" s="44">
        <f t="shared" si="5"/>
        <v>0</v>
      </c>
      <c r="F69" s="40"/>
    </row>
    <row r="70" spans="4:6" x14ac:dyDescent="0.2">
      <c r="D70" s="40">
        <f t="shared" si="4"/>
        <v>0</v>
      </c>
      <c r="E70" s="44">
        <f t="shared" si="5"/>
        <v>0</v>
      </c>
      <c r="F70" s="40"/>
    </row>
    <row r="71" spans="4:6" x14ac:dyDescent="0.2">
      <c r="D71" s="40">
        <f t="shared" si="4"/>
        <v>0</v>
      </c>
      <c r="E71" s="44">
        <f t="shared" si="5"/>
        <v>0</v>
      </c>
      <c r="F71" s="40"/>
    </row>
    <row r="72" spans="4:6" x14ac:dyDescent="0.2">
      <c r="D72" s="40">
        <f t="shared" si="4"/>
        <v>0</v>
      </c>
      <c r="E72" s="44">
        <f t="shared" si="5"/>
        <v>0</v>
      </c>
      <c r="F72" s="40"/>
    </row>
    <row r="73" spans="4:6" x14ac:dyDescent="0.2">
      <c r="D73" s="40">
        <f t="shared" si="4"/>
        <v>0</v>
      </c>
      <c r="E73" s="44">
        <f t="shared" si="5"/>
        <v>0</v>
      </c>
      <c r="F73" s="40"/>
    </row>
    <row r="74" spans="4:6" x14ac:dyDescent="0.2">
      <c r="D74" s="40">
        <f t="shared" si="4"/>
        <v>0</v>
      </c>
      <c r="E74" s="44">
        <f t="shared" si="5"/>
        <v>0</v>
      </c>
      <c r="F74" s="40"/>
    </row>
    <row r="75" spans="4:6" x14ac:dyDescent="0.2">
      <c r="D75" s="40">
        <f t="shared" si="0"/>
        <v>0</v>
      </c>
      <c r="E75" s="44">
        <f t="shared" si="1"/>
        <v>0</v>
      </c>
      <c r="F75" s="40"/>
    </row>
    <row r="76" spans="4:6" x14ac:dyDescent="0.2">
      <c r="D76" s="40">
        <f t="shared" si="0"/>
        <v>0</v>
      </c>
      <c r="E76" s="44">
        <f t="shared" si="1"/>
        <v>0</v>
      </c>
      <c r="F76" s="40"/>
    </row>
    <row r="77" spans="4:6" x14ac:dyDescent="0.2">
      <c r="D77" s="40">
        <f t="shared" si="0"/>
        <v>0</v>
      </c>
      <c r="E77" s="44">
        <f t="shared" si="1"/>
        <v>0</v>
      </c>
      <c r="F77" s="40"/>
    </row>
    <row r="78" spans="4:6" x14ac:dyDescent="0.2">
      <c r="D78" s="40">
        <f>-B78*$F$2</f>
        <v>0</v>
      </c>
      <c r="E78" s="44">
        <f>+C78+D78</f>
        <v>0</v>
      </c>
      <c r="F78" s="40"/>
    </row>
    <row r="79" spans="4:6" x14ac:dyDescent="0.2">
      <c r="D79" s="40">
        <f>-B79*$F$2</f>
        <v>0</v>
      </c>
      <c r="E79" s="44">
        <f>+C79+D79</f>
        <v>0</v>
      </c>
      <c r="F79" s="40"/>
    </row>
    <row r="80" spans="4:6" x14ac:dyDescent="0.2">
      <c r="E80" s="14">
        <f>SUM(E3:E79)</f>
        <v>-240237.02399999998</v>
      </c>
      <c r="F80" s="40" t="s">
        <v>44</v>
      </c>
    </row>
  </sheetData>
  <phoneticPr fontId="1" type="noConversion"/>
  <pageMargins left="0.75" right="0.75" top="1" bottom="1" header="0.5" footer="0.5"/>
  <pageSetup paperSize="5"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Central  Combine Quarters</vt:lpstr>
      <vt:lpstr>Central </vt:lpstr>
      <vt:lpstr>UA4</vt:lpstr>
      <vt:lpstr>'Central '!Print_Area</vt:lpstr>
      <vt:lpstr>'Central  Combine Quarters'!Print_Area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msanch2</dc:creator>
  <cp:lastModifiedBy>Havlíček Jan</cp:lastModifiedBy>
  <cp:lastPrinted>2001-04-30T15:51:43Z</cp:lastPrinted>
  <dcterms:created xsi:type="dcterms:W3CDTF">1999-07-28T22:34:37Z</dcterms:created>
  <dcterms:modified xsi:type="dcterms:W3CDTF">2023-09-10T12:19:26Z</dcterms:modified>
</cp:coreProperties>
</file>