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748" yWindow="-12" windowWidth="5712" windowHeight="3300" tabRatio="858"/>
  </bookViews>
  <sheets>
    <sheet name="qtrly forecast" sheetId="20" r:id="rId1"/>
    <sheet name="Income 2001 A" sheetId="17" r:id="rId2"/>
    <sheet name="Six Month Forecast 10.01-3.02" sheetId="21" r:id="rId3"/>
    <sheet name="Assumptions" sheetId="22" r:id="rId4"/>
    <sheet name="Income2000" sheetId="8" r:id="rId5"/>
    <sheet name="IncomeSum2000-MFR" sheetId="10" r:id="rId6"/>
  </sheets>
  <externalReferences>
    <externalReference r:id="rId7"/>
  </externalReferences>
  <definedNames>
    <definedName name="C_">#REF!</definedName>
    <definedName name="COST">#REF!</definedName>
    <definedName name="EOTT">#REF!</definedName>
    <definedName name="EPM">#REF!</definedName>
    <definedName name="OPEREXP">#REF!</definedName>
    <definedName name="_xlnm.Print_Area" localSheetId="3">Assumptions!$A$1:$E$26</definedName>
    <definedName name="_xlnm.Print_Area" localSheetId="1">'Income 2001 A'!$A$1:$AP$46</definedName>
    <definedName name="_xlnm.Print_Area" localSheetId="4">Income2000!$B$1:$AL$48</definedName>
    <definedName name="_xlnm.Print_Area" localSheetId="5">'IncomeSum2000-MFR'!$B$1:$AL$48</definedName>
    <definedName name="_xlnm.Print_Area" localSheetId="0">'qtrly forecast'!$A$1:$O$41</definedName>
    <definedName name="_xlnm.Print_Area" localSheetId="2">'Six Month Forecast 10.01-3.02'!$A$1:$AF$44</definedName>
    <definedName name="Print_Titles_MI">#REF!</definedName>
  </definedNames>
  <calcPr calcId="0"/>
</workbook>
</file>

<file path=xl/calcChain.xml><?xml version="1.0" encoding="utf-8"?>
<calcChain xmlns="http://schemas.openxmlformats.org/spreadsheetml/2006/main">
  <c r="E8" i="22" l="1"/>
  <c r="C12" i="22"/>
  <c r="E12" i="22"/>
  <c r="C15" i="22"/>
  <c r="E15" i="22"/>
  <c r="C16" i="22"/>
  <c r="E16" i="22"/>
  <c r="E18" i="22"/>
  <c r="E20" i="22"/>
  <c r="E22" i="22"/>
  <c r="C25" i="22"/>
  <c r="D25" i="22"/>
  <c r="E25" i="22"/>
  <c r="L9" i="17"/>
  <c r="T9" i="17"/>
  <c r="AB9" i="17"/>
  <c r="AD9" i="17"/>
  <c r="AL9" i="17"/>
  <c r="AN9" i="17"/>
  <c r="AP9" i="17"/>
  <c r="L10" i="17"/>
  <c r="T10" i="17"/>
  <c r="AB10" i="17"/>
  <c r="AD10" i="17"/>
  <c r="AH10" i="17"/>
  <c r="AL10" i="17"/>
  <c r="AN10" i="17"/>
  <c r="AP10" i="17"/>
  <c r="L11" i="17"/>
  <c r="T11" i="17"/>
  <c r="AB11" i="17"/>
  <c r="AD11" i="17"/>
  <c r="AH11" i="17"/>
  <c r="AJ11" i="17"/>
  <c r="AL11" i="17"/>
  <c r="AN11" i="17"/>
  <c r="AP11" i="17"/>
  <c r="L12" i="17"/>
  <c r="T12" i="17"/>
  <c r="AB12" i="17"/>
  <c r="AD12" i="17"/>
  <c r="AJ12" i="17"/>
  <c r="AL12" i="17"/>
  <c r="AN12" i="17"/>
  <c r="L13" i="17"/>
  <c r="T13" i="17"/>
  <c r="AB13" i="17"/>
  <c r="AD13" i="17"/>
  <c r="AJ13" i="17"/>
  <c r="AL13" i="17"/>
  <c r="AN13" i="17"/>
  <c r="F14" i="17"/>
  <c r="H14" i="17"/>
  <c r="J14" i="17"/>
  <c r="L14" i="17"/>
  <c r="N14" i="17"/>
  <c r="P14" i="17"/>
  <c r="R14" i="17"/>
  <c r="T14" i="17"/>
  <c r="V14" i="17"/>
  <c r="X14" i="17"/>
  <c r="Z14" i="17"/>
  <c r="AB14" i="17"/>
  <c r="AD14" i="17"/>
  <c r="AF14" i="17"/>
  <c r="AH14" i="17"/>
  <c r="AJ14" i="17"/>
  <c r="AL14" i="17"/>
  <c r="AN14" i="17"/>
  <c r="L15" i="17"/>
  <c r="T15" i="17"/>
  <c r="AB15" i="17"/>
  <c r="AD15" i="17"/>
  <c r="AL15" i="17"/>
  <c r="AN15" i="17"/>
  <c r="AP15" i="17"/>
  <c r="F16" i="17"/>
  <c r="H16" i="17"/>
  <c r="J16" i="17"/>
  <c r="L16" i="17"/>
  <c r="N16" i="17"/>
  <c r="P16" i="17"/>
  <c r="R16" i="17"/>
  <c r="T16" i="17"/>
  <c r="V16" i="17"/>
  <c r="X16" i="17"/>
  <c r="Z16" i="17"/>
  <c r="AB16" i="17"/>
  <c r="AD16" i="17"/>
  <c r="AF16" i="17"/>
  <c r="AH16" i="17"/>
  <c r="AJ16" i="17"/>
  <c r="AL16" i="17"/>
  <c r="AN16" i="17"/>
  <c r="AP16" i="17"/>
  <c r="L20" i="17"/>
  <c r="T20" i="17"/>
  <c r="AB20" i="17"/>
  <c r="AD20" i="17"/>
  <c r="AF20" i="17"/>
  <c r="AH20" i="17"/>
  <c r="AJ20" i="17"/>
  <c r="AL20" i="17"/>
  <c r="AN20" i="17"/>
  <c r="AP20" i="17"/>
  <c r="AB21" i="17"/>
  <c r="AD21" i="17"/>
  <c r="AL21" i="17"/>
  <c r="AN21" i="17"/>
  <c r="L22" i="17"/>
  <c r="T22" i="17"/>
  <c r="AB22" i="17"/>
  <c r="AD22" i="17"/>
  <c r="AL22" i="17"/>
  <c r="AN22" i="17"/>
  <c r="AP22" i="17"/>
  <c r="F23" i="17"/>
  <c r="H23" i="17"/>
  <c r="J23" i="17"/>
  <c r="L23" i="17"/>
  <c r="N23" i="17"/>
  <c r="P23" i="17"/>
  <c r="R23" i="17"/>
  <c r="T23" i="17"/>
  <c r="V23" i="17"/>
  <c r="X23" i="17"/>
  <c r="Z23" i="17"/>
  <c r="AB23" i="17"/>
  <c r="AD23" i="17"/>
  <c r="AF23" i="17"/>
  <c r="AH23" i="17"/>
  <c r="AJ23" i="17"/>
  <c r="AL23" i="17"/>
  <c r="AN23" i="17"/>
  <c r="AP23" i="17"/>
  <c r="F25" i="17"/>
  <c r="H25" i="17"/>
  <c r="J25" i="17"/>
  <c r="L25" i="17"/>
  <c r="N25" i="17"/>
  <c r="P25" i="17"/>
  <c r="R25" i="17"/>
  <c r="T25" i="17"/>
  <c r="V25" i="17"/>
  <c r="X25" i="17"/>
  <c r="Z25" i="17"/>
  <c r="AB25" i="17"/>
  <c r="AD25" i="17"/>
  <c r="AF25" i="17"/>
  <c r="AH25" i="17"/>
  <c r="AJ25" i="17"/>
  <c r="AL25" i="17"/>
  <c r="AN25" i="17"/>
  <c r="AP25" i="17"/>
  <c r="L28" i="17"/>
  <c r="T28" i="17"/>
  <c r="AB28" i="17"/>
  <c r="AD28" i="17"/>
  <c r="AH28" i="17"/>
  <c r="AJ28" i="17"/>
  <c r="AL28" i="17"/>
  <c r="AN28" i="17"/>
  <c r="AP28" i="17"/>
  <c r="L29" i="17"/>
  <c r="T29" i="17"/>
  <c r="AB29" i="17"/>
  <c r="AD29" i="17"/>
  <c r="AL29" i="17"/>
  <c r="AN29" i="17"/>
  <c r="AP29" i="17"/>
  <c r="F30" i="17"/>
  <c r="H30" i="17"/>
  <c r="J30" i="17"/>
  <c r="L30" i="17"/>
  <c r="N30" i="17"/>
  <c r="P30" i="17"/>
  <c r="R30" i="17"/>
  <c r="T30" i="17"/>
  <c r="V30" i="17"/>
  <c r="X30" i="17"/>
  <c r="Z30" i="17"/>
  <c r="AB30" i="17"/>
  <c r="AD30" i="17"/>
  <c r="AF30" i="17"/>
  <c r="AH30" i="17"/>
  <c r="AJ30" i="17"/>
  <c r="AL30" i="17"/>
  <c r="AN30" i="17"/>
  <c r="AP30" i="17"/>
  <c r="F33" i="17"/>
  <c r="H33" i="17"/>
  <c r="J33" i="17"/>
  <c r="L33" i="17"/>
  <c r="N33" i="17"/>
  <c r="P33" i="17"/>
  <c r="R33" i="17"/>
  <c r="T33" i="17"/>
  <c r="V33" i="17"/>
  <c r="X33" i="17"/>
  <c r="Z33" i="17"/>
  <c r="AB33" i="17"/>
  <c r="AD33" i="17"/>
  <c r="AF33" i="17"/>
  <c r="AH33" i="17"/>
  <c r="AJ33" i="17"/>
  <c r="AL33" i="17"/>
  <c r="AN33" i="17"/>
  <c r="AP33" i="17"/>
  <c r="AL36" i="17"/>
  <c r="AN36" i="17"/>
  <c r="F38" i="17"/>
  <c r="H38" i="17"/>
  <c r="J38" i="17"/>
  <c r="L38" i="17"/>
  <c r="N38" i="17"/>
  <c r="P38" i="17"/>
  <c r="R38" i="17"/>
  <c r="T38" i="17"/>
  <c r="V38" i="17"/>
  <c r="X38" i="17"/>
  <c r="Z38" i="17"/>
  <c r="AB38" i="17"/>
  <c r="AD38" i="17"/>
  <c r="AF38" i="17"/>
  <c r="AH38" i="17"/>
  <c r="AJ38" i="17"/>
  <c r="AL38" i="17"/>
  <c r="AN38" i="17"/>
  <c r="AP38" i="17"/>
  <c r="L39" i="17"/>
  <c r="T39" i="17"/>
  <c r="AB39" i="17"/>
  <c r="AD39" i="17"/>
  <c r="AL39" i="17"/>
  <c r="AN39" i="17"/>
  <c r="F41" i="17"/>
  <c r="H41" i="17"/>
  <c r="J41" i="17"/>
  <c r="L41" i="17"/>
  <c r="N41" i="17"/>
  <c r="P41" i="17"/>
  <c r="R41" i="17"/>
  <c r="T41" i="17"/>
  <c r="V41" i="17"/>
  <c r="X41" i="17"/>
  <c r="Z41" i="17"/>
  <c r="AB41" i="17"/>
  <c r="AD41" i="17"/>
  <c r="AF41" i="17"/>
  <c r="AH41" i="17"/>
  <c r="AJ41" i="17"/>
  <c r="AL41" i="17"/>
  <c r="AN41" i="17"/>
  <c r="AP41" i="17"/>
  <c r="L43" i="17"/>
  <c r="T43" i="17"/>
  <c r="AB43" i="17"/>
  <c r="AD43" i="17"/>
  <c r="AL43" i="17"/>
  <c r="AN43" i="17"/>
  <c r="AP43" i="17"/>
  <c r="L45" i="17"/>
  <c r="T45" i="17"/>
  <c r="AB45" i="17"/>
  <c r="AD45" i="17"/>
  <c r="AL45" i="17"/>
  <c r="AP45" i="17"/>
  <c r="L46" i="17"/>
  <c r="AD46" i="17"/>
  <c r="AP46" i="17"/>
  <c r="AL4" i="8"/>
  <c r="AL5" i="8"/>
  <c r="F10" i="8"/>
  <c r="H10" i="8"/>
  <c r="J10" i="8"/>
  <c r="L10" i="8"/>
  <c r="N10" i="8"/>
  <c r="P10" i="8"/>
  <c r="R10" i="8"/>
  <c r="T10" i="8"/>
  <c r="V10" i="8"/>
  <c r="X10" i="8"/>
  <c r="Z10" i="8"/>
  <c r="AB10" i="8"/>
  <c r="AD10" i="8"/>
  <c r="AF10" i="8"/>
  <c r="AH10" i="8"/>
  <c r="AJ10" i="8"/>
  <c r="AL10" i="8"/>
  <c r="L11" i="8"/>
  <c r="T11" i="8"/>
  <c r="AB11" i="8"/>
  <c r="AH11" i="8"/>
  <c r="AJ11" i="8"/>
  <c r="AL11" i="8"/>
  <c r="L12" i="8"/>
  <c r="N12" i="8"/>
  <c r="T12" i="8"/>
  <c r="AB12" i="8"/>
  <c r="AF12" i="8"/>
  <c r="AJ12" i="8"/>
  <c r="AL12" i="8"/>
  <c r="L13" i="8"/>
  <c r="T13" i="8"/>
  <c r="AB13" i="8"/>
  <c r="AJ13" i="8"/>
  <c r="AL13" i="8"/>
  <c r="L14" i="8"/>
  <c r="T14" i="8"/>
  <c r="AB14" i="8"/>
  <c r="AH14" i="8"/>
  <c r="AJ14" i="8"/>
  <c r="AL14" i="8"/>
  <c r="J15" i="8"/>
  <c r="L15" i="8"/>
  <c r="T15" i="8"/>
  <c r="AB15" i="8"/>
  <c r="AJ15" i="8"/>
  <c r="AL15" i="8"/>
  <c r="L17" i="8"/>
  <c r="T17" i="8"/>
  <c r="AB17" i="8"/>
  <c r="AJ17" i="8"/>
  <c r="AL17" i="8"/>
  <c r="L18" i="8"/>
  <c r="T18" i="8"/>
  <c r="AB18" i="8"/>
  <c r="AJ18" i="8"/>
  <c r="AL18" i="8"/>
  <c r="F19" i="8"/>
  <c r="H19" i="8"/>
  <c r="J19" i="8"/>
  <c r="L19" i="8"/>
  <c r="N19" i="8"/>
  <c r="P19" i="8"/>
  <c r="R19" i="8"/>
  <c r="T19" i="8"/>
  <c r="V19" i="8"/>
  <c r="X19" i="8"/>
  <c r="Z19" i="8"/>
  <c r="AB19" i="8"/>
  <c r="AD19" i="8"/>
  <c r="AF19" i="8"/>
  <c r="AH19" i="8"/>
  <c r="AJ19" i="8"/>
  <c r="AL19" i="8"/>
  <c r="J22" i="8"/>
  <c r="L22" i="8"/>
  <c r="T22" i="8"/>
  <c r="AB22" i="8"/>
  <c r="AJ22" i="8"/>
  <c r="AL22" i="8"/>
  <c r="L23" i="8"/>
  <c r="T23" i="8"/>
  <c r="AB23" i="8"/>
  <c r="AJ23" i="8"/>
  <c r="AL23" i="8"/>
  <c r="L24" i="8"/>
  <c r="T24" i="8"/>
  <c r="AB24" i="8"/>
  <c r="AJ24" i="8"/>
  <c r="AL24" i="8"/>
  <c r="L25" i="8"/>
  <c r="T25" i="8"/>
  <c r="AB25" i="8"/>
  <c r="AJ25" i="8"/>
  <c r="AL25" i="8"/>
  <c r="F26" i="8"/>
  <c r="H26" i="8"/>
  <c r="J26" i="8"/>
  <c r="L26" i="8"/>
  <c r="N26" i="8"/>
  <c r="P26" i="8"/>
  <c r="R26" i="8"/>
  <c r="T26" i="8"/>
  <c r="V26" i="8"/>
  <c r="X26" i="8"/>
  <c r="Z26" i="8"/>
  <c r="AB26" i="8"/>
  <c r="AD26" i="8"/>
  <c r="AF26" i="8"/>
  <c r="AH26" i="8"/>
  <c r="AJ26" i="8"/>
  <c r="AL26" i="8"/>
  <c r="F28" i="8"/>
  <c r="H28" i="8"/>
  <c r="J28" i="8"/>
  <c r="L28" i="8"/>
  <c r="N28" i="8"/>
  <c r="P28" i="8"/>
  <c r="R28" i="8"/>
  <c r="T28" i="8"/>
  <c r="V28" i="8"/>
  <c r="X28" i="8"/>
  <c r="Z28" i="8"/>
  <c r="AB28" i="8"/>
  <c r="AD28" i="8"/>
  <c r="AF28" i="8"/>
  <c r="AH28" i="8"/>
  <c r="AJ28" i="8"/>
  <c r="AL28" i="8"/>
  <c r="F31" i="8"/>
  <c r="H31" i="8"/>
  <c r="J31" i="8"/>
  <c r="L31" i="8"/>
  <c r="R31" i="8"/>
  <c r="T31" i="8"/>
  <c r="Z31" i="8"/>
  <c r="AB31" i="8"/>
  <c r="AD31" i="8"/>
  <c r="AF31" i="8"/>
  <c r="AH31" i="8"/>
  <c r="AJ31" i="8"/>
  <c r="AL31" i="8"/>
  <c r="L32" i="8"/>
  <c r="T32" i="8"/>
  <c r="AB32" i="8"/>
  <c r="AD32" i="8"/>
  <c r="AF32" i="8"/>
  <c r="AH32" i="8"/>
  <c r="AJ32" i="8"/>
  <c r="AL32" i="8"/>
  <c r="F33" i="8"/>
  <c r="H33" i="8"/>
  <c r="J33" i="8"/>
  <c r="L33" i="8"/>
  <c r="N33" i="8"/>
  <c r="P33" i="8"/>
  <c r="R33" i="8"/>
  <c r="T33" i="8"/>
  <c r="V33" i="8"/>
  <c r="X33" i="8"/>
  <c r="Z33" i="8"/>
  <c r="AB33" i="8"/>
  <c r="AD33" i="8"/>
  <c r="AF33" i="8"/>
  <c r="AH33" i="8"/>
  <c r="AJ33" i="8"/>
  <c r="AL33" i="8"/>
  <c r="F35" i="8"/>
  <c r="H35" i="8"/>
  <c r="J35" i="8"/>
  <c r="L35" i="8"/>
  <c r="N35" i="8"/>
  <c r="P35" i="8"/>
  <c r="R35" i="8"/>
  <c r="T35" i="8"/>
  <c r="V35" i="8"/>
  <c r="X35" i="8"/>
  <c r="Z35" i="8"/>
  <c r="AB35" i="8"/>
  <c r="AD35" i="8"/>
  <c r="AF35" i="8"/>
  <c r="AH35" i="8"/>
  <c r="AJ35" i="8"/>
  <c r="AL35" i="8"/>
  <c r="F38" i="8"/>
  <c r="J38" i="8"/>
  <c r="L38" i="8"/>
  <c r="N38" i="8"/>
  <c r="P38" i="8"/>
  <c r="R38" i="8"/>
  <c r="T38" i="8"/>
  <c r="Z38" i="8"/>
  <c r="AB38" i="8"/>
  <c r="AD38" i="8"/>
  <c r="AF38" i="8"/>
  <c r="AH38" i="8"/>
  <c r="AJ38" i="8"/>
  <c r="AL38" i="8"/>
  <c r="L39" i="8"/>
  <c r="T39" i="8"/>
  <c r="AB39" i="8"/>
  <c r="AD39" i="8"/>
  <c r="AF39" i="8"/>
  <c r="AH39" i="8"/>
  <c r="AJ39" i="8"/>
  <c r="AL39" i="8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F42" i="8"/>
  <c r="H42" i="8"/>
  <c r="J42" i="8"/>
  <c r="L42" i="8"/>
  <c r="N42" i="8"/>
  <c r="P42" i="8"/>
  <c r="R42" i="8"/>
  <c r="T42" i="8"/>
  <c r="V42" i="8"/>
  <c r="X42" i="8"/>
  <c r="Z42" i="8"/>
  <c r="AB42" i="8"/>
  <c r="AD42" i="8"/>
  <c r="AF42" i="8"/>
  <c r="AH42" i="8"/>
  <c r="AJ42" i="8"/>
  <c r="AL42" i="8"/>
  <c r="L45" i="8"/>
  <c r="R45" i="8"/>
  <c r="T45" i="8"/>
  <c r="V45" i="8"/>
  <c r="X45" i="8"/>
  <c r="Z45" i="8"/>
  <c r="AB45" i="8"/>
  <c r="AD45" i="8"/>
  <c r="AF45" i="8"/>
  <c r="AH45" i="8"/>
  <c r="AJ45" i="8"/>
  <c r="AL45" i="8"/>
  <c r="F47" i="8"/>
  <c r="H47" i="8"/>
  <c r="J47" i="8"/>
  <c r="L47" i="8"/>
  <c r="N47" i="8"/>
  <c r="P47" i="8"/>
  <c r="R47" i="8"/>
  <c r="T47" i="8"/>
  <c r="V47" i="8"/>
  <c r="X47" i="8"/>
  <c r="Z47" i="8"/>
  <c r="AB47" i="8"/>
  <c r="AD47" i="8"/>
  <c r="AF47" i="8"/>
  <c r="AH47" i="8"/>
  <c r="AJ47" i="8"/>
  <c r="AL47" i="8"/>
  <c r="AB50" i="8"/>
  <c r="AJ50" i="8"/>
  <c r="AL50" i="8"/>
  <c r="AB51" i="8"/>
  <c r="AJ51" i="8"/>
  <c r="AL51" i="8"/>
  <c r="AB54" i="8"/>
  <c r="AJ54" i="8"/>
  <c r="AB55" i="8"/>
  <c r="AJ55" i="8"/>
  <c r="AB57" i="8"/>
  <c r="AJ57" i="8"/>
  <c r="F10" i="10"/>
  <c r="H10" i="10"/>
  <c r="J10" i="10"/>
  <c r="L10" i="10"/>
  <c r="N10" i="10"/>
  <c r="P10" i="10"/>
  <c r="R10" i="10"/>
  <c r="T10" i="10"/>
  <c r="V10" i="10"/>
  <c r="X10" i="10"/>
  <c r="Z10" i="10"/>
  <c r="AB10" i="10"/>
  <c r="AD10" i="10"/>
  <c r="AF10" i="10"/>
  <c r="AH10" i="10"/>
  <c r="AJ10" i="10"/>
  <c r="AL10" i="10"/>
  <c r="F11" i="10"/>
  <c r="H11" i="10"/>
  <c r="J11" i="10"/>
  <c r="L11" i="10"/>
  <c r="N11" i="10"/>
  <c r="P11" i="10"/>
  <c r="R11" i="10"/>
  <c r="T11" i="10"/>
  <c r="V11" i="10"/>
  <c r="X11" i="10"/>
  <c r="Z11" i="10"/>
  <c r="AB11" i="10"/>
  <c r="AD11" i="10"/>
  <c r="AF11" i="10"/>
  <c r="AH11" i="10"/>
  <c r="AJ11" i="10"/>
  <c r="AL11" i="10"/>
  <c r="F12" i="10"/>
  <c r="H12" i="10"/>
  <c r="J12" i="10"/>
  <c r="L12" i="10"/>
  <c r="N12" i="10"/>
  <c r="P12" i="10"/>
  <c r="R12" i="10"/>
  <c r="T12" i="10"/>
  <c r="V12" i="10"/>
  <c r="X12" i="10"/>
  <c r="Z12" i="10"/>
  <c r="AB12" i="10"/>
  <c r="AD12" i="10"/>
  <c r="AF12" i="10"/>
  <c r="AH12" i="10"/>
  <c r="AJ12" i="10"/>
  <c r="AL12" i="10"/>
  <c r="F13" i="10"/>
  <c r="H13" i="10"/>
  <c r="J13" i="10"/>
  <c r="L13" i="10"/>
  <c r="N13" i="10"/>
  <c r="P13" i="10"/>
  <c r="R13" i="10"/>
  <c r="T13" i="10"/>
  <c r="V13" i="10"/>
  <c r="X13" i="10"/>
  <c r="Z13" i="10"/>
  <c r="AB13" i="10"/>
  <c r="AD13" i="10"/>
  <c r="AF13" i="10"/>
  <c r="AH13" i="10"/>
  <c r="AJ13" i="10"/>
  <c r="AL13" i="10"/>
  <c r="F14" i="10"/>
  <c r="H14" i="10"/>
  <c r="J14" i="10"/>
  <c r="L14" i="10"/>
  <c r="N14" i="10"/>
  <c r="P14" i="10"/>
  <c r="R14" i="10"/>
  <c r="T14" i="10"/>
  <c r="V14" i="10"/>
  <c r="X14" i="10"/>
  <c r="Z14" i="10"/>
  <c r="AB14" i="10"/>
  <c r="AD14" i="10"/>
  <c r="AF14" i="10"/>
  <c r="AH14" i="10"/>
  <c r="AJ14" i="10"/>
  <c r="AL14" i="10"/>
  <c r="F15" i="10"/>
  <c r="H15" i="10"/>
  <c r="J15" i="10"/>
  <c r="L15" i="10"/>
  <c r="N15" i="10"/>
  <c r="P15" i="10"/>
  <c r="R15" i="10"/>
  <c r="T15" i="10"/>
  <c r="V15" i="10"/>
  <c r="X15" i="10"/>
  <c r="Z15" i="10"/>
  <c r="AB15" i="10"/>
  <c r="AD15" i="10"/>
  <c r="AF15" i="10"/>
  <c r="AH15" i="10"/>
  <c r="AJ15" i="10"/>
  <c r="AL15" i="10"/>
  <c r="F17" i="10"/>
  <c r="H17" i="10"/>
  <c r="J17" i="10"/>
  <c r="L17" i="10"/>
  <c r="N17" i="10"/>
  <c r="P17" i="10"/>
  <c r="R17" i="10"/>
  <c r="T17" i="10"/>
  <c r="V17" i="10"/>
  <c r="X17" i="10"/>
  <c r="Z17" i="10"/>
  <c r="AB17" i="10"/>
  <c r="AD17" i="10"/>
  <c r="AF17" i="10"/>
  <c r="AH17" i="10"/>
  <c r="AJ17" i="10"/>
  <c r="AL17" i="10"/>
  <c r="F18" i="10"/>
  <c r="H18" i="10"/>
  <c r="J18" i="10"/>
  <c r="L18" i="10"/>
  <c r="N18" i="10"/>
  <c r="P18" i="10"/>
  <c r="R18" i="10"/>
  <c r="T18" i="10"/>
  <c r="V18" i="10"/>
  <c r="X18" i="10"/>
  <c r="Z18" i="10"/>
  <c r="AB18" i="10"/>
  <c r="AD18" i="10"/>
  <c r="AF18" i="10"/>
  <c r="AH18" i="10"/>
  <c r="AJ18" i="10"/>
  <c r="AL18" i="10"/>
  <c r="F19" i="10"/>
  <c r="H19" i="10"/>
  <c r="J19" i="10"/>
  <c r="L19" i="10"/>
  <c r="N19" i="10"/>
  <c r="P19" i="10"/>
  <c r="R19" i="10"/>
  <c r="T19" i="10"/>
  <c r="V19" i="10"/>
  <c r="X19" i="10"/>
  <c r="Z19" i="10"/>
  <c r="AB19" i="10"/>
  <c r="AD19" i="10"/>
  <c r="AF19" i="10"/>
  <c r="AH19" i="10"/>
  <c r="AJ19" i="10"/>
  <c r="AL19" i="10"/>
  <c r="F22" i="10"/>
  <c r="H22" i="10"/>
  <c r="J22" i="10"/>
  <c r="L22" i="10"/>
  <c r="N22" i="10"/>
  <c r="P22" i="10"/>
  <c r="R22" i="10"/>
  <c r="T22" i="10"/>
  <c r="V22" i="10"/>
  <c r="X22" i="10"/>
  <c r="Z22" i="10"/>
  <c r="AB22" i="10"/>
  <c r="AD22" i="10"/>
  <c r="AF22" i="10"/>
  <c r="AH22" i="10"/>
  <c r="AJ22" i="10"/>
  <c r="AL22" i="10"/>
  <c r="F23" i="10"/>
  <c r="H23" i="10"/>
  <c r="J23" i="10"/>
  <c r="L23" i="10"/>
  <c r="N23" i="10"/>
  <c r="P23" i="10"/>
  <c r="R23" i="10"/>
  <c r="T23" i="10"/>
  <c r="V23" i="10"/>
  <c r="X23" i="10"/>
  <c r="Z23" i="10"/>
  <c r="AB23" i="10"/>
  <c r="AD23" i="10"/>
  <c r="AF23" i="10"/>
  <c r="AH23" i="10"/>
  <c r="AJ23" i="10"/>
  <c r="AL23" i="10"/>
  <c r="F24" i="10"/>
  <c r="H24" i="10"/>
  <c r="J24" i="10"/>
  <c r="L24" i="10"/>
  <c r="N24" i="10"/>
  <c r="P24" i="10"/>
  <c r="R24" i="10"/>
  <c r="T24" i="10"/>
  <c r="V24" i="10"/>
  <c r="X24" i="10"/>
  <c r="Z24" i="10"/>
  <c r="AB24" i="10"/>
  <c r="AD24" i="10"/>
  <c r="AF24" i="10"/>
  <c r="AH24" i="10"/>
  <c r="AJ24" i="10"/>
  <c r="AL24" i="10"/>
  <c r="F25" i="10"/>
  <c r="H25" i="10"/>
  <c r="J25" i="10"/>
  <c r="L25" i="10"/>
  <c r="N25" i="10"/>
  <c r="P25" i="10"/>
  <c r="R25" i="10"/>
  <c r="T25" i="10"/>
  <c r="V25" i="10"/>
  <c r="X25" i="10"/>
  <c r="Z25" i="10"/>
  <c r="AB25" i="10"/>
  <c r="AD25" i="10"/>
  <c r="AF25" i="10"/>
  <c r="AH25" i="10"/>
  <c r="AJ25" i="10"/>
  <c r="AL25" i="10"/>
  <c r="F26" i="10"/>
  <c r="H26" i="10"/>
  <c r="J26" i="10"/>
  <c r="L26" i="10"/>
  <c r="N26" i="10"/>
  <c r="P26" i="10"/>
  <c r="R26" i="10"/>
  <c r="T26" i="10"/>
  <c r="V26" i="10"/>
  <c r="X26" i="10"/>
  <c r="Z26" i="10"/>
  <c r="AB26" i="10"/>
  <c r="AD26" i="10"/>
  <c r="AF26" i="10"/>
  <c r="AH26" i="10"/>
  <c r="AJ26" i="10"/>
  <c r="AL26" i="10"/>
  <c r="F28" i="10"/>
  <c r="H28" i="10"/>
  <c r="J28" i="10"/>
  <c r="L28" i="10"/>
  <c r="N28" i="10"/>
  <c r="P28" i="10"/>
  <c r="R28" i="10"/>
  <c r="T28" i="10"/>
  <c r="V28" i="10"/>
  <c r="X28" i="10"/>
  <c r="Z28" i="10"/>
  <c r="AB28" i="10"/>
  <c r="AD28" i="10"/>
  <c r="AF28" i="10"/>
  <c r="AH28" i="10"/>
  <c r="AJ28" i="10"/>
  <c r="AL28" i="10"/>
  <c r="L31" i="10"/>
  <c r="T31" i="10"/>
  <c r="AB31" i="10"/>
  <c r="AJ31" i="10"/>
  <c r="AL31" i="10"/>
  <c r="L32" i="10"/>
  <c r="T32" i="10"/>
  <c r="AB32" i="10"/>
  <c r="AJ32" i="10"/>
  <c r="AL32" i="10"/>
  <c r="L33" i="10"/>
  <c r="T33" i="10"/>
  <c r="AB33" i="10"/>
  <c r="AJ33" i="10"/>
  <c r="AL33" i="10"/>
  <c r="L34" i="10"/>
  <c r="T34" i="10"/>
  <c r="AB34" i="10"/>
  <c r="AJ34" i="10"/>
  <c r="AL34" i="10"/>
  <c r="L35" i="10"/>
  <c r="T35" i="10"/>
  <c r="AB35" i="10"/>
  <c r="AJ35" i="10"/>
  <c r="AL35" i="10"/>
  <c r="L36" i="10"/>
  <c r="T36" i="10"/>
  <c r="AB36" i="10"/>
  <c r="AJ36" i="10"/>
  <c r="AL36" i="10"/>
  <c r="L37" i="10"/>
  <c r="T37" i="10"/>
  <c r="AB37" i="10"/>
  <c r="AJ37" i="10"/>
  <c r="AL37" i="10"/>
  <c r="F38" i="10"/>
  <c r="H38" i="10"/>
  <c r="J38" i="10"/>
  <c r="L38" i="10"/>
  <c r="N38" i="10"/>
  <c r="P38" i="10"/>
  <c r="R38" i="10"/>
  <c r="T38" i="10"/>
  <c r="V38" i="10"/>
  <c r="X38" i="10"/>
  <c r="Z38" i="10"/>
  <c r="AB38" i="10"/>
  <c r="AD38" i="10"/>
  <c r="AF38" i="10"/>
  <c r="AH38" i="10"/>
  <c r="AJ38" i="10"/>
  <c r="AL38" i="10"/>
  <c r="F40" i="10"/>
  <c r="H40" i="10"/>
  <c r="J40" i="10"/>
  <c r="L40" i="10"/>
  <c r="N40" i="10"/>
  <c r="P40" i="10"/>
  <c r="R40" i="10"/>
  <c r="T40" i="10"/>
  <c r="V40" i="10"/>
  <c r="X40" i="10"/>
  <c r="Z40" i="10"/>
  <c r="AB40" i="10"/>
  <c r="AD40" i="10"/>
  <c r="AF40" i="10"/>
  <c r="AH40" i="10"/>
  <c r="AJ40" i="10"/>
  <c r="AL40" i="10"/>
  <c r="F43" i="10"/>
  <c r="H43" i="10"/>
  <c r="J43" i="10"/>
  <c r="L43" i="10"/>
  <c r="N43" i="10"/>
  <c r="P43" i="10"/>
  <c r="R43" i="10"/>
  <c r="T43" i="10"/>
  <c r="V43" i="10"/>
  <c r="X43" i="10"/>
  <c r="Z43" i="10"/>
  <c r="AB43" i="10"/>
  <c r="AJ43" i="10"/>
  <c r="AL43" i="10"/>
  <c r="F44" i="10"/>
  <c r="H44" i="10"/>
  <c r="J44" i="10"/>
  <c r="L44" i="10"/>
  <c r="N44" i="10"/>
  <c r="P44" i="10"/>
  <c r="R44" i="10"/>
  <c r="T44" i="10"/>
  <c r="V44" i="10"/>
  <c r="X44" i="10"/>
  <c r="Z44" i="10"/>
  <c r="AB44" i="10"/>
  <c r="AJ44" i="10"/>
  <c r="AL44" i="10"/>
  <c r="F45" i="10"/>
  <c r="H45" i="10"/>
  <c r="J45" i="10"/>
  <c r="L45" i="10"/>
  <c r="N45" i="10"/>
  <c r="P45" i="10"/>
  <c r="R45" i="10"/>
  <c r="T45" i="10"/>
  <c r="V45" i="10"/>
  <c r="X45" i="10"/>
  <c r="Z45" i="10"/>
  <c r="AB45" i="10"/>
  <c r="AJ45" i="10"/>
  <c r="AL45" i="10"/>
  <c r="F46" i="10"/>
  <c r="H46" i="10"/>
  <c r="J46" i="10"/>
  <c r="L46" i="10"/>
  <c r="N46" i="10"/>
  <c r="P46" i="10"/>
  <c r="R46" i="10"/>
  <c r="T46" i="10"/>
  <c r="V46" i="10"/>
  <c r="X46" i="10"/>
  <c r="Z46" i="10"/>
  <c r="AB46" i="10"/>
  <c r="AD46" i="10"/>
  <c r="AF46" i="10"/>
  <c r="AH46" i="10"/>
  <c r="AJ46" i="10"/>
  <c r="AL46" i="10"/>
  <c r="F48" i="10"/>
  <c r="H48" i="10"/>
  <c r="J48" i="10"/>
  <c r="L48" i="10"/>
  <c r="N48" i="10"/>
  <c r="P48" i="10"/>
  <c r="R48" i="10"/>
  <c r="T48" i="10"/>
  <c r="V48" i="10"/>
  <c r="X48" i="10"/>
  <c r="Z48" i="10"/>
  <c r="AB48" i="10"/>
  <c r="AD48" i="10"/>
  <c r="AF48" i="10"/>
  <c r="AH48" i="10"/>
  <c r="AJ48" i="10"/>
  <c r="AL48" i="10"/>
  <c r="F54" i="10"/>
  <c r="H54" i="10"/>
  <c r="J54" i="10"/>
  <c r="L54" i="10"/>
  <c r="N54" i="10"/>
  <c r="P54" i="10"/>
  <c r="R54" i="10"/>
  <c r="T54" i="10"/>
  <c r="V54" i="10"/>
  <c r="X54" i="10"/>
  <c r="Z54" i="10"/>
  <c r="AB54" i="10"/>
  <c r="AD54" i="10"/>
  <c r="AF54" i="10"/>
  <c r="AH54" i="10"/>
  <c r="AJ54" i="10"/>
  <c r="AL54" i="10"/>
  <c r="F55" i="10"/>
  <c r="H55" i="10"/>
  <c r="J55" i="10"/>
  <c r="L55" i="10"/>
  <c r="N55" i="10"/>
  <c r="P55" i="10"/>
  <c r="R55" i="10"/>
  <c r="T55" i="10"/>
  <c r="V55" i="10"/>
  <c r="X55" i="10"/>
  <c r="Z55" i="10"/>
  <c r="AB55" i="10"/>
  <c r="AD55" i="10"/>
  <c r="AF55" i="10"/>
  <c r="AH55" i="10"/>
  <c r="AJ55" i="10"/>
  <c r="AL55" i="10"/>
  <c r="F56" i="10"/>
  <c r="H56" i="10"/>
  <c r="J56" i="10"/>
  <c r="L56" i="10"/>
  <c r="N56" i="10"/>
  <c r="P56" i="10"/>
  <c r="R56" i="10"/>
  <c r="T56" i="10"/>
  <c r="V56" i="10"/>
  <c r="X56" i="10"/>
  <c r="Z56" i="10"/>
  <c r="AB56" i="10"/>
  <c r="AD56" i="10"/>
  <c r="AF56" i="10"/>
  <c r="AH56" i="10"/>
  <c r="AJ56" i="10"/>
  <c r="AL56" i="10"/>
  <c r="J15" i="20"/>
  <c r="L15" i="20"/>
  <c r="O15" i="20"/>
  <c r="J18" i="20"/>
  <c r="L18" i="20"/>
  <c r="O18" i="20"/>
  <c r="D19" i="20"/>
  <c r="F19" i="20"/>
  <c r="H19" i="20"/>
  <c r="J19" i="20"/>
  <c r="L19" i="20"/>
  <c r="O19" i="20"/>
  <c r="J21" i="20"/>
  <c r="L21" i="20"/>
  <c r="O21" i="20"/>
  <c r="L22" i="20"/>
  <c r="J23" i="20"/>
  <c r="L23" i="20"/>
  <c r="O23" i="20"/>
  <c r="D25" i="20"/>
  <c r="F25" i="20"/>
  <c r="H25" i="20"/>
  <c r="J25" i="20"/>
  <c r="L25" i="20"/>
  <c r="O25" i="20"/>
  <c r="J27" i="20"/>
  <c r="L27" i="20"/>
  <c r="J30" i="20"/>
  <c r="L30" i="20"/>
  <c r="O30" i="20"/>
  <c r="L31" i="20"/>
  <c r="O31" i="20"/>
  <c r="L32" i="20"/>
  <c r="O32" i="20"/>
  <c r="L33" i="20"/>
  <c r="J35" i="20"/>
  <c r="L35" i="20"/>
  <c r="D36" i="20"/>
  <c r="F36" i="20"/>
  <c r="H36" i="20"/>
  <c r="J36" i="20"/>
  <c r="L36" i="20"/>
  <c r="O36" i="20"/>
  <c r="F37" i="20"/>
  <c r="H37" i="20"/>
  <c r="J37" i="20"/>
  <c r="L37" i="20"/>
  <c r="O37" i="20"/>
  <c r="O9" i="21"/>
  <c r="W9" i="21"/>
  <c r="AC9" i="21"/>
  <c r="AF9" i="21"/>
  <c r="O10" i="21"/>
  <c r="S10" i="21"/>
  <c r="W10" i="21"/>
  <c r="Y10" i="21"/>
  <c r="AA10" i="21"/>
  <c r="AC10" i="21"/>
  <c r="AF10" i="21"/>
  <c r="O11" i="21"/>
  <c r="S11" i="21"/>
  <c r="U11" i="21"/>
  <c r="W11" i="21"/>
  <c r="Y11" i="21"/>
  <c r="AA11" i="21"/>
  <c r="AC11" i="21"/>
  <c r="AF11" i="21"/>
  <c r="O12" i="21"/>
  <c r="U12" i="21"/>
  <c r="W12" i="21"/>
  <c r="AF12" i="21"/>
  <c r="O13" i="21"/>
  <c r="U13" i="21"/>
  <c r="W13" i="21"/>
  <c r="AF13" i="21"/>
  <c r="F14" i="21"/>
  <c r="H14" i="21"/>
  <c r="J14" i="21"/>
  <c r="O14" i="21"/>
  <c r="Q14" i="21"/>
  <c r="S14" i="21"/>
  <c r="U14" i="21"/>
  <c r="W14" i="21"/>
  <c r="Y14" i="21"/>
  <c r="AA14" i="21"/>
  <c r="AC14" i="21"/>
  <c r="AF14" i="21"/>
  <c r="F15" i="21"/>
  <c r="H15" i="21"/>
  <c r="J15" i="21"/>
  <c r="O15" i="21"/>
  <c r="Q15" i="21"/>
  <c r="S15" i="21"/>
  <c r="U15" i="21"/>
  <c r="W15" i="21"/>
  <c r="Y15" i="21"/>
  <c r="AA15" i="21"/>
  <c r="AC15" i="21"/>
  <c r="AF15" i="21"/>
  <c r="O19" i="21"/>
  <c r="Q19" i="21"/>
  <c r="S19" i="21"/>
  <c r="U19" i="21"/>
  <c r="W19" i="21"/>
  <c r="Y19" i="21"/>
  <c r="AA19" i="21"/>
  <c r="AC19" i="21"/>
  <c r="AF19" i="21"/>
  <c r="O20" i="21"/>
  <c r="W20" i="21"/>
  <c r="Y20" i="21"/>
  <c r="AA20" i="21"/>
  <c r="AC20" i="21"/>
  <c r="AF20" i="21"/>
  <c r="O21" i="21"/>
  <c r="W21" i="21"/>
  <c r="Y21" i="21"/>
  <c r="AA21" i="21"/>
  <c r="AC21" i="21"/>
  <c r="AF21" i="21"/>
  <c r="F22" i="21"/>
  <c r="H22" i="21"/>
  <c r="J22" i="21"/>
  <c r="O22" i="21"/>
  <c r="Q22" i="21"/>
  <c r="S22" i="21"/>
  <c r="U22" i="21"/>
  <c r="W22" i="21"/>
  <c r="Y22" i="21"/>
  <c r="AA22" i="21"/>
  <c r="AC22" i="21"/>
  <c r="AF22" i="21"/>
  <c r="F24" i="21"/>
  <c r="H24" i="21"/>
  <c r="J24" i="21"/>
  <c r="O24" i="21"/>
  <c r="Q24" i="21"/>
  <c r="S24" i="21"/>
  <c r="U24" i="21"/>
  <c r="W24" i="21"/>
  <c r="Y24" i="21"/>
  <c r="AA24" i="21"/>
  <c r="AC24" i="21"/>
  <c r="AF24" i="21"/>
  <c r="O27" i="21"/>
  <c r="S27" i="21"/>
  <c r="U27" i="21"/>
  <c r="W27" i="21"/>
  <c r="Y27" i="21"/>
  <c r="AA27" i="21"/>
  <c r="AC27" i="21"/>
  <c r="AF27" i="21"/>
  <c r="O28" i="21"/>
  <c r="W28" i="21"/>
  <c r="AF28" i="21"/>
  <c r="F29" i="21"/>
  <c r="H29" i="21"/>
  <c r="J29" i="21"/>
  <c r="O29" i="21"/>
  <c r="Q29" i="21"/>
  <c r="S29" i="21"/>
  <c r="U29" i="21"/>
  <c r="W29" i="21"/>
  <c r="Y29" i="21"/>
  <c r="AA29" i="21"/>
  <c r="AC29" i="21"/>
  <c r="AF29" i="21"/>
  <c r="F32" i="21"/>
  <c r="H32" i="21"/>
  <c r="J32" i="21"/>
  <c r="O32" i="21"/>
  <c r="Q32" i="21"/>
  <c r="S32" i="21"/>
  <c r="U32" i="21"/>
  <c r="W32" i="21"/>
  <c r="Y32" i="21"/>
  <c r="AA32" i="21"/>
  <c r="AC32" i="21"/>
  <c r="AF32" i="21"/>
  <c r="W35" i="21"/>
  <c r="Y35" i="21"/>
  <c r="AF35" i="21"/>
  <c r="F37" i="21"/>
  <c r="H37" i="21"/>
  <c r="J37" i="21"/>
  <c r="O37" i="21"/>
  <c r="Q37" i="21"/>
  <c r="S37" i="21"/>
  <c r="U37" i="21"/>
  <c r="W37" i="21"/>
  <c r="Y37" i="21"/>
  <c r="AA37" i="21"/>
  <c r="AC37" i="21"/>
  <c r="AF37" i="21"/>
  <c r="F39" i="21"/>
  <c r="H39" i="21"/>
  <c r="J39" i="21"/>
  <c r="O39" i="21"/>
  <c r="Q39" i="21"/>
  <c r="S39" i="21"/>
  <c r="U39" i="21"/>
  <c r="W39" i="21"/>
  <c r="Y39" i="21"/>
  <c r="AA39" i="21"/>
  <c r="AC39" i="21"/>
  <c r="AF39" i="21"/>
  <c r="O41" i="21"/>
  <c r="W41" i="21"/>
  <c r="AF41" i="21"/>
</calcChain>
</file>

<file path=xl/comments1.xml><?xml version="1.0" encoding="utf-8"?>
<comments xmlns="http://schemas.openxmlformats.org/spreadsheetml/2006/main">
  <authors>
    <author>Eott</author>
  </authors>
  <commentList>
    <comment ref="J35" authorId="0" shapeId="0">
      <text>
        <r>
          <rPr>
            <b/>
            <sz val="8"/>
            <color indexed="81"/>
            <rFont val="Tahoma"/>
          </rPr>
          <t>Eott:
Elim sub unit payment of $1837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Eott</author>
  </authors>
  <commentList>
    <comment ref="AH20" authorId="0" shapeId="0">
      <text>
        <r>
          <rPr>
            <b/>
            <sz val="8"/>
            <color indexed="81"/>
            <rFont val="Tahoma"/>
          </rPr>
          <t>Eott</t>
        </r>
        <r>
          <rPr>
            <b/>
            <sz val="10"/>
            <color indexed="81"/>
            <rFont val="Tahoma"/>
            <family val="2"/>
          </rPr>
          <t xml:space="preserve"> $300k reduction in incentive comp$100k reduction in phanton
</t>
        </r>
      </text>
    </comment>
    <comment ref="AJ20" authorId="0" shapeId="0">
      <text>
        <r>
          <rPr>
            <b/>
            <sz val="8"/>
            <color indexed="81"/>
            <rFont val="Tahoma"/>
          </rPr>
          <t>Eott</t>
        </r>
        <r>
          <rPr>
            <b/>
            <sz val="10"/>
            <color indexed="81"/>
            <rFont val="Tahoma"/>
            <family val="2"/>
          </rPr>
          <t xml:space="preserve"> $300k reduction in incentive comp$100k reduction in phanton
</t>
        </r>
      </text>
    </comment>
    <comment ref="AH28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added 150 for lc fees</t>
        </r>
      </text>
    </comment>
    <comment ref="AJ28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added 150 for lc fees
</t>
        </r>
      </text>
    </comment>
  </commentList>
</comments>
</file>

<file path=xl/comments3.xml><?xml version="1.0" encoding="utf-8"?>
<comments xmlns="http://schemas.openxmlformats.org/spreadsheetml/2006/main">
  <authors>
    <author>Eott</author>
  </authors>
  <commentList>
    <comment ref="S19" authorId="0" shapeId="0">
      <text>
        <r>
          <rPr>
            <b/>
            <sz val="8"/>
            <color indexed="81"/>
            <rFont val="Tahoma"/>
          </rPr>
          <t>Eott</t>
        </r>
        <r>
          <rPr>
            <b/>
            <sz val="10"/>
            <color indexed="81"/>
            <rFont val="Tahoma"/>
            <family val="2"/>
          </rPr>
          <t xml:space="preserve"> $300k reduction in incentive comp$100k reduction in phanton
</t>
        </r>
      </text>
    </comment>
    <comment ref="U19" authorId="0" shapeId="0">
      <text>
        <r>
          <rPr>
            <b/>
            <sz val="8"/>
            <color indexed="81"/>
            <rFont val="Tahoma"/>
          </rPr>
          <t>Eott</t>
        </r>
        <r>
          <rPr>
            <b/>
            <sz val="10"/>
            <color indexed="81"/>
            <rFont val="Tahoma"/>
            <family val="2"/>
          </rPr>
          <t xml:space="preserve"> $300k reduction in incentive comp$100k reduction in phanton
</t>
        </r>
      </text>
    </comment>
    <comment ref="Y19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Adj for incentive in Jan, Feb and Mar</t>
        </r>
      </text>
    </comment>
    <comment ref="S27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added 150 for lc fees</t>
        </r>
      </text>
    </comment>
    <comment ref="U27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added 150 for lc fees
</t>
        </r>
      </text>
    </comment>
  </commentList>
</comments>
</file>

<file path=xl/sharedStrings.xml><?xml version="1.0" encoding="utf-8"?>
<sst xmlns="http://schemas.openxmlformats.org/spreadsheetml/2006/main" count="357" uniqueCount="146">
  <si>
    <t>EOTT ENERGY PARTNERS, L. P.</t>
  </si>
  <si>
    <t>(Thousands of Dollars)</t>
  </si>
  <si>
    <t>Description</t>
  </si>
  <si>
    <t>Actual</t>
  </si>
  <si>
    <t>Crude Oil:</t>
  </si>
  <si>
    <t>East of Rockies</t>
  </si>
  <si>
    <t>Canada</t>
  </si>
  <si>
    <t xml:space="preserve">W.C. Crude </t>
  </si>
  <si>
    <t>W.C. NGL's</t>
  </si>
  <si>
    <t>Products:</t>
  </si>
  <si>
    <t>W.C. Products</t>
  </si>
  <si>
    <t>Outside Services</t>
  </si>
  <si>
    <t>Total Gross Margins</t>
  </si>
  <si>
    <t>Depreciation &amp; Amortization</t>
  </si>
  <si>
    <t>Operating Income</t>
  </si>
  <si>
    <t>Other Income/(Expense):</t>
  </si>
  <si>
    <t>Other, Net</t>
  </si>
  <si>
    <t>F -Flash</t>
  </si>
  <si>
    <t>Interest and Related Charges, net</t>
  </si>
  <si>
    <t>Operating Expenses</t>
  </si>
  <si>
    <t xml:space="preserve"> </t>
  </si>
  <si>
    <t>EOPL</t>
  </si>
  <si>
    <t>Mark to Market:</t>
  </si>
  <si>
    <t>Total Mark to Market</t>
  </si>
  <si>
    <t>NGL Trading</t>
  </si>
  <si>
    <t>1st Qtr</t>
  </si>
  <si>
    <t>May</t>
  </si>
  <si>
    <t>2nd Qtr</t>
  </si>
  <si>
    <t>3rd Qtr</t>
  </si>
  <si>
    <t>4th Qtr</t>
  </si>
  <si>
    <t>August</t>
  </si>
  <si>
    <t>September</t>
  </si>
  <si>
    <t>Total GM Before MTM</t>
  </si>
  <si>
    <t>.</t>
  </si>
  <si>
    <t>January</t>
  </si>
  <si>
    <t>February</t>
  </si>
  <si>
    <t>March</t>
  </si>
  <si>
    <t>1st Qtr 2000</t>
  </si>
  <si>
    <t>April</t>
  </si>
  <si>
    <t>June</t>
  </si>
  <si>
    <t>2nd Qtr 2000</t>
  </si>
  <si>
    <t>YTD 2000</t>
  </si>
  <si>
    <t>July</t>
  </si>
  <si>
    <t>3rd Qtr 2000</t>
  </si>
  <si>
    <t>Expenses:</t>
  </si>
  <si>
    <t>Net Income</t>
  </si>
  <si>
    <t>Net Income per Unit</t>
  </si>
  <si>
    <t>Net Income before MTM per Unit</t>
  </si>
  <si>
    <t>Net Income Before Mark to Market</t>
  </si>
  <si>
    <t>Add:  Depreciation &amp; Amortization</t>
  </si>
  <si>
    <t>Less:  Maintenance Cap Ex</t>
  </si>
  <si>
    <t>Available Cash for Distribution</t>
  </si>
  <si>
    <t>Available Cash</t>
  </si>
  <si>
    <t>Fourth Quarter 2000</t>
  </si>
  <si>
    <t>October</t>
  </si>
  <si>
    <t>November</t>
  </si>
  <si>
    <t>December</t>
  </si>
  <si>
    <t>4th Qtr 2000</t>
  </si>
  <si>
    <t>INCOME SUMMARY 2000</t>
  </si>
  <si>
    <t>Operating Expenses:</t>
  </si>
  <si>
    <t>Net Income (Loss)</t>
  </si>
  <si>
    <t>EBIDA</t>
  </si>
  <si>
    <t xml:space="preserve">Pipeline </t>
  </si>
  <si>
    <t>Trucking</t>
  </si>
  <si>
    <t>Marine Ser./Mobile Term.</t>
  </si>
  <si>
    <t>Gas Plant</t>
  </si>
  <si>
    <t>Marketing &amp; Administrative</t>
  </si>
  <si>
    <t>Corporate</t>
  </si>
  <si>
    <t>Other</t>
  </si>
  <si>
    <t>Recurring Net Income</t>
  </si>
  <si>
    <t>Less:  Nonrecurring Net Income</t>
  </si>
  <si>
    <t>YTD 2001</t>
  </si>
  <si>
    <t>Outside Services / Other</t>
  </si>
  <si>
    <t>2001 Income Summary</t>
  </si>
  <si>
    <t>Net Income Before Cumulative</t>
  </si>
  <si>
    <t>Effect of Accounting Change</t>
  </si>
  <si>
    <t>Cum. Effect of Acctg. Change</t>
  </si>
  <si>
    <t>MTBE Plant</t>
  </si>
  <si>
    <t>Storage &amp; Grid</t>
  </si>
  <si>
    <t>2000 Net Income</t>
  </si>
  <si>
    <t>Net Income per Unit - 2000</t>
  </si>
  <si>
    <t>Net Income per Unit - 2001</t>
  </si>
  <si>
    <t>Maintenance Cap Ex</t>
  </si>
  <si>
    <t>Recurring</t>
  </si>
  <si>
    <t>Forecast</t>
  </si>
  <si>
    <t>YE 2001</t>
  </si>
  <si>
    <t>Operating Expenses - Liquids</t>
  </si>
  <si>
    <t>Operating Expenses - Base Bus</t>
  </si>
  <si>
    <t>Interest, net</t>
  </si>
  <si>
    <t>West Coast</t>
  </si>
  <si>
    <t>EOTT Energy Partners, L.P.</t>
  </si>
  <si>
    <t>2001 Forecast Results</t>
  </si>
  <si>
    <t>(In thousands, except per unit amounts)</t>
  </si>
  <si>
    <t>Actuals</t>
  </si>
  <si>
    <t>2000</t>
  </si>
  <si>
    <t>P+, $/bbl</t>
  </si>
  <si>
    <t xml:space="preserve">WTI / WTS </t>
  </si>
  <si>
    <t>Gross Margin</t>
  </si>
  <si>
    <t xml:space="preserve">EBITDA </t>
  </si>
  <si>
    <t>Lower Pipeline Volumes</t>
  </si>
  <si>
    <t>Pipeline Quality Mgmt Program</t>
  </si>
  <si>
    <t>Liquids / Project Timber</t>
  </si>
  <si>
    <t>EBITDA - Forecasted</t>
  </si>
  <si>
    <t xml:space="preserve">Interest Expense, net </t>
  </si>
  <si>
    <t>Interest Expense, Project Timber</t>
  </si>
  <si>
    <t>Depreciation (incl Project Timber)</t>
  </si>
  <si>
    <t>Net Income (includes cum effect)</t>
  </si>
  <si>
    <t>Less: Maintenance Capital - Liquids</t>
  </si>
  <si>
    <t>Unit Distributions - Total</t>
  </si>
  <si>
    <t xml:space="preserve">  Change in Available Cash Reserves</t>
  </si>
  <si>
    <t>Distributable Cash Reserve</t>
  </si>
  <si>
    <t>Common Unit Coverage</t>
  </si>
  <si>
    <t>1.52x</t>
  </si>
  <si>
    <t>1.06x</t>
  </si>
  <si>
    <t>1.45x</t>
  </si>
  <si>
    <t>1.53x</t>
  </si>
  <si>
    <t>1.39x</t>
  </si>
  <si>
    <t>1.41x</t>
  </si>
  <si>
    <t>Maintenance Capital (incl Project Timber)</t>
  </si>
  <si>
    <t>Total Capital</t>
  </si>
  <si>
    <t>FY 2001</t>
  </si>
  <si>
    <t>Base Business</t>
  </si>
  <si>
    <t>4th Qtr '01</t>
  </si>
  <si>
    <t>1st Qtr '02</t>
  </si>
  <si>
    <t>1st Qtr 2002</t>
  </si>
  <si>
    <t>Less: Maintenance Capital - Turnaround (excl APM)</t>
  </si>
  <si>
    <t>Less: Maintenance Capital -  APM</t>
  </si>
  <si>
    <t>Less: Maintenance Capital - Base</t>
  </si>
  <si>
    <t>Net Income per Unit - Cur Year</t>
  </si>
  <si>
    <t xml:space="preserve">                                        - Prior Year</t>
  </si>
  <si>
    <t>Six Month Income Summary</t>
  </si>
  <si>
    <t>EOTT ENERGY PARTNERS, L.P.</t>
  </si>
  <si>
    <t>Adjustments to Budget</t>
  </si>
  <si>
    <t>First Quarter 2001 based on recent trends</t>
  </si>
  <si>
    <t>EOR - Adjusted  January and February down by $1.8MM and $0.5MM, respectively,  due to lower trading margins as a result of the credit facility issue.</t>
  </si>
  <si>
    <t>Added back interest on $70MM of short term debt at 5.5% which was assumed to have been replaced by equity in the budget.  Increased LC fees based upon assumed $300MM of LCs at 300 basis points.</t>
  </si>
  <si>
    <t>First Quarter 2002 - current Forecast</t>
  </si>
  <si>
    <t>First quarter 2002 per original budget.</t>
  </si>
  <si>
    <t>Adjustments</t>
  </si>
  <si>
    <t>Interest</t>
  </si>
  <si>
    <t>EBDA</t>
  </si>
  <si>
    <t>Lower pipeline revenues</t>
  </si>
  <si>
    <t>Lower incentive accrual</t>
  </si>
  <si>
    <t>Liquids - Assumes EOTT is marketing using estimates of forward price curves</t>
  </si>
  <si>
    <t xml:space="preserve">   MTBE</t>
  </si>
  <si>
    <t xml:space="preserve">   Grid and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</si>
</sst>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dd\-mmm\-yy_)"/>
    <numFmt numFmtId="174" formatCode="hh:mm\ AM/PM_)"/>
    <numFmt numFmtId="175" formatCode="_(* #,##0_);_(* \(#,##0\);_(* &quot;-&quot;??_);_(@_)"/>
    <numFmt numFmtId="177" formatCode="_(&quot;$&quot;* #,##0.000_);_(&quot;$&quot;* \(#,##0.000\);_(&quot;$&quot;* &quot;-&quot;??_);_(@_)"/>
    <numFmt numFmtId="180" formatCode="_(&quot;$&quot;* #,##0_);_(&quot;$&quot;* \(#,##0\);_(&quot;$&quot;* &quot;-&quot;??_);_(@_)"/>
    <numFmt numFmtId="182" formatCode="0.00_);\(0.00\)"/>
    <numFmt numFmtId="184" formatCode="&quot;$&quot;#,##0.000"/>
    <numFmt numFmtId="186" formatCode="&quot;$&quot;#,##0.000_);\(&quot;$&quot;#,##0.000\)"/>
    <numFmt numFmtId="187" formatCode="_(&quot;$&quot;* #,##0.000_);_(&quot;$&quot;* \(#,##0.000\);_(&quot;$&quot;* &quot;-&quot;???_);_(@_)"/>
    <numFmt numFmtId="188" formatCode="_(* #,##0.0_);_(* \(#,##0.0\);_(* &quot;-&quot;?_);_(@_)"/>
    <numFmt numFmtId="190" formatCode="_(* #,##0.0000_);_(* \(#,##0.0000\);_(* &quot;-&quot;??_);_(@_)"/>
    <numFmt numFmtId="191" formatCode="_(* #,##0.000_);_(* \(#,##0.000\);_(* &quot;-&quot;??_);_(@_)"/>
  </numFmts>
  <fonts count="27" x14ac:knownFonts="1">
    <font>
      <sz val="8"/>
      <name val="Helv"/>
    </font>
    <font>
      <sz val="10"/>
      <name val="MS Sans Serif"/>
    </font>
    <font>
      <sz val="10"/>
      <name val="Helv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8"/>
      <color indexed="8"/>
      <name val="Helv"/>
    </font>
    <font>
      <b/>
      <sz val="12"/>
      <name val="Arial"/>
      <family val="2"/>
    </font>
    <font>
      <b/>
      <sz val="9"/>
      <color indexed="8"/>
      <name val="Arial"/>
      <family val="2"/>
    </font>
    <font>
      <sz val="12"/>
      <name val="Arial"/>
      <family val="2"/>
    </font>
    <font>
      <sz val="8"/>
      <name val="Helv"/>
    </font>
    <font>
      <b/>
      <sz val="8"/>
      <color indexed="8"/>
      <name val="Arial"/>
      <family val="2"/>
    </font>
    <font>
      <b/>
      <sz val="8"/>
      <color indexed="81"/>
      <name val="Tahoma"/>
    </font>
    <font>
      <b/>
      <sz val="10"/>
      <color indexed="81"/>
      <name val="Tahoma"/>
      <family val="2"/>
    </font>
    <font>
      <sz val="8"/>
      <color indexed="81"/>
      <name val="Tahoma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name val="Helv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37" fontId="0" fillId="0" borderId="0" applyBorder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326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175" fontId="6" fillId="0" borderId="0" xfId="0" applyNumberFormat="1" applyFont="1" applyAlignment="1" applyProtection="1">
      <alignment horizontal="centerContinuous"/>
    </xf>
    <xf numFmtId="37" fontId="6" fillId="0" borderId="0" xfId="0" applyFont="1" applyAlignment="1" applyProtection="1">
      <alignment horizontal="centerContinuous"/>
    </xf>
    <xf numFmtId="173" fontId="6" fillId="0" borderId="0" xfId="0" applyNumberFormat="1" applyFont="1" applyAlignment="1" applyProtection="1">
      <alignment horizontal="centerContinuous"/>
    </xf>
    <xf numFmtId="37" fontId="5" fillId="0" borderId="0" xfId="0" applyFont="1"/>
    <xf numFmtId="173" fontId="4" fillId="0" borderId="0" xfId="0" applyNumberFormat="1" applyFont="1" applyAlignment="1" applyProtection="1">
      <alignment horizontal="centerContinuous"/>
    </xf>
    <xf numFmtId="174" fontId="6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 applyProtection="1">
      <alignment horizontal="centerContinuous"/>
    </xf>
    <xf numFmtId="37" fontId="4" fillId="0" borderId="0" xfId="0" applyFont="1" applyProtection="1"/>
    <xf numFmtId="175" fontId="6" fillId="0" borderId="0" xfId="0" applyNumberFormat="1" applyFont="1" applyProtection="1"/>
    <xf numFmtId="37" fontId="6" fillId="0" borderId="0" xfId="0" applyFont="1" applyProtection="1"/>
    <xf numFmtId="37" fontId="5" fillId="0" borderId="1" xfId="0" applyFont="1" applyBorder="1"/>
    <xf numFmtId="37" fontId="7" fillId="0" borderId="2" xfId="0" applyFont="1" applyBorder="1" applyProtection="1"/>
    <xf numFmtId="37" fontId="7" fillId="0" borderId="3" xfId="0" applyFont="1" applyBorder="1" applyProtection="1"/>
    <xf numFmtId="175" fontId="6" fillId="0" borderId="3" xfId="0" applyNumberFormat="1" applyFont="1" applyBorder="1" applyAlignment="1" applyProtection="1">
      <alignment horizontal="center"/>
    </xf>
    <xf numFmtId="37" fontId="4" fillId="0" borderId="0" xfId="0" applyFont="1"/>
    <xf numFmtId="37" fontId="6" fillId="0" borderId="3" xfId="0" applyFont="1" applyBorder="1" applyProtection="1"/>
    <xf numFmtId="37" fontId="6" fillId="0" borderId="4" xfId="0" applyFont="1" applyBorder="1" applyProtection="1"/>
    <xf numFmtId="37" fontId="7" fillId="0" borderId="0" xfId="0" applyFont="1" applyProtection="1"/>
    <xf numFmtId="37" fontId="6" fillId="0" borderId="5" xfId="0" quotePrefix="1" applyFont="1" applyBorder="1" applyAlignment="1" applyProtection="1">
      <alignment horizontal="centerContinuous"/>
    </xf>
    <xf numFmtId="37" fontId="7" fillId="0" borderId="6" xfId="0" applyFont="1" applyBorder="1" applyAlignment="1" applyProtection="1">
      <alignment horizontal="centerContinuous"/>
    </xf>
    <xf numFmtId="37" fontId="6" fillId="0" borderId="6" xfId="0" applyFont="1" applyBorder="1" applyAlignment="1" applyProtection="1">
      <alignment horizontal="centerContinuous"/>
    </xf>
    <xf numFmtId="175" fontId="6" fillId="0" borderId="6" xfId="0" applyNumberFormat="1" applyFont="1" applyBorder="1" applyAlignment="1" applyProtection="1">
      <alignment horizontal="center"/>
    </xf>
    <xf numFmtId="37" fontId="4" fillId="0" borderId="1" xfId="0" applyFont="1" applyBorder="1"/>
    <xf numFmtId="37" fontId="6" fillId="0" borderId="0" xfId="0" applyFont="1" applyAlignment="1" applyProtection="1">
      <alignment horizontal="left"/>
    </xf>
    <xf numFmtId="37" fontId="6" fillId="0" borderId="0" xfId="0" applyNumberFormat="1" applyFont="1" applyProtection="1"/>
    <xf numFmtId="37" fontId="7" fillId="0" borderId="0" xfId="0" applyFont="1" applyAlignment="1" applyProtection="1">
      <alignment horizontal="left"/>
    </xf>
    <xf numFmtId="37" fontId="7" fillId="0" borderId="0" xfId="0" applyNumberFormat="1" applyFont="1" applyProtection="1">
      <protection locked="0"/>
    </xf>
    <xf numFmtId="37" fontId="7" fillId="0" borderId="0" xfId="0" applyNumberFormat="1" applyFont="1" applyProtection="1"/>
    <xf numFmtId="175" fontId="6" fillId="0" borderId="0" xfId="0" applyNumberFormat="1" applyFont="1" applyProtection="1">
      <protection locked="0"/>
    </xf>
    <xf numFmtId="37" fontId="5" fillId="0" borderId="0" xfId="0" applyFont="1" applyAlignment="1">
      <alignment horizontal="left"/>
    </xf>
    <xf numFmtId="37" fontId="8" fillId="0" borderId="0" xfId="0" applyFont="1"/>
    <xf numFmtId="175" fontId="6" fillId="0" borderId="1" xfId="0" applyNumberFormat="1" applyFont="1" applyBorder="1" applyProtection="1"/>
    <xf numFmtId="175" fontId="6" fillId="0" borderId="0" xfId="0" applyNumberFormat="1" applyFont="1" applyBorder="1" applyProtection="1"/>
    <xf numFmtId="37" fontId="7" fillId="0" borderId="0" xfId="0" quotePrefix="1" applyFont="1" applyAlignment="1" applyProtection="1">
      <alignment horizontal="left"/>
    </xf>
    <xf numFmtId="37" fontId="6" fillId="0" borderId="0" xfId="0" quotePrefix="1" applyFont="1" applyAlignment="1" applyProtection="1">
      <alignment horizontal="left"/>
    </xf>
    <xf numFmtId="175" fontId="6" fillId="0" borderId="1" xfId="0" applyNumberFormat="1" applyFont="1" applyBorder="1" applyProtection="1">
      <protection locked="0"/>
    </xf>
    <xf numFmtId="37" fontId="6" fillId="0" borderId="0" xfId="0" applyNumberFormat="1" applyFont="1" applyBorder="1" applyProtection="1"/>
    <xf numFmtId="37" fontId="5" fillId="0" borderId="0" xfId="0" applyFont="1" applyAlignment="1"/>
    <xf numFmtId="175" fontId="6" fillId="0" borderId="7" xfId="0" applyNumberFormat="1" applyFont="1" applyBorder="1" applyProtection="1"/>
    <xf numFmtId="37" fontId="7" fillId="0" borderId="0" xfId="0" applyNumberFormat="1" applyFont="1" applyBorder="1" applyProtection="1"/>
    <xf numFmtId="37" fontId="7" fillId="0" borderId="8" xfId="0" applyFont="1" applyBorder="1" applyProtection="1"/>
    <xf numFmtId="37" fontId="7" fillId="0" borderId="8" xfId="0" applyNumberFormat="1" applyFont="1" applyBorder="1" applyProtection="1"/>
    <xf numFmtId="175" fontId="6" fillId="0" borderId="8" xfId="0" applyNumberFormat="1" applyFont="1" applyBorder="1" applyProtection="1"/>
    <xf numFmtId="37" fontId="6" fillId="0" borderId="8" xfId="0" applyNumberFormat="1" applyFont="1" applyBorder="1" applyProtection="1"/>
    <xf numFmtId="37" fontId="7" fillId="0" borderId="0" xfId="0" applyFont="1" applyBorder="1" applyProtection="1"/>
    <xf numFmtId="175" fontId="6" fillId="0" borderId="6" xfId="0" quotePrefix="1" applyNumberFormat="1" applyFont="1" applyBorder="1" applyAlignment="1" applyProtection="1">
      <alignment horizontal="center"/>
    </xf>
    <xf numFmtId="175" fontId="6" fillId="0" borderId="0" xfId="0" applyNumberFormat="1" applyFont="1"/>
    <xf numFmtId="37" fontId="6" fillId="0" borderId="0" xfId="0" applyFont="1"/>
    <xf numFmtId="175" fontId="6" fillId="0" borderId="0" xfId="0" applyNumberFormat="1" applyFont="1" applyAlignment="1" applyProtection="1">
      <alignment horizontal="center"/>
    </xf>
    <xf numFmtId="41" fontId="6" fillId="0" borderId="0" xfId="0" applyNumberFormat="1" applyFont="1" applyProtection="1"/>
    <xf numFmtId="41" fontId="6" fillId="0" borderId="1" xfId="0" applyNumberFormat="1" applyFont="1" applyBorder="1" applyProtection="1"/>
    <xf numFmtId="37" fontId="4" fillId="0" borderId="0" xfId="0" quotePrefix="1" applyFont="1" applyAlignment="1" applyProtection="1">
      <alignment horizontal="left"/>
    </xf>
    <xf numFmtId="42" fontId="6" fillId="0" borderId="0" xfId="0" applyNumberFormat="1" applyFont="1" applyProtection="1"/>
    <xf numFmtId="42" fontId="6" fillId="0" borderId="9" xfId="0" applyNumberFormat="1" applyFont="1" applyBorder="1" applyProtection="1"/>
    <xf numFmtId="42" fontId="6" fillId="0" borderId="0" xfId="0" applyNumberFormat="1" applyFont="1" applyAlignment="1" applyProtection="1">
      <alignment horizontal="center"/>
    </xf>
    <xf numFmtId="175" fontId="6" fillId="0" borderId="1" xfId="0" applyNumberFormat="1" applyFont="1" applyBorder="1" applyAlignment="1" applyProtection="1">
      <alignment horizontal="center"/>
    </xf>
    <xf numFmtId="42" fontId="6" fillId="0" borderId="0" xfId="0" applyNumberFormat="1" applyFont="1" applyBorder="1" applyProtection="1"/>
    <xf numFmtId="175" fontId="9" fillId="0" borderId="0" xfId="0" applyNumberFormat="1" applyFont="1" applyProtection="1"/>
    <xf numFmtId="175" fontId="9" fillId="0" borderId="1" xfId="0" applyNumberFormat="1" applyFont="1" applyBorder="1" applyProtection="1">
      <protection locked="0"/>
    </xf>
    <xf numFmtId="175" fontId="9" fillId="0" borderId="1" xfId="0" applyNumberFormat="1" applyFont="1" applyBorder="1" applyProtection="1"/>
    <xf numFmtId="41" fontId="9" fillId="0" borderId="0" xfId="0" applyNumberFormat="1" applyFont="1" applyProtection="1"/>
    <xf numFmtId="175" fontId="6" fillId="0" borderId="0" xfId="0" applyNumberFormat="1" applyFont="1" applyBorder="1" applyAlignment="1" applyProtection="1">
      <alignment horizontal="center"/>
    </xf>
    <xf numFmtId="41" fontId="6" fillId="0" borderId="0" xfId="0" applyNumberFormat="1" applyFont="1" applyBorder="1" applyProtection="1"/>
    <xf numFmtId="175" fontId="6" fillId="0" borderId="10" xfId="0" applyNumberFormat="1" applyFont="1" applyBorder="1" applyAlignment="1" applyProtection="1">
      <alignment horizontal="center"/>
    </xf>
    <xf numFmtId="37" fontId="4" fillId="0" borderId="0" xfId="0" applyFont="1" applyBorder="1"/>
    <xf numFmtId="14" fontId="10" fillId="0" borderId="0" xfId="0" applyNumberFormat="1" applyFont="1" applyAlignment="1" applyProtection="1">
      <alignment horizontal="right"/>
    </xf>
    <xf numFmtId="18" fontId="10" fillId="0" borderId="0" xfId="0" applyNumberFormat="1" applyFont="1" applyAlignment="1" applyProtection="1">
      <alignment horizontal="right"/>
    </xf>
    <xf numFmtId="37" fontId="6" fillId="0" borderId="1" xfId="0" applyFont="1" applyBorder="1" applyAlignment="1" applyProtection="1">
      <alignment horizontal="center"/>
      <protection locked="0"/>
    </xf>
    <xf numFmtId="37" fontId="6" fillId="0" borderId="11" xfId="0" applyFont="1" applyBorder="1" applyAlignment="1" applyProtection="1">
      <alignment horizontal="center"/>
      <protection locked="0"/>
    </xf>
    <xf numFmtId="42" fontId="4" fillId="0" borderId="0" xfId="0" applyNumberFormat="1" applyFont="1"/>
    <xf numFmtId="41" fontId="9" fillId="0" borderId="1" xfId="0" applyNumberFormat="1" applyFont="1" applyBorder="1" applyProtection="1"/>
    <xf numFmtId="41" fontId="5" fillId="0" borderId="0" xfId="0" applyNumberFormat="1" applyFont="1"/>
    <xf numFmtId="41" fontId="7" fillId="0" borderId="0" xfId="0" applyNumberFormat="1" applyFont="1" applyProtection="1"/>
    <xf numFmtId="41" fontId="6" fillId="0" borderId="0" xfId="0" applyNumberFormat="1" applyFont="1" applyProtection="1">
      <protection locked="0"/>
    </xf>
    <xf numFmtId="41" fontId="5" fillId="0" borderId="0" xfId="0" applyNumberFormat="1" applyFont="1" applyAlignment="1">
      <alignment horizontal="left"/>
    </xf>
    <xf numFmtId="41" fontId="6" fillId="0" borderId="0" xfId="0" applyNumberFormat="1" applyFont="1" applyAlignment="1" applyProtection="1">
      <alignment horizontal="center"/>
    </xf>
    <xf numFmtId="41" fontId="6" fillId="0" borderId="1" xfId="0" applyNumberFormat="1" applyFont="1" applyBorder="1" applyProtection="1">
      <protection locked="0"/>
    </xf>
    <xf numFmtId="41" fontId="6" fillId="0" borderId="1" xfId="0" applyNumberFormat="1" applyFont="1" applyBorder="1" applyAlignment="1" applyProtection="1">
      <alignment horizontal="center"/>
    </xf>
    <xf numFmtId="41" fontId="6" fillId="0" borderId="0" xfId="0" applyNumberFormat="1" applyFont="1" applyBorder="1" applyAlignment="1" applyProtection="1">
      <alignment horizontal="center"/>
    </xf>
    <xf numFmtId="41" fontId="5" fillId="0" borderId="0" xfId="0" applyNumberFormat="1" applyFont="1" applyAlignment="1"/>
    <xf numFmtId="41" fontId="9" fillId="0" borderId="1" xfId="0" applyNumberFormat="1" applyFont="1" applyBorder="1" applyProtection="1">
      <protection locked="0"/>
    </xf>
    <xf numFmtId="41" fontId="6" fillId="0" borderId="7" xfId="0" applyNumberFormat="1" applyFont="1" applyBorder="1" applyProtection="1"/>
    <xf numFmtId="37" fontId="7" fillId="0" borderId="1" xfId="0" applyFont="1" applyBorder="1" applyProtection="1"/>
    <xf numFmtId="37" fontId="4" fillId="0" borderId="1" xfId="0" applyFont="1" applyBorder="1" applyAlignment="1" applyProtection="1">
      <alignment horizontal="centerContinuous"/>
    </xf>
    <xf numFmtId="37" fontId="7" fillId="0" borderId="1" xfId="0" applyFont="1" applyBorder="1" applyAlignment="1" applyProtection="1">
      <alignment horizontal="centerContinuous"/>
    </xf>
    <xf numFmtId="37" fontId="5" fillId="0" borderId="0" xfId="0" applyFont="1" applyBorder="1"/>
    <xf numFmtId="44" fontId="6" fillId="0" borderId="9" xfId="0" applyNumberFormat="1" applyFont="1" applyBorder="1" applyProtection="1"/>
    <xf numFmtId="44" fontId="7" fillId="0" borderId="0" xfId="0" applyNumberFormat="1" applyFont="1" applyBorder="1" applyProtection="1"/>
    <xf numFmtId="37" fontId="6" fillId="0" borderId="1" xfId="0" applyNumberFormat="1" applyFont="1" applyBorder="1" applyProtection="1"/>
    <xf numFmtId="175" fontId="6" fillId="0" borderId="7" xfId="0" applyNumberFormat="1" applyFont="1" applyBorder="1" applyProtection="1">
      <protection locked="0"/>
    </xf>
    <xf numFmtId="37" fontId="6" fillId="0" borderId="0" xfId="0" applyFont="1" applyBorder="1" applyProtection="1"/>
    <xf numFmtId="37" fontId="6" fillId="0" borderId="0" xfId="0" quotePrefix="1" applyFont="1" applyBorder="1" applyAlignment="1" applyProtection="1">
      <alignment horizontal="centerContinuous"/>
    </xf>
    <xf numFmtId="37" fontId="4" fillId="0" borderId="0" xfId="0" applyFont="1" applyBorder="1" applyAlignment="1" applyProtection="1">
      <alignment horizontal="centerContinuous"/>
    </xf>
    <xf numFmtId="37" fontId="7" fillId="0" borderId="0" xfId="0" applyFont="1" applyBorder="1" applyAlignment="1" applyProtection="1">
      <alignment horizontal="centerContinuous"/>
    </xf>
    <xf numFmtId="37" fontId="6" fillId="0" borderId="12" xfId="0" applyFont="1" applyBorder="1" applyProtection="1"/>
    <xf numFmtId="37" fontId="7" fillId="0" borderId="12" xfId="0" applyFont="1" applyBorder="1" applyProtection="1"/>
    <xf numFmtId="175" fontId="6" fillId="0" borderId="12" xfId="0" applyNumberFormat="1" applyFont="1" applyBorder="1" applyAlignment="1" applyProtection="1">
      <alignment horizontal="center"/>
    </xf>
    <xf numFmtId="37" fontId="4" fillId="0" borderId="12" xfId="0" applyFont="1" applyBorder="1"/>
    <xf numFmtId="175" fontId="7" fillId="0" borderId="6" xfId="0" quotePrefix="1" applyNumberFormat="1" applyFont="1" applyBorder="1" applyAlignment="1" applyProtection="1">
      <alignment horizontal="center"/>
    </xf>
    <xf numFmtId="175" fontId="7" fillId="0" borderId="0" xfId="0" applyNumberFormat="1" applyFont="1" applyAlignment="1" applyProtection="1">
      <alignment horizontal="center"/>
    </xf>
    <xf numFmtId="175" fontId="7" fillId="0" borderId="1" xfId="0" applyNumberFormat="1" applyFont="1" applyBorder="1" applyAlignment="1" applyProtection="1">
      <alignment horizontal="center"/>
    </xf>
    <xf numFmtId="42" fontId="7" fillId="0" borderId="0" xfId="0" quotePrefix="1" applyNumberFormat="1" applyFont="1" applyAlignment="1" applyProtection="1">
      <alignment horizontal="left"/>
    </xf>
    <xf numFmtId="175" fontId="6" fillId="0" borderId="0" xfId="0" applyNumberFormat="1" applyFont="1" applyBorder="1" applyAlignment="1" applyProtection="1">
      <alignment horizontal="centerContinuous"/>
    </xf>
    <xf numFmtId="37" fontId="7" fillId="0" borderId="0" xfId="0" quotePrefix="1" applyFont="1" applyBorder="1" applyAlignment="1" applyProtection="1">
      <alignment horizontal="centerContinuous"/>
    </xf>
    <xf numFmtId="37" fontId="7" fillId="0" borderId="1" xfId="0" quotePrefix="1" applyFont="1" applyBorder="1" applyAlignment="1" applyProtection="1">
      <alignment horizontal="centerContinuous"/>
    </xf>
    <xf numFmtId="175" fontId="7" fillId="0" borderId="1" xfId="0" quotePrefix="1" applyNumberFormat="1" applyFont="1" applyBorder="1" applyAlignment="1" applyProtection="1">
      <alignment horizontal="center"/>
    </xf>
    <xf numFmtId="175" fontId="7" fillId="0" borderId="0" xfId="0" quotePrefix="1" applyNumberFormat="1" applyFont="1" applyBorder="1" applyAlignment="1" applyProtection="1">
      <alignment horizontal="centerContinuous"/>
    </xf>
    <xf numFmtId="175" fontId="7" fillId="0" borderId="0" xfId="0" applyNumberFormat="1" applyFont="1" applyBorder="1" applyAlignment="1" applyProtection="1">
      <alignment horizontal="center"/>
    </xf>
    <xf numFmtId="37" fontId="7" fillId="0" borderId="0" xfId="0" applyFont="1" applyBorder="1" applyAlignment="1" applyProtection="1">
      <alignment horizontal="center"/>
      <protection locked="0"/>
    </xf>
    <xf numFmtId="37" fontId="7" fillId="0" borderId="0" xfId="0" applyFont="1" applyBorder="1" applyAlignment="1">
      <alignment horizontal="center"/>
    </xf>
    <xf numFmtId="37" fontId="7" fillId="0" borderId="1" xfId="0" applyFont="1" applyBorder="1" applyAlignment="1" applyProtection="1">
      <alignment horizontal="center"/>
      <protection locked="0"/>
    </xf>
    <xf numFmtId="37" fontId="7" fillId="0" borderId="1" xfId="0" applyFont="1" applyBorder="1" applyAlignment="1">
      <alignment horizontal="center"/>
    </xf>
    <xf numFmtId="37" fontId="3" fillId="0" borderId="0" xfId="0" applyFont="1" applyAlignment="1" applyProtection="1">
      <alignment horizontal="center"/>
    </xf>
    <xf numFmtId="37" fontId="6" fillId="0" borderId="0" xfId="0" applyFont="1" applyAlignment="1" applyProtection="1">
      <alignment horizontal="center"/>
    </xf>
    <xf numFmtId="37" fontId="6" fillId="0" borderId="0" xfId="0" quotePrefix="1" applyFont="1" applyAlignment="1" applyProtection="1">
      <alignment horizontal="center"/>
    </xf>
    <xf numFmtId="37" fontId="17" fillId="0" borderId="0" xfId="0" applyFont="1"/>
    <xf numFmtId="37" fontId="11" fillId="0" borderId="0" xfId="0" applyFont="1"/>
    <xf numFmtId="37" fontId="0" fillId="0" borderId="0" xfId="0" applyAlignment="1">
      <alignment horizontal="center"/>
    </xf>
    <xf numFmtId="37" fontId="18" fillId="0" borderId="0" xfId="0" applyFont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37" fontId="18" fillId="0" borderId="0" xfId="0" applyFont="1"/>
    <xf numFmtId="37" fontId="18" fillId="0" borderId="8" xfId="0" quotePrefix="1" applyFont="1" applyBorder="1" applyAlignment="1">
      <alignment horizontal="center"/>
    </xf>
    <xf numFmtId="37" fontId="18" fillId="0" borderId="8" xfId="0" applyFont="1" applyBorder="1" applyAlignment="1">
      <alignment horizontal="center"/>
    </xf>
    <xf numFmtId="37" fontId="18" fillId="0" borderId="0" xfId="0" applyFont="1" applyAlignment="1">
      <alignment horizontal="center"/>
    </xf>
    <xf numFmtId="44" fontId="19" fillId="0" borderId="0" xfId="0" applyNumberFormat="1" applyFont="1" applyAlignment="1"/>
    <xf numFmtId="177" fontId="0" fillId="0" borderId="0" xfId="0" applyNumberFormat="1" applyAlignment="1"/>
    <xf numFmtId="37" fontId="0" fillId="0" borderId="0" xfId="0" applyAlignment="1"/>
    <xf numFmtId="180" fontId="0" fillId="0" borderId="0" xfId="0" applyNumberFormat="1" applyAlignment="1"/>
    <xf numFmtId="37" fontId="0" fillId="0" borderId="0" xfId="0" quotePrefix="1" applyAlignment="1">
      <alignment horizontal="left"/>
    </xf>
    <xf numFmtId="37" fontId="18" fillId="0" borderId="0" xfId="0" quotePrefix="1" applyFont="1" applyAlignment="1">
      <alignment horizontal="left"/>
    </xf>
    <xf numFmtId="37" fontId="20" fillId="0" borderId="0" xfId="0" quotePrefix="1" applyFont="1" applyAlignment="1">
      <alignment horizontal="left"/>
    </xf>
    <xf numFmtId="37" fontId="20" fillId="0" borderId="0" xfId="0" applyFont="1"/>
    <xf numFmtId="8" fontId="20" fillId="0" borderId="0" xfId="2" applyFont="1" applyAlignment="1"/>
    <xf numFmtId="5" fontId="0" fillId="0" borderId="0" xfId="0" applyNumberFormat="1" applyAlignment="1"/>
    <xf numFmtId="37" fontId="21" fillId="0" borderId="0" xfId="0" applyFont="1" applyAlignment="1">
      <alignment horizontal="left"/>
    </xf>
    <xf numFmtId="37" fontId="21" fillId="0" borderId="0" xfId="0" applyFont="1"/>
    <xf numFmtId="39" fontId="20" fillId="0" borderId="0" xfId="0" applyNumberFormat="1" applyFont="1" applyAlignment="1">
      <alignment horizontal="center"/>
    </xf>
    <xf numFmtId="37" fontId="20" fillId="0" borderId="0" xfId="0" applyFont="1" applyAlignment="1">
      <alignment horizontal="center"/>
    </xf>
    <xf numFmtId="41" fontId="0" fillId="0" borderId="0" xfId="0" applyNumberFormat="1"/>
    <xf numFmtId="180" fontId="0" fillId="0" borderId="0" xfId="0" applyNumberFormat="1" applyFill="1" applyAlignment="1"/>
    <xf numFmtId="5" fontId="0" fillId="0" borderId="0" xfId="0" applyNumberFormat="1" applyFill="1" applyAlignment="1"/>
    <xf numFmtId="190" fontId="0" fillId="0" borderId="0" xfId="1" applyNumberFormat="1" applyFont="1"/>
    <xf numFmtId="191" fontId="0" fillId="0" borderId="0" xfId="1" applyNumberFormat="1" applyFont="1"/>
    <xf numFmtId="37" fontId="0" fillId="0" borderId="0" xfId="0" applyFill="1"/>
    <xf numFmtId="37" fontId="22" fillId="0" borderId="0" xfId="0" applyFont="1"/>
    <xf numFmtId="37" fontId="18" fillId="0" borderId="1" xfId="0" applyFont="1" applyBorder="1" applyAlignment="1">
      <alignment horizontal="centerContinuous"/>
    </xf>
    <xf numFmtId="37" fontId="23" fillId="0" borderId="0" xfId="0" applyFont="1"/>
    <xf numFmtId="37" fontId="23" fillId="0" borderId="0" xfId="0" applyFont="1" applyAlignment="1">
      <alignment horizontal="center"/>
    </xf>
    <xf numFmtId="37" fontId="23" fillId="0" borderId="0" xfId="0" applyFont="1" applyBorder="1" applyAlignment="1">
      <alignment horizontal="center"/>
    </xf>
    <xf numFmtId="37" fontId="23" fillId="0" borderId="1" xfId="0" applyFont="1" applyBorder="1" applyAlignment="1">
      <alignment horizontal="centerContinuous"/>
    </xf>
    <xf numFmtId="49" fontId="23" fillId="0" borderId="0" xfId="0" applyNumberFormat="1" applyFont="1" applyBorder="1" applyAlignment="1">
      <alignment horizontal="center"/>
    </xf>
    <xf numFmtId="44" fontId="23" fillId="0" borderId="0" xfId="0" applyNumberFormat="1" applyFont="1" applyAlignment="1"/>
    <xf numFmtId="44" fontId="23" fillId="0" borderId="0" xfId="0" applyNumberFormat="1" applyFont="1" applyBorder="1" applyAlignment="1"/>
    <xf numFmtId="186" fontId="23" fillId="0" borderId="0" xfId="0" applyNumberFormat="1" applyFont="1"/>
    <xf numFmtId="44" fontId="23" fillId="0" borderId="0" xfId="2" applyNumberFormat="1" applyFont="1" applyAlignment="1"/>
    <xf numFmtId="177" fontId="23" fillId="0" borderId="0" xfId="2" applyNumberFormat="1" applyFont="1" applyAlignment="1"/>
    <xf numFmtId="37" fontId="23" fillId="0" borderId="0" xfId="0" applyFont="1" applyAlignment="1"/>
    <xf numFmtId="180" fontId="23" fillId="0" borderId="0" xfId="2" applyNumberFormat="1" applyFont="1" applyAlignment="1"/>
    <xf numFmtId="6" fontId="23" fillId="0" borderId="0" xfId="0" applyNumberFormat="1" applyFont="1" applyAlignment="1"/>
    <xf numFmtId="180" fontId="23" fillId="0" borderId="0" xfId="0" applyNumberFormat="1" applyFont="1" applyAlignment="1"/>
    <xf numFmtId="37" fontId="23" fillId="0" borderId="0" xfId="0" applyFont="1" applyAlignment="1">
      <alignment horizontal="left"/>
    </xf>
    <xf numFmtId="37" fontId="23" fillId="0" borderId="0" xfId="0" quotePrefix="1" applyFont="1" applyAlignment="1">
      <alignment horizontal="left"/>
    </xf>
    <xf numFmtId="180" fontId="22" fillId="0" borderId="0" xfId="0" applyNumberFormat="1" applyFont="1" applyAlignment="1"/>
    <xf numFmtId="6" fontId="22" fillId="0" borderId="0" xfId="0" applyNumberFormat="1" applyFont="1" applyAlignment="1"/>
    <xf numFmtId="37" fontId="22" fillId="0" borderId="0" xfId="0" applyFont="1" applyAlignment="1"/>
    <xf numFmtId="180" fontId="22" fillId="0" borderId="0" xfId="2" applyNumberFormat="1" applyFont="1" applyAlignment="1"/>
    <xf numFmtId="41" fontId="22" fillId="0" borderId="0" xfId="0" applyNumberFormat="1" applyFont="1" applyAlignment="1"/>
    <xf numFmtId="37" fontId="20" fillId="0" borderId="0" xfId="0" applyFont="1" applyAlignment="1"/>
    <xf numFmtId="37" fontId="24" fillId="0" borderId="0" xfId="0" applyFont="1" applyAlignment="1"/>
    <xf numFmtId="37" fontId="22" fillId="0" borderId="1" xfId="0" applyFont="1" applyBorder="1" applyAlignment="1"/>
    <xf numFmtId="175" fontId="25" fillId="0" borderId="0" xfId="1" applyNumberFormat="1" applyFont="1" applyAlignment="1"/>
    <xf numFmtId="37" fontId="25" fillId="0" borderId="0" xfId="0" applyFont="1" applyAlignment="1"/>
    <xf numFmtId="37" fontId="25" fillId="0" borderId="0" xfId="0" applyFont="1"/>
    <xf numFmtId="37" fontId="22" fillId="0" borderId="0" xfId="0" applyFont="1" applyBorder="1" applyAlignment="1"/>
    <xf numFmtId="180" fontId="25" fillId="0" borderId="9" xfId="0" applyNumberFormat="1" applyFont="1" applyBorder="1" applyAlignment="1"/>
    <xf numFmtId="6" fontId="25" fillId="0" borderId="0" xfId="0" applyNumberFormat="1" applyFont="1" applyAlignment="1"/>
    <xf numFmtId="37" fontId="22" fillId="0" borderId="0" xfId="0" applyNumberFormat="1" applyFont="1" applyAlignment="1"/>
    <xf numFmtId="8" fontId="25" fillId="0" borderId="0" xfId="2" applyFont="1" applyAlignment="1"/>
    <xf numFmtId="8" fontId="25" fillId="0" borderId="13" xfId="2" applyFont="1" applyBorder="1" applyAlignment="1"/>
    <xf numFmtId="5" fontId="22" fillId="0" borderId="0" xfId="0" applyNumberFormat="1" applyFont="1" applyAlignment="1"/>
    <xf numFmtId="43" fontId="22" fillId="0" borderId="0" xfId="0" applyNumberFormat="1" applyFont="1" applyAlignment="1"/>
    <xf numFmtId="37" fontId="26" fillId="0" borderId="0" xfId="0" applyFont="1"/>
    <xf numFmtId="7" fontId="25" fillId="0" borderId="0" xfId="2" applyNumberFormat="1" applyFont="1" applyAlignment="1"/>
    <xf numFmtId="37" fontId="13" fillId="0" borderId="0" xfId="0" applyFont="1" applyAlignment="1"/>
    <xf numFmtId="37" fontId="4" fillId="0" borderId="0" xfId="0" applyFont="1" applyAlignment="1" applyProtection="1"/>
    <xf numFmtId="175" fontId="7" fillId="0" borderId="0" xfId="0" applyNumberFormat="1" applyFont="1" applyAlignment="1" applyProtection="1"/>
    <xf numFmtId="175" fontId="6" fillId="0" borderId="0" xfId="0" applyNumberFormat="1" applyFont="1" applyAlignment="1" applyProtection="1"/>
    <xf numFmtId="37" fontId="7" fillId="0" borderId="0" xfId="0" applyFont="1" applyAlignment="1" applyProtection="1">
      <protection locked="0"/>
    </xf>
    <xf numFmtId="37" fontId="7" fillId="0" borderId="0" xfId="0" applyFont="1" applyAlignment="1"/>
    <xf numFmtId="37" fontId="6" fillId="0" borderId="0" xfId="0" applyFont="1" applyAlignment="1"/>
    <xf numFmtId="37" fontId="5" fillId="0" borderId="0" xfId="0" applyFont="1" applyBorder="1" applyAlignment="1"/>
    <xf numFmtId="37" fontId="4" fillId="0" borderId="0" xfId="0" applyFont="1" applyBorder="1" applyAlignment="1"/>
    <xf numFmtId="37" fontId="13" fillId="0" borderId="0" xfId="0" applyFont="1" applyBorder="1" applyAlignment="1"/>
    <xf numFmtId="37" fontId="6" fillId="0" borderId="0" xfId="0" applyFont="1" applyBorder="1" applyAlignment="1"/>
    <xf numFmtId="37" fontId="7" fillId="0" borderId="0" xfId="0" applyFont="1" applyAlignment="1" applyProtection="1"/>
    <xf numFmtId="37" fontId="7" fillId="0" borderId="0" xfId="0" applyNumberFormat="1" applyFont="1" applyAlignment="1" applyProtection="1">
      <protection locked="0"/>
    </xf>
    <xf numFmtId="42" fontId="7" fillId="0" borderId="0" xfId="0" applyNumberFormat="1" applyFont="1" applyAlignment="1" applyProtection="1"/>
    <xf numFmtId="42" fontId="6" fillId="0" borderId="0" xfId="0" applyNumberFormat="1" applyFont="1" applyAlignment="1" applyProtection="1"/>
    <xf numFmtId="42" fontId="7" fillId="0" borderId="0" xfId="0" applyNumberFormat="1" applyFont="1" applyAlignment="1" applyProtection="1">
      <protection locked="0"/>
    </xf>
    <xf numFmtId="42" fontId="5" fillId="0" borderId="0" xfId="0" applyNumberFormat="1" applyFont="1" applyAlignment="1"/>
    <xf numFmtId="42" fontId="7" fillId="0" borderId="0" xfId="2" applyNumberFormat="1" applyFont="1" applyAlignment="1"/>
    <xf numFmtId="42" fontId="13" fillId="0" borderId="0" xfId="0" applyNumberFormat="1" applyFont="1" applyAlignment="1"/>
    <xf numFmtId="42" fontId="6" fillId="0" borderId="0" xfId="0" applyNumberFormat="1" applyFont="1" applyAlignment="1"/>
    <xf numFmtId="175" fontId="6" fillId="0" borderId="0" xfId="0" applyNumberFormat="1" applyFont="1" applyAlignment="1" applyProtection="1">
      <protection locked="0"/>
    </xf>
    <xf numFmtId="41" fontId="7" fillId="0" borderId="0" xfId="0" applyNumberFormat="1" applyFont="1" applyAlignment="1"/>
    <xf numFmtId="188" fontId="7" fillId="0" borderId="1" xfId="0" applyNumberFormat="1" applyFont="1" applyBorder="1" applyAlignment="1" applyProtection="1">
      <protection locked="0"/>
    </xf>
    <xf numFmtId="188" fontId="5" fillId="0" borderId="0" xfId="0" applyNumberFormat="1" applyFont="1" applyAlignment="1"/>
    <xf numFmtId="188" fontId="7" fillId="0" borderId="1" xfId="0" applyNumberFormat="1" applyFont="1" applyBorder="1" applyAlignment="1"/>
    <xf numFmtId="41" fontId="6" fillId="0" borderId="0" xfId="0" applyNumberFormat="1" applyFont="1" applyAlignment="1"/>
    <xf numFmtId="37" fontId="7" fillId="0" borderId="0" xfId="0" applyNumberFormat="1" applyFont="1" applyAlignment="1" applyProtection="1"/>
    <xf numFmtId="175" fontId="7" fillId="0" borderId="7" xfId="0" applyNumberFormat="1" applyFont="1" applyBorder="1" applyAlignment="1" applyProtection="1"/>
    <xf numFmtId="175" fontId="6" fillId="0" borderId="7" xfId="0" applyNumberFormat="1" applyFont="1" applyBorder="1" applyAlignment="1" applyProtection="1"/>
    <xf numFmtId="175" fontId="7" fillId="0" borderId="0" xfId="0" applyNumberFormat="1" applyFont="1" applyBorder="1" applyAlignment="1" applyProtection="1"/>
    <xf numFmtId="175" fontId="6" fillId="0" borderId="0" xfId="0" applyNumberFormat="1" applyFont="1" applyBorder="1" applyAlignment="1" applyProtection="1"/>
    <xf numFmtId="41" fontId="11" fillId="0" borderId="0" xfId="0" applyNumberFormat="1" applyFont="1" applyAlignment="1" applyProtection="1"/>
    <xf numFmtId="41" fontId="9" fillId="0" borderId="0" xfId="0" applyNumberFormat="1" applyFont="1" applyAlignment="1" applyProtection="1"/>
    <xf numFmtId="41" fontId="11" fillId="0" borderId="1" xfId="0" applyNumberFormat="1" applyFont="1" applyBorder="1" applyAlignment="1" applyProtection="1">
      <protection locked="0"/>
    </xf>
    <xf numFmtId="41" fontId="9" fillId="0" borderId="1" xfId="0" applyNumberFormat="1" applyFont="1" applyBorder="1" applyAlignment="1" applyProtection="1">
      <protection locked="0"/>
    </xf>
    <xf numFmtId="37" fontId="7" fillId="0" borderId="1" xfId="0" applyFont="1" applyBorder="1" applyAlignment="1" applyProtection="1">
      <protection locked="0"/>
    </xf>
    <xf numFmtId="37" fontId="6" fillId="0" borderId="1" xfId="0" applyFont="1" applyBorder="1" applyAlignment="1"/>
    <xf numFmtId="175" fontId="7" fillId="0" borderId="1" xfId="0" applyNumberFormat="1" applyFont="1" applyBorder="1" applyAlignment="1" applyProtection="1">
      <protection locked="0"/>
    </xf>
    <xf numFmtId="175" fontId="6" fillId="0" borderId="1" xfId="0" applyNumberFormat="1" applyFont="1" applyBorder="1" applyAlignment="1" applyProtection="1">
      <protection locked="0"/>
    </xf>
    <xf numFmtId="175" fontId="7" fillId="0" borderId="1" xfId="0" applyNumberFormat="1" applyFont="1" applyBorder="1" applyAlignment="1" applyProtection="1"/>
    <xf numFmtId="175" fontId="6" fillId="0" borderId="1" xfId="0" applyNumberFormat="1" applyFont="1" applyBorder="1" applyAlignment="1" applyProtection="1"/>
    <xf numFmtId="42" fontId="4" fillId="0" borderId="0" xfId="0" applyNumberFormat="1" applyFont="1" applyAlignment="1"/>
    <xf numFmtId="37" fontId="7" fillId="0" borderId="0" xfId="1" applyNumberFormat="1" applyFont="1" applyBorder="1" applyAlignment="1" applyProtection="1"/>
    <xf numFmtId="37" fontId="4" fillId="0" borderId="0" xfId="1" applyNumberFormat="1" applyFont="1" applyBorder="1" applyAlignment="1"/>
    <xf numFmtId="37" fontId="6" fillId="0" borderId="0" xfId="1" applyNumberFormat="1" applyFont="1" applyBorder="1" applyAlignment="1" applyProtection="1"/>
    <xf numFmtId="37" fontId="13" fillId="0" borderId="0" xfId="1" applyNumberFormat="1" applyFont="1" applyBorder="1" applyAlignment="1"/>
    <xf numFmtId="37" fontId="5" fillId="0" borderId="0" xfId="1" applyNumberFormat="1" applyFont="1" applyBorder="1" applyAlignment="1"/>
    <xf numFmtId="37" fontId="6" fillId="0" borderId="0" xfId="1" applyNumberFormat="1" applyFont="1" applyBorder="1" applyAlignment="1"/>
    <xf numFmtId="37" fontId="4" fillId="0" borderId="0" xfId="0" applyFont="1" applyAlignment="1"/>
    <xf numFmtId="37" fontId="4" fillId="0" borderId="0" xfId="1" applyNumberFormat="1" applyFont="1" applyAlignment="1"/>
    <xf numFmtId="37" fontId="13" fillId="0" borderId="0" xfId="1" applyNumberFormat="1" applyFont="1" applyAlignment="1"/>
    <xf numFmtId="37" fontId="7" fillId="0" borderId="0" xfId="1" applyNumberFormat="1" applyFont="1" applyAlignment="1" applyProtection="1">
      <protection locked="0"/>
    </xf>
    <xf numFmtId="37" fontId="5" fillId="0" borderId="0" xfId="1" applyNumberFormat="1" applyFont="1" applyAlignment="1"/>
    <xf numFmtId="37" fontId="7" fillId="0" borderId="0" xfId="1" applyNumberFormat="1" applyFont="1" applyAlignment="1"/>
    <xf numFmtId="37" fontId="6" fillId="0" borderId="0" xfId="1" applyNumberFormat="1" applyFont="1" applyAlignment="1"/>
    <xf numFmtId="37" fontId="11" fillId="0" borderId="1" xfId="1" applyNumberFormat="1" applyFont="1" applyBorder="1" applyAlignment="1" applyProtection="1"/>
    <xf numFmtId="37" fontId="9" fillId="0" borderId="1" xfId="1" applyNumberFormat="1" applyFont="1" applyBorder="1" applyAlignment="1" applyProtection="1"/>
    <xf numFmtId="37" fontId="6" fillId="0" borderId="1" xfId="1" applyNumberFormat="1" applyFont="1" applyBorder="1" applyAlignment="1" applyProtection="1"/>
    <xf numFmtId="37" fontId="6" fillId="0" borderId="1" xfId="1" applyNumberFormat="1" applyFont="1" applyBorder="1" applyAlignment="1"/>
    <xf numFmtId="42" fontId="7" fillId="0" borderId="9" xfId="0" applyNumberFormat="1" applyFont="1" applyBorder="1" applyAlignment="1" applyProtection="1"/>
    <xf numFmtId="42" fontId="6" fillId="0" borderId="9" xfId="0" applyNumberFormat="1" applyFont="1" applyBorder="1" applyAlignment="1" applyProtection="1"/>
    <xf numFmtId="187" fontId="6" fillId="0" borderId="0" xfId="0" applyNumberFormat="1" applyFont="1" applyBorder="1" applyAlignment="1" applyProtection="1"/>
    <xf numFmtId="187" fontId="4" fillId="0" borderId="0" xfId="0" applyNumberFormat="1" applyFont="1" applyAlignment="1"/>
    <xf numFmtId="187" fontId="7" fillId="0" borderId="0" xfId="0" applyNumberFormat="1" applyFont="1" applyBorder="1" applyAlignment="1" applyProtection="1"/>
    <xf numFmtId="187" fontId="13" fillId="0" borderId="0" xfId="0" applyNumberFormat="1" applyFont="1" applyAlignment="1"/>
    <xf numFmtId="187" fontId="6" fillId="0" borderId="0" xfId="0" applyNumberFormat="1" applyFont="1" applyAlignment="1" applyProtection="1">
      <protection locked="0"/>
    </xf>
    <xf numFmtId="187" fontId="6" fillId="0" borderId="0" xfId="0" applyNumberFormat="1" applyFont="1" applyAlignment="1"/>
    <xf numFmtId="184" fontId="6" fillId="0" borderId="0" xfId="0" applyNumberFormat="1" applyFont="1" applyBorder="1" applyAlignment="1" applyProtection="1"/>
    <xf numFmtId="37" fontId="6" fillId="0" borderId="0" xfId="0" applyFont="1" applyAlignment="1" applyProtection="1">
      <protection locked="0"/>
    </xf>
    <xf numFmtId="186" fontId="4" fillId="0" borderId="0" xfId="0" applyNumberFormat="1" applyFont="1" applyAlignment="1"/>
    <xf numFmtId="186" fontId="7" fillId="0" borderId="0" xfId="0" applyNumberFormat="1" applyFont="1" applyBorder="1" applyAlignment="1" applyProtection="1"/>
    <xf numFmtId="186" fontId="13" fillId="0" borderId="0" xfId="0" applyNumberFormat="1" applyFont="1" applyAlignment="1"/>
    <xf numFmtId="186" fontId="6" fillId="0" borderId="0" xfId="0" applyNumberFormat="1" applyFont="1" applyAlignment="1" applyProtection="1">
      <protection locked="0"/>
    </xf>
    <xf numFmtId="186" fontId="6" fillId="0" borderId="0" xfId="0" applyNumberFormat="1" applyFont="1" applyAlignment="1"/>
    <xf numFmtId="42" fontId="6" fillId="0" borderId="0" xfId="0" applyNumberFormat="1" applyFont="1" applyBorder="1" applyAlignment="1" applyProtection="1"/>
    <xf numFmtId="42" fontId="6" fillId="0" borderId="0" xfId="2" applyNumberFormat="1" applyFont="1" applyBorder="1" applyAlignment="1" applyProtection="1"/>
    <xf numFmtId="42" fontId="6" fillId="0" borderId="0" xfId="0" applyNumberFormat="1" applyFont="1" applyAlignment="1" applyProtection="1">
      <protection locked="0"/>
    </xf>
    <xf numFmtId="37" fontId="12" fillId="0" borderId="0" xfId="0" applyFont="1" applyAlignment="1"/>
    <xf numFmtId="37" fontId="7" fillId="0" borderId="8" xfId="0" applyFont="1" applyBorder="1" applyAlignment="1" applyProtection="1"/>
    <xf numFmtId="37" fontId="7" fillId="0" borderId="8" xfId="0" applyNumberFormat="1" applyFont="1" applyBorder="1" applyAlignment="1" applyProtection="1"/>
    <xf numFmtId="175" fontId="7" fillId="0" borderId="8" xfId="0" applyNumberFormat="1" applyFont="1" applyBorder="1" applyAlignment="1" applyProtection="1"/>
    <xf numFmtId="175" fontId="6" fillId="0" borderId="8" xfId="0" applyNumberFormat="1" applyFont="1" applyBorder="1" applyAlignment="1" applyProtection="1"/>
    <xf numFmtId="175" fontId="7" fillId="0" borderId="0" xfId="0" applyNumberFormat="1" applyFont="1" applyAlignment="1"/>
    <xf numFmtId="175" fontId="6" fillId="0" borderId="0" xfId="0" applyNumberFormat="1" applyFont="1" applyAlignment="1"/>
    <xf numFmtId="175" fontId="6" fillId="0" borderId="0" xfId="0" quotePrefix="1" applyNumberFormat="1" applyFont="1" applyBorder="1" applyAlignment="1" applyProtection="1">
      <alignment horizontal="center"/>
    </xf>
    <xf numFmtId="37" fontId="5" fillId="0" borderId="0" xfId="0" applyFont="1" applyBorder="1" applyAlignment="1">
      <alignment horizontal="left"/>
    </xf>
    <xf numFmtId="175" fontId="6" fillId="0" borderId="0" xfId="0" applyNumberFormat="1" applyFont="1" applyBorder="1" applyAlignment="1" applyProtection="1">
      <protection locked="0"/>
    </xf>
    <xf numFmtId="37" fontId="9" fillId="0" borderId="0" xfId="1" applyNumberFormat="1" applyFont="1" applyBorder="1" applyAlignment="1" applyProtection="1"/>
    <xf numFmtId="187" fontId="4" fillId="0" borderId="0" xfId="0" applyNumberFormat="1" applyFont="1" applyBorder="1" applyAlignment="1"/>
    <xf numFmtId="186" fontId="4" fillId="0" borderId="0" xfId="0" applyNumberFormat="1" applyFont="1" applyBorder="1" applyAlignment="1"/>
    <xf numFmtId="37" fontId="7" fillId="0" borderId="0" xfId="0" applyNumberFormat="1" applyFont="1" applyBorder="1" applyAlignment="1" applyProtection="1"/>
    <xf numFmtId="43" fontId="5" fillId="0" borderId="0" xfId="0" applyNumberFormat="1" applyFont="1" applyAlignment="1"/>
    <xf numFmtId="38" fontId="6" fillId="0" borderId="0" xfId="1" applyNumberFormat="1" applyFont="1" applyAlignment="1"/>
    <xf numFmtId="182" fontId="5" fillId="0" borderId="0" xfId="0" applyNumberFormat="1" applyFont="1" applyAlignment="1"/>
    <xf numFmtId="8" fontId="20" fillId="0" borderId="0" xfId="2" applyFont="1"/>
    <xf numFmtId="175" fontId="7" fillId="0" borderId="0" xfId="0" applyNumberFormat="1" applyFont="1" applyBorder="1" applyAlignment="1" applyProtection="1">
      <alignment horizontal="centerContinuous"/>
    </xf>
    <xf numFmtId="175" fontId="7" fillId="0" borderId="6" xfId="0" applyNumberFormat="1" applyFont="1" applyBorder="1" applyAlignment="1" applyProtection="1">
      <alignment horizontal="center"/>
    </xf>
    <xf numFmtId="0" fontId="3" fillId="0" borderId="1" xfId="0" applyNumberFormat="1" applyFont="1" applyBorder="1" applyAlignment="1" applyProtection="1">
      <alignment horizontal="centerContinuous"/>
      <protection locked="0"/>
    </xf>
    <xf numFmtId="37" fontId="5" fillId="0" borderId="1" xfId="0" applyFont="1" applyBorder="1" applyAlignment="1">
      <alignment horizontal="centerContinuous"/>
    </xf>
    <xf numFmtId="37" fontId="7" fillId="0" borderId="1" xfId="0" applyFont="1" applyBorder="1" applyAlignment="1">
      <alignment horizontal="centerContinuous"/>
    </xf>
    <xf numFmtId="37" fontId="13" fillId="0" borderId="1" xfId="0" applyFont="1" applyBorder="1" applyAlignment="1">
      <alignment horizontal="centerContinuous"/>
    </xf>
    <xf numFmtId="37" fontId="6" fillId="0" borderId="1" xfId="0" applyFont="1" applyBorder="1" applyAlignment="1">
      <alignment horizontal="centerContinuous"/>
    </xf>
    <xf numFmtId="0" fontId="6" fillId="0" borderId="1" xfId="0" applyNumberFormat="1" applyFont="1" applyBorder="1" applyAlignment="1">
      <alignment horizontal="centerContinuous"/>
    </xf>
    <xf numFmtId="0" fontId="6" fillId="0" borderId="1" xfId="0" applyNumberFormat="1" applyFont="1" applyBorder="1" applyAlignment="1" applyProtection="1">
      <alignment horizontal="centerContinuous"/>
    </xf>
    <xf numFmtId="0" fontId="5" fillId="0" borderId="1" xfId="0" applyNumberFormat="1" applyFont="1" applyBorder="1" applyAlignment="1">
      <alignment horizontal="centerContinuous"/>
    </xf>
    <xf numFmtId="42" fontId="7" fillId="0" borderId="0" xfId="0" applyNumberFormat="1" applyFont="1" applyAlignment="1"/>
    <xf numFmtId="42" fontId="7" fillId="0" borderId="0" xfId="0" applyNumberFormat="1" applyFont="1" applyAlignment="1" applyProtection="1">
      <alignment horizontal="center"/>
    </xf>
    <xf numFmtId="175" fontId="7" fillId="0" borderId="0" xfId="0" applyNumberFormat="1" applyFont="1" applyAlignment="1" applyProtection="1">
      <protection locked="0"/>
    </xf>
    <xf numFmtId="37" fontId="7" fillId="0" borderId="1" xfId="0" applyFont="1" applyBorder="1" applyAlignment="1"/>
    <xf numFmtId="43" fontId="7" fillId="0" borderId="0" xfId="0" applyNumberFormat="1" applyFont="1" applyAlignment="1"/>
    <xf numFmtId="43" fontId="11" fillId="0" borderId="1" xfId="0" applyNumberFormat="1" applyFont="1" applyBorder="1" applyAlignment="1" applyProtection="1">
      <protection locked="0"/>
    </xf>
    <xf numFmtId="37" fontId="7" fillId="0" borderId="0" xfId="1" applyNumberFormat="1" applyFont="1" applyBorder="1" applyAlignment="1"/>
    <xf numFmtId="37" fontId="7" fillId="0" borderId="1" xfId="1" applyNumberFormat="1" applyFont="1" applyBorder="1" applyAlignment="1"/>
    <xf numFmtId="38" fontId="6" fillId="0" borderId="1" xfId="1" applyNumberFormat="1" applyFont="1" applyBorder="1" applyAlignment="1"/>
    <xf numFmtId="42" fontId="22" fillId="0" borderId="0" xfId="0" applyNumberFormat="1" applyFont="1"/>
    <xf numFmtId="37" fontId="22" fillId="0" borderId="1" xfId="0" applyFont="1" applyBorder="1"/>
    <xf numFmtId="180" fontId="25" fillId="0" borderId="0" xfId="0" applyNumberFormat="1" applyFont="1" applyAlignment="1"/>
    <xf numFmtId="42" fontId="25" fillId="0" borderId="9" xfId="0" applyNumberFormat="1" applyFont="1" applyBorder="1"/>
    <xf numFmtId="177" fontId="25" fillId="0" borderId="0" xfId="2" applyNumberFormat="1" applyFont="1" applyAlignment="1"/>
    <xf numFmtId="8" fontId="22" fillId="0" borderId="0" xfId="2" applyFont="1"/>
    <xf numFmtId="37" fontId="22" fillId="0" borderId="14" xfId="0" applyFont="1" applyBorder="1"/>
    <xf numFmtId="180" fontId="22" fillId="0" borderId="14" xfId="0" applyNumberFormat="1" applyFont="1" applyBorder="1" applyAlignment="1"/>
    <xf numFmtId="37" fontId="21" fillId="0" borderId="0" xfId="0" applyFont="1" applyAlignment="1">
      <alignment wrapText="1"/>
    </xf>
    <xf numFmtId="37" fontId="5" fillId="0" borderId="0" xfId="0" applyFont="1" applyFill="1" applyAlignment="1"/>
    <xf numFmtId="37" fontId="7" fillId="0" borderId="0" xfId="0" applyFont="1" applyFill="1" applyAlignment="1" applyProtection="1">
      <alignment horizontal="left"/>
    </xf>
    <xf numFmtId="37" fontId="7" fillId="0" borderId="0" xfId="0" applyFont="1" applyFill="1" applyAlignment="1" applyProtection="1"/>
    <xf numFmtId="37" fontId="5" fillId="0" borderId="0" xfId="0" applyFont="1" applyFill="1" applyAlignment="1">
      <alignment horizontal="left"/>
    </xf>
    <xf numFmtId="175" fontId="7" fillId="0" borderId="0" xfId="0" applyNumberFormat="1" applyFont="1" applyFill="1" applyAlignment="1" applyProtection="1">
      <alignment horizontal="center"/>
    </xf>
    <xf numFmtId="37" fontId="5" fillId="0" borderId="0" xfId="0" applyFont="1" applyFill="1" applyBorder="1" applyAlignment="1">
      <alignment horizontal="left"/>
    </xf>
    <xf numFmtId="175" fontId="6" fillId="0" borderId="0" xfId="0" applyNumberFormat="1" applyFont="1" applyFill="1" applyBorder="1" applyAlignment="1" applyProtection="1">
      <alignment horizontal="center"/>
    </xf>
    <xf numFmtId="175" fontId="6" fillId="0" borderId="0" xfId="0" applyNumberFormat="1" applyFont="1" applyFill="1" applyAlignment="1" applyProtection="1">
      <protection locked="0"/>
    </xf>
    <xf numFmtId="37" fontId="13" fillId="0" borderId="0" xfId="0" applyFont="1" applyFill="1" applyAlignment="1"/>
    <xf numFmtId="37" fontId="7" fillId="0" borderId="0" xfId="0" applyFont="1" applyFill="1" applyAlignment="1" applyProtection="1">
      <protection locked="0"/>
    </xf>
    <xf numFmtId="37" fontId="7" fillId="0" borderId="0" xfId="0" applyFont="1" applyFill="1" applyAlignment="1"/>
    <xf numFmtId="37" fontId="6" fillId="0" borderId="0" xfId="0" applyFont="1" applyFill="1" applyAlignment="1"/>
    <xf numFmtId="41" fontId="7" fillId="0" borderId="0" xfId="0" applyNumberFormat="1" applyFont="1" applyFill="1" applyAlignment="1"/>
    <xf numFmtId="175" fontId="7" fillId="0" borderId="0" xfId="0" applyNumberFormat="1" applyFont="1" applyFill="1" applyAlignment="1" applyProtection="1">
      <protection locked="0"/>
    </xf>
    <xf numFmtId="38" fontId="6" fillId="0" borderId="0" xfId="1" applyNumberFormat="1" applyFont="1" applyFill="1" applyAlignment="1"/>
    <xf numFmtId="37" fontId="21" fillId="0" borderId="0" xfId="0" applyFont="1" applyAlignment="1">
      <alignment horizontal="center"/>
    </xf>
    <xf numFmtId="37" fontId="18" fillId="0" borderId="14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partmental%20Shares\Financial%20Reporting\2002%20BUDGET\2002%20BUDGET%20ROLL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onthly margin detail"/>
      <sheetName val="BOD SUMMARY"/>
      <sheetName val="monthly"/>
      <sheetName val="consolidation"/>
      <sheetName val="BOD PRESENTATION"/>
      <sheetName val="MARKETING REV"/>
      <sheetName val="pipeline summary"/>
      <sheetName val="PLP DETAIL"/>
      <sheetName val="OLP DETAIL"/>
      <sheetName val="EPSC EXPENSE RECAP"/>
      <sheetName val="ETS RCAP DETAIL"/>
      <sheetName val="ets allocaation"/>
      <sheetName val="M&amp;A and FLEET"/>
      <sheetName val="CORPORATE "/>
      <sheetName val="property taxes"/>
      <sheetName val="Interest"/>
      <sheetName val="EBIDA RECON"/>
      <sheetName val="BUS DEV"/>
      <sheetName val="GULF COAST"/>
      <sheetName val="MID CONTINENT"/>
      <sheetName val="ROCKIES"/>
      <sheetName val="west texas"/>
      <sheetName val="W. COAST"/>
      <sheetName val="toti and benefits"/>
      <sheetName val="DEPRE RECAP"/>
    </sheetNames>
    <sheetDataSet>
      <sheetData sheetId="0"/>
      <sheetData sheetId="1">
        <row r="148">
          <cell r="E148">
            <v>6986.2939999999999</v>
          </cell>
        </row>
        <row r="149">
          <cell r="B149">
            <v>10699.760999999999</v>
          </cell>
          <cell r="C149">
            <v>9718.1039999999994</v>
          </cell>
          <cell r="E149">
            <v>11015.091</v>
          </cell>
        </row>
        <row r="150">
          <cell r="B150">
            <v>583.33299999999997</v>
          </cell>
          <cell r="C150">
            <v>583.33299999999997</v>
          </cell>
          <cell r="E150">
            <v>583.33299999999997</v>
          </cell>
        </row>
        <row r="151">
          <cell r="B151">
            <v>1142.0740000000001</v>
          </cell>
          <cell r="C151">
            <v>1031.5509999999999</v>
          </cell>
          <cell r="E151">
            <v>1142.0740000000001</v>
          </cell>
        </row>
        <row r="152">
          <cell r="B152">
            <v>160.28299999999999</v>
          </cell>
          <cell r="C152">
            <v>144.77199999999999</v>
          </cell>
          <cell r="E152">
            <v>160.28299999999999</v>
          </cell>
        </row>
      </sheetData>
      <sheetData sheetId="2"/>
      <sheetData sheetId="3">
        <row r="22">
          <cell r="C22">
            <v>12821.645833333334</v>
          </cell>
          <cell r="D22">
            <v>12821.645833333334</v>
          </cell>
          <cell r="E22">
            <v>12821.645833333334</v>
          </cell>
        </row>
        <row r="23">
          <cell r="C23">
            <v>3744</v>
          </cell>
          <cell r="D23">
            <v>4260</v>
          </cell>
          <cell r="E23">
            <v>3585</v>
          </cell>
        </row>
        <row r="33">
          <cell r="C33">
            <v>3705.5</v>
          </cell>
          <cell r="D33">
            <v>3705.5</v>
          </cell>
          <cell r="E33">
            <v>3705.5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abSelected="1" topLeftCell="A5" workbookViewId="0">
      <selection activeCell="J15" sqref="J15"/>
    </sheetView>
  </sheetViews>
  <sheetFormatPr defaultRowHeight="10.199999999999999" x14ac:dyDescent="0.2"/>
  <cols>
    <col min="1" max="1" width="4.140625" customWidth="1"/>
    <col min="2" max="2" width="37.28515625" customWidth="1"/>
    <col min="4" max="4" width="13.140625" customWidth="1"/>
    <col min="5" max="5" width="2.28515625" customWidth="1"/>
    <col min="6" max="6" width="12.85546875" customWidth="1"/>
    <col min="7" max="7" width="2.28515625" customWidth="1"/>
    <col min="8" max="8" width="13.140625" customWidth="1"/>
    <col min="9" max="9" width="2.28515625" customWidth="1"/>
    <col min="10" max="10" width="13.140625" customWidth="1"/>
    <col min="11" max="11" width="3" customWidth="1"/>
    <col min="12" max="12" width="13.140625" hidden="1" customWidth="1"/>
    <col min="13" max="13" width="2.28515625" hidden="1" customWidth="1"/>
    <col min="14" max="14" width="13.28515625" hidden="1" customWidth="1"/>
    <col min="15" max="15" width="14.85546875" customWidth="1"/>
    <col min="16" max="16" width="9.7109375" bestFit="1" customWidth="1"/>
  </cols>
  <sheetData>
    <row r="1" spans="1:15" ht="17.399999999999999" x14ac:dyDescent="0.3">
      <c r="A1" s="118" t="s">
        <v>90</v>
      </c>
    </row>
    <row r="2" spans="1:15" ht="15" x14ac:dyDescent="0.25">
      <c r="A2" s="119" t="s">
        <v>91</v>
      </c>
    </row>
    <row r="3" spans="1:15" ht="11.4" x14ac:dyDescent="0.2">
      <c r="A3" s="147" t="s">
        <v>92</v>
      </c>
      <c r="B3" s="146"/>
    </row>
    <row r="4" spans="1:15" x14ac:dyDescent="0.2"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</row>
    <row r="5" spans="1:15" x14ac:dyDescent="0.2"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5" x14ac:dyDescent="0.2">
      <c r="A6" s="149"/>
      <c r="B6" s="149"/>
      <c r="C6" s="149"/>
      <c r="D6" s="150"/>
      <c r="E6" s="150"/>
      <c r="F6" s="150"/>
      <c r="G6" s="150"/>
      <c r="H6" s="150"/>
      <c r="I6" s="150"/>
      <c r="J6" s="150"/>
      <c r="K6" s="150"/>
      <c r="L6" s="151"/>
      <c r="M6" s="150"/>
      <c r="N6" s="120"/>
    </row>
    <row r="7" spans="1:15" ht="13.2" x14ac:dyDescent="0.25">
      <c r="A7" s="149"/>
      <c r="B7" s="149"/>
      <c r="C7" s="149"/>
      <c r="D7" s="148" t="s">
        <v>93</v>
      </c>
      <c r="E7" s="152"/>
      <c r="F7" s="152"/>
      <c r="G7" s="152"/>
      <c r="H7" s="152"/>
      <c r="I7" s="121"/>
      <c r="J7" s="121" t="s">
        <v>84</v>
      </c>
      <c r="K7" s="150"/>
      <c r="L7" s="122" t="s">
        <v>120</v>
      </c>
      <c r="M7" s="153"/>
      <c r="N7" s="122" t="s">
        <v>94</v>
      </c>
      <c r="O7" s="121" t="s">
        <v>84</v>
      </c>
    </row>
    <row r="8" spans="1:15" s="123" customFormat="1" ht="13.8" thickBot="1" x14ac:dyDescent="0.3">
      <c r="D8" s="124" t="s">
        <v>25</v>
      </c>
      <c r="E8" s="125"/>
      <c r="F8" s="125" t="s">
        <v>27</v>
      </c>
      <c r="G8" s="121"/>
      <c r="H8" s="125" t="s">
        <v>28</v>
      </c>
      <c r="I8" s="121"/>
      <c r="J8" s="125" t="s">
        <v>29</v>
      </c>
      <c r="K8" s="126"/>
      <c r="L8" s="125" t="s">
        <v>84</v>
      </c>
      <c r="M8" s="121"/>
      <c r="N8" s="125" t="s">
        <v>3</v>
      </c>
      <c r="O8" s="125" t="s">
        <v>124</v>
      </c>
    </row>
    <row r="9" spans="1:15" ht="14.25" hidden="1" customHeight="1" x14ac:dyDescent="0.25">
      <c r="A9" s="149" t="s">
        <v>95</v>
      </c>
      <c r="B9" s="149"/>
      <c r="C9" s="149"/>
      <c r="D9" s="154">
        <v>3.9051999999999993</v>
      </c>
      <c r="E9" s="154"/>
      <c r="F9" s="154">
        <v>2.7094999999999998</v>
      </c>
      <c r="G9" s="155"/>
      <c r="H9" s="154">
        <v>3.4172666666666665</v>
      </c>
      <c r="I9" s="154"/>
      <c r="J9" s="127">
        <v>2.9116999999999997</v>
      </c>
      <c r="K9" s="154"/>
      <c r="L9" s="154">
        <v>3.2359166666666663</v>
      </c>
      <c r="M9" s="156"/>
      <c r="N9" s="128">
        <v>3.85</v>
      </c>
    </row>
    <row r="10" spans="1:15" hidden="1" x14ac:dyDescent="0.2">
      <c r="A10" s="149" t="s">
        <v>96</v>
      </c>
      <c r="B10" s="149"/>
      <c r="C10" s="149"/>
      <c r="D10" s="154">
        <v>3.6936</v>
      </c>
      <c r="E10" s="154"/>
      <c r="F10" s="154">
        <v>3.8107666666666673</v>
      </c>
      <c r="G10" s="154"/>
      <c r="H10" s="154">
        <v>2.0464666666666669</v>
      </c>
      <c r="I10" s="154"/>
      <c r="J10" s="154">
        <v>2.1501000000000001</v>
      </c>
      <c r="K10" s="154"/>
      <c r="L10" s="157">
        <v>2.9252333333333338</v>
      </c>
      <c r="M10" s="149"/>
      <c r="N10" s="129"/>
    </row>
    <row r="11" spans="1:15" ht="7.5" hidden="1" customHeight="1" x14ac:dyDescent="0.2">
      <c r="A11" s="149"/>
      <c r="B11" s="149"/>
      <c r="C11" s="149"/>
      <c r="D11" s="158"/>
      <c r="E11" s="159"/>
      <c r="F11" s="158"/>
      <c r="G11" s="159"/>
      <c r="H11" s="158"/>
      <c r="I11" s="159"/>
      <c r="J11" s="158"/>
      <c r="K11" s="159"/>
      <c r="L11" s="159"/>
      <c r="M11" s="149"/>
      <c r="N11" s="129"/>
    </row>
    <row r="12" spans="1:15" ht="14.25" hidden="1" customHeight="1" x14ac:dyDescent="0.2">
      <c r="A12" s="149" t="s">
        <v>97</v>
      </c>
      <c r="B12" s="149"/>
      <c r="C12" s="149"/>
      <c r="D12" s="160">
        <v>60055</v>
      </c>
      <c r="E12" s="161"/>
      <c r="F12" s="162">
        <v>59649</v>
      </c>
      <c r="G12" s="161"/>
      <c r="H12" s="162">
        <v>56144</v>
      </c>
      <c r="I12" s="161"/>
      <c r="J12" s="162">
        <v>58472</v>
      </c>
      <c r="K12" s="161"/>
      <c r="L12" s="162">
        <v>234320</v>
      </c>
      <c r="M12" s="150"/>
      <c r="N12" s="130">
        <v>238534</v>
      </c>
    </row>
    <row r="13" spans="1:15" ht="7.5" customHeight="1" x14ac:dyDescent="0.2">
      <c r="A13" s="149"/>
      <c r="B13" s="149"/>
      <c r="C13" s="149"/>
      <c r="D13" s="160"/>
      <c r="E13" s="161"/>
      <c r="F13" s="162"/>
      <c r="G13" s="161"/>
      <c r="H13" s="162"/>
      <c r="I13" s="161"/>
      <c r="J13" s="162"/>
      <c r="K13" s="161"/>
      <c r="L13" s="162"/>
      <c r="M13" s="150"/>
      <c r="N13" s="130"/>
    </row>
    <row r="14" spans="1:15" ht="14.25" customHeight="1" x14ac:dyDescent="0.25">
      <c r="A14" s="132" t="s">
        <v>98</v>
      </c>
      <c r="B14" s="149"/>
      <c r="C14" s="149"/>
      <c r="D14" s="149"/>
      <c r="E14" s="149"/>
      <c r="F14" s="149"/>
      <c r="G14" s="161"/>
      <c r="H14" s="162"/>
      <c r="I14" s="161"/>
      <c r="J14" s="162"/>
      <c r="K14" s="161"/>
      <c r="L14" s="162"/>
      <c r="M14" s="149"/>
      <c r="N14" s="130"/>
    </row>
    <row r="15" spans="1:15" ht="14.25" customHeight="1" x14ac:dyDescent="0.2">
      <c r="A15" s="149"/>
      <c r="B15" s="163" t="s">
        <v>121</v>
      </c>
      <c r="C15" s="149"/>
      <c r="D15" s="165">
        <v>22071.170252579308</v>
      </c>
      <c r="E15" s="166"/>
      <c r="F15" s="165">
        <v>20478</v>
      </c>
      <c r="G15" s="167"/>
      <c r="H15" s="168">
        <v>16261</v>
      </c>
      <c r="I15" s="167"/>
      <c r="J15" s="168">
        <f>J19-J18</f>
        <v>10005</v>
      </c>
      <c r="K15" s="167"/>
      <c r="L15" s="168">
        <f>D15+F15+H15+J15</f>
        <v>68815.170252579308</v>
      </c>
      <c r="M15" s="147"/>
      <c r="N15" s="167"/>
      <c r="O15" s="300">
        <f>O19-O18</f>
        <v>17309.348499999993</v>
      </c>
    </row>
    <row r="16" spans="1:15" ht="14.25" hidden="1" customHeight="1" x14ac:dyDescent="0.2">
      <c r="A16" s="149"/>
      <c r="B16" s="164" t="s">
        <v>99</v>
      </c>
      <c r="C16" s="149"/>
      <c r="D16" s="167"/>
      <c r="E16" s="167"/>
      <c r="F16" s="169"/>
      <c r="G16" s="167"/>
      <c r="H16" s="170"/>
      <c r="I16" s="171"/>
      <c r="J16" s="170"/>
      <c r="K16" s="171"/>
      <c r="L16" s="171">
        <v>0</v>
      </c>
      <c r="M16" s="147"/>
      <c r="N16" s="167"/>
      <c r="O16" s="147"/>
    </row>
    <row r="17" spans="1:15" ht="14.25" hidden="1" customHeight="1" x14ac:dyDescent="0.2">
      <c r="A17" s="149"/>
      <c r="B17" s="149" t="s">
        <v>100</v>
      </c>
      <c r="C17" s="149"/>
      <c r="D17" s="167"/>
      <c r="E17" s="167"/>
      <c r="F17" s="169"/>
      <c r="G17" s="167"/>
      <c r="H17" s="167"/>
      <c r="I17" s="167"/>
      <c r="J17" s="167"/>
      <c r="K17" s="167"/>
      <c r="L17" s="167">
        <v>0</v>
      </c>
      <c r="M17" s="147"/>
      <c r="N17" s="167"/>
      <c r="O17" s="147"/>
    </row>
    <row r="18" spans="1:15" ht="14.25" customHeight="1" x14ac:dyDescent="0.2">
      <c r="A18" s="149"/>
      <c r="B18" s="149" t="s">
        <v>101</v>
      </c>
      <c r="C18" s="149"/>
      <c r="D18" s="172"/>
      <c r="E18" s="167"/>
      <c r="F18" s="172"/>
      <c r="G18" s="167"/>
      <c r="H18" s="172">
        <v>11072</v>
      </c>
      <c r="I18" s="167"/>
      <c r="J18" s="172">
        <f>'Six Month Forecast 10.01-3.02'!W12+'Six Month Forecast 10.01-3.02'!W13-'Six Month Forecast 10.01-3.02'!W20</f>
        <v>7864</v>
      </c>
      <c r="K18" s="167"/>
      <c r="L18" s="172">
        <f>J18+H18+F18+D18</f>
        <v>18936</v>
      </c>
      <c r="M18" s="147"/>
      <c r="N18" s="167"/>
      <c r="O18" s="301">
        <f>'Six Month Forecast 10.01-3.02'!AF12+'Six Month Forecast 10.01-3.02'!AF13-'Six Month Forecast 10.01-3.02'!AF20</f>
        <v>1911</v>
      </c>
    </row>
    <row r="19" spans="1:15" s="123" customFormat="1" ht="19.5" customHeight="1" x14ac:dyDescent="0.25">
      <c r="A19" s="123" t="s">
        <v>102</v>
      </c>
      <c r="D19" s="173">
        <f>D15+D18</f>
        <v>22071.170252579308</v>
      </c>
      <c r="E19" s="174"/>
      <c r="F19" s="173">
        <f>F15+F18</f>
        <v>20478</v>
      </c>
      <c r="G19" s="174"/>
      <c r="H19" s="173">
        <f>H15+H18</f>
        <v>27333</v>
      </c>
      <c r="I19" s="174"/>
      <c r="J19" s="173">
        <f>'Six Month Forecast 10.01-3.02'!W24+'Six Month Forecast 10.01-3.02'!W21</f>
        <v>17869</v>
      </c>
      <c r="K19" s="174"/>
      <c r="L19" s="173">
        <f>L15+L18</f>
        <v>87751.170252579308</v>
      </c>
      <c r="M19" s="175"/>
      <c r="N19" s="302">
        <v>78194</v>
      </c>
      <c r="O19" s="175">
        <f>'Six Month Forecast 10.01-3.02'!AF24+'Six Month Forecast 10.01-3.02'!AF21</f>
        <v>19220.348499999993</v>
      </c>
    </row>
    <row r="20" spans="1:15" ht="12" customHeight="1" x14ac:dyDescent="0.2">
      <c r="A20" s="149"/>
      <c r="B20" s="149"/>
      <c r="C20" s="149"/>
      <c r="D20" s="167"/>
      <c r="E20" s="167"/>
      <c r="F20" s="167"/>
      <c r="G20" s="167"/>
      <c r="H20" s="167"/>
      <c r="I20" s="167"/>
      <c r="J20" s="167"/>
      <c r="K20" s="167"/>
      <c r="L20" s="167"/>
      <c r="M20" s="147"/>
      <c r="N20" s="167"/>
      <c r="O20" s="147"/>
    </row>
    <row r="21" spans="1:15" ht="14.25" customHeight="1" x14ac:dyDescent="0.2">
      <c r="A21" s="149" t="s">
        <v>103</v>
      </c>
      <c r="B21" s="149"/>
      <c r="C21" s="149"/>
      <c r="D21" s="167">
        <v>7222</v>
      </c>
      <c r="E21" s="167"/>
      <c r="F21" s="167">
        <v>7955</v>
      </c>
      <c r="G21" s="167"/>
      <c r="H21" s="167">
        <v>8872</v>
      </c>
      <c r="I21" s="167"/>
      <c r="J21" s="167">
        <f>8319-1500</f>
        <v>6819</v>
      </c>
      <c r="K21" s="167"/>
      <c r="L21" s="167">
        <f>J21+H21+F21+D21</f>
        <v>30868</v>
      </c>
      <c r="M21" s="147"/>
      <c r="N21" s="167">
        <v>31124</v>
      </c>
      <c r="O21" s="147">
        <f>-'Six Month Forecast 10.01-3.02'!AF27</f>
        <v>11098.5</v>
      </c>
    </row>
    <row r="22" spans="1:15" ht="14.25" customHeight="1" x14ac:dyDescent="0.2">
      <c r="A22" s="164" t="s">
        <v>104</v>
      </c>
      <c r="B22" s="149"/>
      <c r="C22" s="149"/>
      <c r="D22" s="176"/>
      <c r="E22" s="176"/>
      <c r="F22" s="176"/>
      <c r="G22" s="176"/>
      <c r="H22" s="176">
        <v>1500</v>
      </c>
      <c r="I22" s="176"/>
      <c r="J22" s="176">
        <v>1500</v>
      </c>
      <c r="K22" s="176"/>
      <c r="L22" s="167">
        <f>J22+H22+F22+D22</f>
        <v>3000</v>
      </c>
      <c r="M22" s="147"/>
      <c r="N22" s="176"/>
      <c r="O22" s="147"/>
    </row>
    <row r="23" spans="1:15" ht="14.25" customHeight="1" x14ac:dyDescent="0.2">
      <c r="A23" s="149" t="s">
        <v>105</v>
      </c>
      <c r="B23" s="149"/>
      <c r="C23" s="149"/>
      <c r="D23" s="172">
        <v>8507</v>
      </c>
      <c r="E23" s="176"/>
      <c r="F23" s="172">
        <v>8390</v>
      </c>
      <c r="G23" s="176"/>
      <c r="H23" s="172">
        <v>9598</v>
      </c>
      <c r="I23" s="176"/>
      <c r="J23" s="172">
        <f>'Income 2001 A'!AL22</f>
        <v>9513</v>
      </c>
      <c r="K23" s="176"/>
      <c r="L23" s="172">
        <f>J23+H23+F23+D23</f>
        <v>36008</v>
      </c>
      <c r="M23" s="147"/>
      <c r="N23" s="176">
        <v>33868</v>
      </c>
      <c r="O23" s="301">
        <f>'Six Month Forecast 10.01-3.02'!AF21</f>
        <v>10262</v>
      </c>
    </row>
    <row r="24" spans="1:15" ht="6.75" customHeight="1" x14ac:dyDescent="0.2">
      <c r="A24" s="164"/>
      <c r="B24" s="149"/>
      <c r="C24" s="149"/>
      <c r="D24" s="176"/>
      <c r="E24" s="176"/>
      <c r="F24" s="176"/>
      <c r="G24" s="176"/>
      <c r="H24" s="176"/>
      <c r="I24" s="176"/>
      <c r="J24" s="176"/>
      <c r="K24" s="176"/>
      <c r="L24" s="176"/>
      <c r="M24" s="147"/>
      <c r="N24" s="176"/>
      <c r="O24" s="147"/>
    </row>
    <row r="25" spans="1:15" s="123" customFormat="1" ht="13.8" thickBot="1" x14ac:dyDescent="0.3">
      <c r="A25" s="132" t="s">
        <v>106</v>
      </c>
      <c r="D25" s="177">
        <f>D19-D21-D22-D23</f>
        <v>6342.170252579308</v>
      </c>
      <c r="E25" s="178"/>
      <c r="F25" s="177">
        <f>F19-F21-F22-F23</f>
        <v>4133</v>
      </c>
      <c r="G25" s="178"/>
      <c r="H25" s="177">
        <f>H19-H21-H22-H23</f>
        <v>7363</v>
      </c>
      <c r="I25" s="178"/>
      <c r="J25" s="177">
        <f>J19-J21-J22-J23</f>
        <v>37</v>
      </c>
      <c r="K25" s="178"/>
      <c r="L25" s="177">
        <f>L19-L21-L22-L23</f>
        <v>17875.170252579308</v>
      </c>
      <c r="M25" s="175"/>
      <c r="N25" s="177" t="e">
        <v>#REF!</v>
      </c>
      <c r="O25" s="303">
        <f>O19-O21-O22-O23</f>
        <v>-2140.1515000000072</v>
      </c>
    </row>
    <row r="26" spans="1:15" ht="12.6" thickTop="1" thickBot="1" x14ac:dyDescent="0.25">
      <c r="A26" s="149"/>
      <c r="B26" s="149"/>
      <c r="C26" s="149"/>
      <c r="D26" s="167"/>
      <c r="E26" s="167"/>
      <c r="F26" s="167"/>
      <c r="G26" s="167"/>
      <c r="H26" s="167"/>
      <c r="I26" s="167"/>
      <c r="J26" s="167"/>
      <c r="K26" s="167"/>
      <c r="L26" s="179"/>
      <c r="M26" s="147"/>
      <c r="N26" s="167"/>
      <c r="O26" s="147"/>
    </row>
    <row r="27" spans="1:15" ht="17.25" customHeight="1" thickBot="1" x14ac:dyDescent="0.3">
      <c r="A27" s="132" t="s">
        <v>128</v>
      </c>
      <c r="B27" s="149"/>
      <c r="C27" s="149"/>
      <c r="D27" s="180">
        <v>0.22620930439393369</v>
      </c>
      <c r="E27" s="180"/>
      <c r="F27" s="180">
        <v>0.14741374290289708</v>
      </c>
      <c r="G27" s="180"/>
      <c r="H27" s="180">
        <v>0.2626197408647547</v>
      </c>
      <c r="I27" s="180"/>
      <c r="J27" s="185">
        <f>'Income 2001 A'!AL43</f>
        <v>1.3196971902751493E-3</v>
      </c>
      <c r="K27" s="180"/>
      <c r="L27" s="181">
        <f>'Income 2001 A'!AN43</f>
        <v>0.63398966370650744</v>
      </c>
      <c r="M27" s="147"/>
      <c r="N27" s="304"/>
      <c r="O27" s="305">
        <v>0</v>
      </c>
    </row>
    <row r="28" spans="1:15" s="134" customFormat="1" ht="14.25" customHeight="1" x14ac:dyDescent="0.2">
      <c r="A28" s="133" t="s">
        <v>129</v>
      </c>
      <c r="D28" s="135">
        <v>7.9000000000000001E-2</v>
      </c>
      <c r="E28" s="135"/>
      <c r="F28" s="135">
        <v>0.11899999999999999</v>
      </c>
      <c r="G28" s="135"/>
      <c r="H28" s="135">
        <v>0.14000000000000001</v>
      </c>
      <c r="I28" s="135"/>
      <c r="J28" s="135">
        <v>0.13200000000000001</v>
      </c>
      <c r="K28" s="135"/>
      <c r="L28" s="135">
        <v>0.47100000000000003</v>
      </c>
      <c r="O28" s="280">
        <v>0.23</v>
      </c>
    </row>
    <row r="29" spans="1:15" ht="18.75" customHeight="1" x14ac:dyDescent="0.2">
      <c r="A29" s="149"/>
      <c r="B29" s="149"/>
      <c r="C29" s="149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</row>
    <row r="30" spans="1:15" ht="14.25" customHeight="1" x14ac:dyDescent="0.2">
      <c r="A30" s="149" t="s">
        <v>51</v>
      </c>
      <c r="B30" s="149"/>
      <c r="C30" s="149"/>
      <c r="D30" s="165">
        <v>16089.170252579308</v>
      </c>
      <c r="E30" s="182"/>
      <c r="F30" s="165">
        <v>14682</v>
      </c>
      <c r="G30" s="182"/>
      <c r="H30" s="165">
        <v>17604</v>
      </c>
      <c r="I30" s="182"/>
      <c r="J30" s="165">
        <f>J25+J23</f>
        <v>9550</v>
      </c>
      <c r="K30" s="182"/>
      <c r="L30" s="165">
        <f>D30+F30+H30+J30</f>
        <v>57925.170252579308</v>
      </c>
      <c r="M30" s="147"/>
      <c r="N30" s="165">
        <v>50364</v>
      </c>
      <c r="O30" s="165">
        <f>O25+O23</f>
        <v>8121.8484999999928</v>
      </c>
    </row>
    <row r="31" spans="1:15" ht="14.25" customHeight="1" x14ac:dyDescent="0.2">
      <c r="A31" s="164" t="s">
        <v>127</v>
      </c>
      <c r="B31" s="149"/>
      <c r="C31" s="149"/>
      <c r="D31" s="169">
        <v>-746</v>
      </c>
      <c r="E31" s="169"/>
      <c r="F31" s="169">
        <v>-569</v>
      </c>
      <c r="G31" s="169"/>
      <c r="H31" s="169">
        <v>-2000</v>
      </c>
      <c r="I31" s="169"/>
      <c r="J31" s="169">
        <v>-2600</v>
      </c>
      <c r="K31" s="182"/>
      <c r="L31" s="167">
        <f>J31+H31+F31+D31</f>
        <v>-5915</v>
      </c>
      <c r="M31" s="147"/>
      <c r="N31" s="165"/>
      <c r="O31" s="147">
        <f>-10500/4</f>
        <v>-2625</v>
      </c>
    </row>
    <row r="32" spans="1:15" ht="14.25" customHeight="1" x14ac:dyDescent="0.2">
      <c r="A32" s="164" t="s">
        <v>107</v>
      </c>
      <c r="B32" s="149"/>
      <c r="C32" s="149"/>
      <c r="D32" s="183">
        <v>0</v>
      </c>
      <c r="E32" s="183"/>
      <c r="F32" s="183">
        <v>0</v>
      </c>
      <c r="G32" s="182"/>
      <c r="H32" s="169">
        <v>-600</v>
      </c>
      <c r="I32" s="169"/>
      <c r="J32" s="169">
        <v>-300</v>
      </c>
      <c r="K32" s="182"/>
      <c r="L32" s="167">
        <f>J32+H32+F32+D32</f>
        <v>-900</v>
      </c>
      <c r="M32" s="147"/>
      <c r="N32" s="165"/>
      <c r="O32" s="147">
        <f>-3000/4</f>
        <v>-750</v>
      </c>
    </row>
    <row r="33" spans="1:15" ht="14.25" customHeight="1" x14ac:dyDescent="0.2">
      <c r="A33" s="164" t="s">
        <v>125</v>
      </c>
      <c r="B33" s="149"/>
      <c r="C33" s="149"/>
      <c r="D33" s="183"/>
      <c r="E33" s="183"/>
      <c r="F33" s="183"/>
      <c r="G33" s="182"/>
      <c r="H33" s="169">
        <v>-900</v>
      </c>
      <c r="I33" s="169"/>
      <c r="J33" s="169">
        <v>-1100</v>
      </c>
      <c r="K33" s="182"/>
      <c r="L33" s="167">
        <f>J33+H33+F33+D33</f>
        <v>-2000</v>
      </c>
      <c r="M33" s="147"/>
      <c r="N33" s="165"/>
      <c r="O33" s="147">
        <v>-8000</v>
      </c>
    </row>
    <row r="34" spans="1:15" ht="14.25" customHeight="1" x14ac:dyDescent="0.2">
      <c r="A34" s="164" t="s">
        <v>126</v>
      </c>
      <c r="B34" s="149"/>
      <c r="C34" s="149"/>
      <c r="D34" s="183"/>
      <c r="E34" s="183"/>
      <c r="F34" s="183"/>
      <c r="G34" s="182"/>
      <c r="H34" s="169"/>
      <c r="I34" s="169"/>
      <c r="J34" s="169"/>
      <c r="K34" s="182"/>
      <c r="L34" s="167"/>
      <c r="M34" s="147"/>
      <c r="N34" s="165"/>
      <c r="O34" s="147">
        <v>-2300</v>
      </c>
    </row>
    <row r="35" spans="1:15" ht="14.25" customHeight="1" x14ac:dyDescent="0.2">
      <c r="A35" s="164" t="s">
        <v>108</v>
      </c>
      <c r="B35" s="149"/>
      <c r="C35" s="149"/>
      <c r="D35" s="172">
        <v>-10791</v>
      </c>
      <c r="E35" s="167"/>
      <c r="F35" s="172">
        <v>-10791</v>
      </c>
      <c r="G35" s="167"/>
      <c r="H35" s="172">
        <v>-10791</v>
      </c>
      <c r="I35" s="167"/>
      <c r="J35" s="172">
        <f>-10791+1837</f>
        <v>-8954</v>
      </c>
      <c r="K35" s="167"/>
      <c r="L35" s="167">
        <f>J35+H35+F35+D35</f>
        <v>-41327</v>
      </c>
      <c r="M35" s="147"/>
      <c r="N35" s="172">
        <v>39490</v>
      </c>
      <c r="O35" s="147">
        <v>-8954</v>
      </c>
    </row>
    <row r="36" spans="1:15" s="138" customFormat="1" ht="14.25" customHeight="1" thickBot="1" x14ac:dyDescent="0.3">
      <c r="A36" s="137" t="s">
        <v>109</v>
      </c>
      <c r="D36" s="306">
        <f>SUM(D30:D35)</f>
        <v>4552.170252579308</v>
      </c>
      <c r="E36" s="182"/>
      <c r="F36" s="306">
        <f>SUM(F30:F35)</f>
        <v>3322</v>
      </c>
      <c r="G36" s="182"/>
      <c r="H36" s="306">
        <f>SUM(H30:H35)</f>
        <v>3313</v>
      </c>
      <c r="I36" s="182"/>
      <c r="J36" s="306">
        <f>SUM(J30:J35)</f>
        <v>-3404</v>
      </c>
      <c r="K36" s="182"/>
      <c r="L36" s="306">
        <f>SUM(L30:L35)</f>
        <v>7783.170252579308</v>
      </c>
      <c r="M36" s="147"/>
      <c r="N36" s="307">
        <v>10874</v>
      </c>
      <c r="O36" s="306">
        <f>SUM(O30:O35)</f>
        <v>-14507.151500000007</v>
      </c>
    </row>
    <row r="37" spans="1:15" s="123" customFormat="1" ht="21" customHeight="1" thickTop="1" thickBot="1" x14ac:dyDescent="0.3">
      <c r="A37" s="132" t="s">
        <v>110</v>
      </c>
      <c r="D37" s="177">
        <v>15426.170252579308</v>
      </c>
      <c r="E37" s="174"/>
      <c r="F37" s="177">
        <f>F36+D37</f>
        <v>18748.170252579308</v>
      </c>
      <c r="G37" s="174"/>
      <c r="H37" s="177">
        <f>H36+F37</f>
        <v>22061.170252579308</v>
      </c>
      <c r="I37" s="174"/>
      <c r="J37" s="177">
        <f>J36+H37</f>
        <v>18657.170252579308</v>
      </c>
      <c r="K37" s="174"/>
      <c r="L37" s="177">
        <f>J37</f>
        <v>18657.170252579308</v>
      </c>
      <c r="M37" s="175"/>
      <c r="N37" s="177">
        <v>10874</v>
      </c>
      <c r="O37" s="177">
        <f>L37+O36</f>
        <v>4150.0187525793008</v>
      </c>
    </row>
    <row r="38" spans="1:15" ht="2.1" customHeight="1" thickTop="1" x14ac:dyDescent="0.2">
      <c r="D38" s="167"/>
      <c r="E38" s="167"/>
      <c r="F38" s="167"/>
      <c r="G38" s="167"/>
      <c r="H38" s="167"/>
      <c r="I38" s="167"/>
      <c r="J38" s="167"/>
      <c r="K38" s="167"/>
      <c r="L38" s="167"/>
      <c r="M38" s="147"/>
      <c r="N38" s="159"/>
      <c r="O38" s="149"/>
    </row>
    <row r="39" spans="1:15" s="134" customFormat="1" ht="17.25" hidden="1" customHeight="1" x14ac:dyDescent="0.2">
      <c r="A39" s="134" t="s">
        <v>111</v>
      </c>
      <c r="D39" s="139" t="s">
        <v>112</v>
      </c>
      <c r="E39" s="140"/>
      <c r="F39" s="139" t="s">
        <v>113</v>
      </c>
      <c r="G39" s="140"/>
      <c r="H39" s="139" t="s">
        <v>114</v>
      </c>
      <c r="I39" s="140"/>
      <c r="J39" s="139" t="s">
        <v>115</v>
      </c>
      <c r="K39" s="140"/>
      <c r="L39" s="139" t="s">
        <v>116</v>
      </c>
      <c r="M39" s="140"/>
      <c r="N39" s="139" t="s">
        <v>117</v>
      </c>
    </row>
    <row r="40" spans="1:15" ht="11.4" x14ac:dyDescent="0.2"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9"/>
      <c r="O40" s="149"/>
    </row>
    <row r="41" spans="1:15" x14ac:dyDescent="0.2">
      <c r="D41" s="184"/>
      <c r="E41" s="184"/>
      <c r="F41" s="184"/>
      <c r="G41" s="184"/>
      <c r="H41" s="184"/>
      <c r="I41" s="184"/>
      <c r="J41" s="184"/>
      <c r="K41" s="184"/>
      <c r="L41" s="184"/>
      <c r="M41" s="184"/>
    </row>
    <row r="44" spans="1:15" x14ac:dyDescent="0.2">
      <c r="D44" s="141"/>
      <c r="E44" s="141"/>
      <c r="F44" s="141"/>
    </row>
    <row r="45" spans="1:15" x14ac:dyDescent="0.2">
      <c r="D45" s="141"/>
      <c r="E45" s="141"/>
      <c r="F45" s="141"/>
    </row>
    <row r="46" spans="1:15" x14ac:dyDescent="0.2">
      <c r="D46" s="141"/>
      <c r="E46" s="141"/>
      <c r="F46" s="141"/>
    </row>
    <row r="47" spans="1:15" x14ac:dyDescent="0.2">
      <c r="D47" s="129"/>
      <c r="E47" s="129"/>
      <c r="F47" s="129"/>
      <c r="G47" s="129"/>
      <c r="H47" s="129"/>
      <c r="I47" s="129"/>
      <c r="J47" s="129"/>
      <c r="K47" s="129"/>
      <c r="L47" s="129"/>
      <c r="N47" s="129"/>
    </row>
    <row r="49" spans="1:14" ht="13.5" customHeight="1" x14ac:dyDescent="0.2">
      <c r="A49" s="131" t="s">
        <v>118</v>
      </c>
      <c r="D49" s="130">
        <v>2500</v>
      </c>
      <c r="E49" s="136"/>
      <c r="F49" s="130">
        <v>600</v>
      </c>
      <c r="G49" s="136"/>
      <c r="H49" s="130">
        <v>3500</v>
      </c>
      <c r="I49" s="136"/>
      <c r="J49" s="130">
        <v>3000</v>
      </c>
      <c r="K49" s="136"/>
      <c r="L49" s="130">
        <v>9600</v>
      </c>
      <c r="N49" s="130">
        <v>5051</v>
      </c>
    </row>
    <row r="50" spans="1:14" ht="14.25" hidden="1" customHeight="1" x14ac:dyDescent="0.2">
      <c r="A50" s="131" t="s">
        <v>118</v>
      </c>
      <c r="D50" s="130"/>
      <c r="E50" s="136"/>
      <c r="F50" s="130"/>
      <c r="G50" s="136"/>
      <c r="H50" s="142">
        <v>1500</v>
      </c>
      <c r="I50" s="143"/>
      <c r="J50" s="142">
        <v>1500</v>
      </c>
      <c r="K50" s="136"/>
      <c r="L50" s="130"/>
      <c r="N50" s="130"/>
    </row>
    <row r="51" spans="1:14" ht="14.25" customHeight="1" x14ac:dyDescent="0.2">
      <c r="A51" t="s">
        <v>119</v>
      </c>
      <c r="D51" s="130">
        <v>5000</v>
      </c>
      <c r="E51" s="136"/>
      <c r="F51" s="130">
        <v>130000</v>
      </c>
      <c r="G51" s="136"/>
      <c r="H51" s="130">
        <v>8500</v>
      </c>
      <c r="I51" s="136"/>
      <c r="J51" s="130">
        <v>14000</v>
      </c>
      <c r="K51" s="136"/>
      <c r="L51" s="130">
        <v>157500</v>
      </c>
      <c r="N51" s="130">
        <v>14270</v>
      </c>
    </row>
    <row r="75" spans="8:12" x14ac:dyDescent="0.2">
      <c r="H75" s="144">
        <v>2.8498000000000001</v>
      </c>
    </row>
    <row r="76" spans="8:12" x14ac:dyDescent="0.2">
      <c r="H76" s="144">
        <v>3.4695</v>
      </c>
    </row>
    <row r="77" spans="8:12" x14ac:dyDescent="0.2">
      <c r="H77" s="144">
        <v>4.7614999999999998</v>
      </c>
      <c r="J77" s="145">
        <v>11.0808</v>
      </c>
      <c r="L77" s="145">
        <v>3.6936</v>
      </c>
    </row>
    <row r="78" spans="8:12" x14ac:dyDescent="0.2">
      <c r="H78" s="144">
        <v>3.968</v>
      </c>
      <c r="J78" s="145"/>
    </row>
    <row r="79" spans="8:12" x14ac:dyDescent="0.2">
      <c r="H79" s="144">
        <v>3.6402000000000001</v>
      </c>
      <c r="J79" s="145"/>
    </row>
    <row r="80" spans="8:12" x14ac:dyDescent="0.2">
      <c r="H80" s="144">
        <v>3.8243</v>
      </c>
      <c r="J80" s="145">
        <v>11.432499999999999</v>
      </c>
      <c r="L80" s="145">
        <v>3.8108333333333335</v>
      </c>
    </row>
  </sheetData>
  <pageMargins left="0.5" right="0.5" top="0.5" bottom="1" header="0.5" footer="0.5"/>
  <pageSetup orientation="landscape" r:id="rId1"/>
  <headerFooter alignWithMargins="0">
    <oddFooter>&amp;L&amp;D&amp;T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59"/>
  <sheetViews>
    <sheetView topLeftCell="M1" zoomScale="75" workbookViewId="0">
      <selection activeCell="AH11" sqref="AH11"/>
    </sheetView>
  </sheetViews>
  <sheetFormatPr defaultColWidth="9.28515625" defaultRowHeight="16.5" customHeight="1" x14ac:dyDescent="0.3"/>
  <cols>
    <col min="1" max="1" width="2.28515625" style="40" customWidth="1"/>
    <col min="2" max="2" width="2.85546875" style="40" customWidth="1"/>
    <col min="3" max="3" width="4.85546875" style="40" customWidth="1"/>
    <col min="4" max="4" width="32" style="40" customWidth="1"/>
    <col min="5" max="5" width="3.85546875" style="40" customWidth="1"/>
    <col min="6" max="6" width="13.85546875" style="268" hidden="1" customWidth="1"/>
    <col min="7" max="7" width="2.85546875" style="40" hidden="1" customWidth="1"/>
    <col min="8" max="8" width="13.85546875" style="268" hidden="1" customWidth="1"/>
    <col min="9" max="9" width="2.85546875" style="40" hidden="1" customWidth="1"/>
    <col min="10" max="10" width="13.85546875" style="268" hidden="1" customWidth="1"/>
    <col min="11" max="11" width="2.85546875" style="40" hidden="1" customWidth="1"/>
    <col min="12" max="12" width="13.85546875" style="269" customWidth="1"/>
    <col min="13" max="13" width="2.85546875" style="40" customWidth="1"/>
    <col min="14" max="14" width="13.85546875" style="268" hidden="1" customWidth="1"/>
    <col min="15" max="15" width="2.85546875" style="40" hidden="1" customWidth="1"/>
    <col min="16" max="16" width="13.85546875" style="268" hidden="1" customWidth="1"/>
    <col min="17" max="17" width="2.85546875" style="40" hidden="1" customWidth="1"/>
    <col min="18" max="18" width="13.85546875" style="268" hidden="1" customWidth="1"/>
    <col min="19" max="19" width="2.85546875" style="40" hidden="1" customWidth="1"/>
    <col min="20" max="20" width="13.85546875" style="269" customWidth="1"/>
    <col min="21" max="21" width="2.85546875" style="40" customWidth="1"/>
    <col min="22" max="22" width="13.85546875" style="268" customWidth="1"/>
    <col min="23" max="23" width="2.85546875" style="40" customWidth="1"/>
    <col min="24" max="24" width="13.85546875" style="268" customWidth="1"/>
    <col min="25" max="25" width="2.85546875" style="40" customWidth="1"/>
    <col min="26" max="26" width="13.85546875" style="268" customWidth="1"/>
    <col min="27" max="27" width="2.85546875" style="40" customWidth="1"/>
    <col min="28" max="28" width="13.85546875" style="269" customWidth="1"/>
    <col min="29" max="29" width="3.85546875" style="40" hidden="1" customWidth="1"/>
    <col min="30" max="30" width="13.85546875" style="269" hidden="1" customWidth="1"/>
    <col min="31" max="31" width="3.140625" style="186" customWidth="1"/>
    <col min="32" max="32" width="13.85546875" style="254" customWidth="1"/>
    <col min="33" max="33" width="3.7109375" style="186" customWidth="1"/>
    <col min="34" max="34" width="13.85546875" style="192" customWidth="1"/>
    <col min="35" max="35" width="4" style="186" customWidth="1"/>
    <col min="36" max="36" width="13.85546875" style="192" customWidth="1"/>
    <col min="37" max="37" width="4" style="186" customWidth="1"/>
    <col min="38" max="38" width="15.28515625" style="192" customWidth="1"/>
    <col min="39" max="39" width="2.28515625" style="192" customWidth="1"/>
    <col min="40" max="40" width="15.28515625" style="192" customWidth="1"/>
    <col min="41" max="41" width="2.28515625" style="192" customWidth="1"/>
    <col min="42" max="42" width="15.28515625" style="186" customWidth="1"/>
    <col min="43" max="44" width="9.28515625" style="40"/>
    <col min="45" max="45" width="0.140625" style="40" customWidth="1"/>
    <col min="46" max="16384" width="9.28515625" style="40"/>
  </cols>
  <sheetData>
    <row r="1" spans="1:42" s="186" customFormat="1" ht="16.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s="186" customFormat="1" ht="16.5" customHeight="1" x14ac:dyDescent="0.3">
      <c r="A2" s="4" t="s">
        <v>73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s="186" customFormat="1" ht="16.5" customHeight="1" x14ac:dyDescent="0.3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ht="16.5" customHeight="1" x14ac:dyDescent="0.3">
      <c r="B4" s="187"/>
      <c r="D4" s="187"/>
      <c r="E4" s="187"/>
      <c r="F4" s="188"/>
      <c r="G4" s="187"/>
      <c r="H4" s="188"/>
      <c r="I4" s="187"/>
      <c r="J4" s="188"/>
      <c r="K4" s="187"/>
      <c r="L4" s="189"/>
      <c r="M4" s="187"/>
      <c r="N4" s="188"/>
      <c r="O4" s="187"/>
      <c r="P4" s="188"/>
      <c r="Q4" s="187"/>
      <c r="R4" s="188"/>
      <c r="S4" s="187"/>
      <c r="T4" s="189"/>
      <c r="U4" s="187"/>
      <c r="V4" s="188"/>
      <c r="W4" s="187"/>
      <c r="X4" s="188"/>
      <c r="Y4" s="187"/>
      <c r="Z4" s="188"/>
      <c r="AA4" s="187"/>
      <c r="AB4" s="189"/>
      <c r="AC4" s="187"/>
      <c r="AD4" s="189"/>
      <c r="AF4" s="190"/>
      <c r="AG4" s="40"/>
      <c r="AH4" s="191"/>
      <c r="AI4" s="40"/>
      <c r="AJ4" s="191"/>
    </row>
    <row r="5" spans="1:42" ht="16.5" customHeight="1" x14ac:dyDescent="0.3">
      <c r="B5" s="187"/>
      <c r="D5" s="187"/>
      <c r="E5" s="193"/>
      <c r="F5" s="188"/>
      <c r="G5" s="193"/>
      <c r="H5" s="188"/>
      <c r="I5" s="193"/>
      <c r="J5" s="188"/>
      <c r="K5" s="193"/>
      <c r="L5" s="189"/>
      <c r="M5" s="193"/>
      <c r="N5" s="188"/>
      <c r="O5" s="193"/>
      <c r="P5" s="188"/>
      <c r="Q5" s="193"/>
      <c r="R5" s="188"/>
      <c r="S5" s="193"/>
      <c r="T5" s="189"/>
      <c r="U5" s="193"/>
      <c r="V5" s="188"/>
      <c r="W5" s="193"/>
      <c r="X5" s="188"/>
      <c r="Y5" s="193"/>
      <c r="Z5" s="188"/>
      <c r="AA5" s="193"/>
      <c r="AB5" s="189"/>
      <c r="AC5" s="193"/>
      <c r="AD5" s="189"/>
      <c r="AF5" s="190"/>
      <c r="AG5" s="40"/>
      <c r="AH5" s="191"/>
      <c r="AI5" s="40"/>
      <c r="AJ5" s="191"/>
      <c r="AP5" s="64" t="s">
        <v>83</v>
      </c>
    </row>
    <row r="6" spans="1:42" ht="16.5" customHeight="1" x14ac:dyDescent="0.3">
      <c r="B6" s="106"/>
      <c r="C6" s="95"/>
      <c r="D6" s="96"/>
      <c r="E6" s="194"/>
      <c r="F6" s="109" t="s">
        <v>34</v>
      </c>
      <c r="G6" s="194"/>
      <c r="H6" s="109" t="s">
        <v>35</v>
      </c>
      <c r="I6" s="194"/>
      <c r="J6" s="109" t="s">
        <v>36</v>
      </c>
      <c r="K6" s="194"/>
      <c r="L6" s="105" t="s">
        <v>25</v>
      </c>
      <c r="M6" s="194"/>
      <c r="N6" s="110" t="s">
        <v>38</v>
      </c>
      <c r="O6" s="194"/>
      <c r="P6" s="110" t="s">
        <v>26</v>
      </c>
      <c r="Q6" s="194"/>
      <c r="R6" s="110" t="s">
        <v>39</v>
      </c>
      <c r="S6" s="194"/>
      <c r="T6" s="105" t="s">
        <v>27</v>
      </c>
      <c r="U6" s="194"/>
      <c r="V6" s="110" t="s">
        <v>42</v>
      </c>
      <c r="W6" s="194"/>
      <c r="X6" s="110" t="s">
        <v>30</v>
      </c>
      <c r="Y6" s="194"/>
      <c r="Z6" s="110" t="s">
        <v>31</v>
      </c>
      <c r="AA6" s="194"/>
      <c r="AB6" s="105" t="s">
        <v>28</v>
      </c>
      <c r="AC6" s="194"/>
      <c r="AD6" s="105" t="s">
        <v>71</v>
      </c>
      <c r="AE6" s="195"/>
      <c r="AF6" s="111" t="s">
        <v>54</v>
      </c>
      <c r="AG6" s="193"/>
      <c r="AH6" s="112" t="s">
        <v>55</v>
      </c>
      <c r="AI6" s="193"/>
      <c r="AJ6" s="112" t="s">
        <v>56</v>
      </c>
      <c r="AK6" s="195"/>
      <c r="AL6" s="105" t="s">
        <v>29</v>
      </c>
      <c r="AM6" s="196"/>
      <c r="AN6" s="64" t="s">
        <v>85</v>
      </c>
      <c r="AO6" s="105"/>
      <c r="AP6" s="105" t="s">
        <v>41</v>
      </c>
    </row>
    <row r="7" spans="1:42" ht="16.5" customHeight="1" x14ac:dyDescent="0.3">
      <c r="B7" s="107" t="s">
        <v>2</v>
      </c>
      <c r="C7" s="87"/>
      <c r="D7" s="87"/>
      <c r="E7" s="194"/>
      <c r="F7" s="108" t="s">
        <v>3</v>
      </c>
      <c r="G7" s="194"/>
      <c r="H7" s="101" t="s">
        <v>3</v>
      </c>
      <c r="I7" s="194"/>
      <c r="J7" s="101" t="s">
        <v>3</v>
      </c>
      <c r="K7" s="194"/>
      <c r="L7" s="48" t="s">
        <v>3</v>
      </c>
      <c r="M7" s="194"/>
      <c r="N7" s="101" t="s">
        <v>3</v>
      </c>
      <c r="O7" s="194"/>
      <c r="P7" s="101" t="s">
        <v>3</v>
      </c>
      <c r="Q7" s="194"/>
      <c r="R7" s="101" t="s">
        <v>3</v>
      </c>
      <c r="S7" s="194"/>
      <c r="T7" s="48" t="s">
        <v>3</v>
      </c>
      <c r="U7" s="194"/>
      <c r="V7" s="101" t="s">
        <v>3</v>
      </c>
      <c r="W7" s="194"/>
      <c r="X7" s="101" t="s">
        <v>3</v>
      </c>
      <c r="Y7" s="194"/>
      <c r="Z7" s="101" t="s">
        <v>3</v>
      </c>
      <c r="AA7" s="194"/>
      <c r="AB7" s="48" t="s">
        <v>3</v>
      </c>
      <c r="AC7" s="194"/>
      <c r="AD7" s="48" t="s">
        <v>3</v>
      </c>
      <c r="AF7" s="113" t="s">
        <v>3</v>
      </c>
      <c r="AG7" s="40"/>
      <c r="AH7" s="114" t="s">
        <v>84</v>
      </c>
      <c r="AI7" s="40"/>
      <c r="AJ7" s="114" t="s">
        <v>84</v>
      </c>
      <c r="AL7" s="24" t="s">
        <v>84</v>
      </c>
      <c r="AM7" s="64"/>
      <c r="AN7" s="24" t="s">
        <v>84</v>
      </c>
      <c r="AO7" s="64"/>
      <c r="AP7" s="48" t="s">
        <v>3</v>
      </c>
    </row>
    <row r="8" spans="1:42" ht="16.5" customHeight="1" x14ac:dyDescent="0.3">
      <c r="B8" s="28" t="s">
        <v>4</v>
      </c>
      <c r="C8" s="197"/>
      <c r="D8" s="197"/>
      <c r="F8" s="188"/>
      <c r="H8" s="188"/>
      <c r="J8" s="188"/>
      <c r="L8" s="189"/>
      <c r="N8" s="188"/>
      <c r="P8" s="188"/>
      <c r="R8" s="188"/>
      <c r="T8" s="189"/>
      <c r="V8" s="188"/>
      <c r="X8" s="188"/>
      <c r="Z8" s="188"/>
      <c r="AB8" s="189"/>
      <c r="AD8" s="189"/>
      <c r="AF8" s="190"/>
      <c r="AG8" s="40"/>
      <c r="AH8" s="191"/>
      <c r="AI8" s="40"/>
      <c r="AJ8" s="191"/>
      <c r="AP8" s="189"/>
    </row>
    <row r="9" spans="1:42" ht="16.5" customHeight="1" x14ac:dyDescent="0.3">
      <c r="C9" s="28" t="s">
        <v>5</v>
      </c>
      <c r="D9" s="198"/>
      <c r="E9" s="32"/>
      <c r="F9" s="199">
        <v>7714</v>
      </c>
      <c r="G9" s="32"/>
      <c r="H9" s="199">
        <v>8538</v>
      </c>
      <c r="I9" s="32"/>
      <c r="J9" s="199">
        <v>6079</v>
      </c>
      <c r="K9" s="32"/>
      <c r="L9" s="200">
        <f t="shared" ref="L9:L15" si="0">SUM(F9:J9)</f>
        <v>22331</v>
      </c>
      <c r="M9" s="32"/>
      <c r="N9" s="199">
        <v>5317</v>
      </c>
      <c r="O9" s="32"/>
      <c r="P9" s="199">
        <v>6528</v>
      </c>
      <c r="Q9" s="32"/>
      <c r="R9" s="199">
        <v>10194</v>
      </c>
      <c r="S9" s="32"/>
      <c r="T9" s="200">
        <f t="shared" ref="T9:T15" si="1">SUM(N9:R9)</f>
        <v>22039</v>
      </c>
      <c r="U9" s="32"/>
      <c r="V9" s="199">
        <v>7590</v>
      </c>
      <c r="W9" s="32"/>
      <c r="X9" s="199">
        <v>4510</v>
      </c>
      <c r="Y9" s="32"/>
      <c r="Z9" s="199">
        <v>6615</v>
      </c>
      <c r="AA9" s="32"/>
      <c r="AB9" s="200">
        <f t="shared" ref="AB9:AB15" si="2">SUM(V9:Z9)</f>
        <v>18715</v>
      </c>
      <c r="AC9" s="32"/>
      <c r="AD9" s="57">
        <f t="shared" ref="AD9:AD15" si="3">+L9+T9+AB9</f>
        <v>63085</v>
      </c>
      <c r="AF9" s="201">
        <v>2970</v>
      </c>
      <c r="AG9" s="202"/>
      <c r="AH9" s="203">
        <v>7000</v>
      </c>
      <c r="AI9" s="202"/>
      <c r="AJ9" s="203">
        <v>6000</v>
      </c>
      <c r="AK9" s="204"/>
      <c r="AL9" s="205">
        <f>SUM(AF9:AK9)</f>
        <v>15970</v>
      </c>
      <c r="AM9" s="205"/>
      <c r="AN9" s="205">
        <f>L9+T9+AB9+AL9</f>
        <v>79055</v>
      </c>
      <c r="AP9" s="57">
        <f>77248-2605</f>
        <v>74643</v>
      </c>
    </row>
    <row r="10" spans="1:42" ht="16.5" customHeight="1" x14ac:dyDescent="0.3">
      <c r="C10" s="28" t="s">
        <v>21</v>
      </c>
      <c r="D10" s="198"/>
      <c r="E10" s="32"/>
      <c r="F10" s="102">
        <v>10486</v>
      </c>
      <c r="G10" s="32"/>
      <c r="H10" s="102">
        <v>9730</v>
      </c>
      <c r="I10" s="32"/>
      <c r="J10" s="102">
        <v>10829</v>
      </c>
      <c r="K10" s="32"/>
      <c r="L10" s="51">
        <f t="shared" si="0"/>
        <v>31045</v>
      </c>
      <c r="M10" s="32"/>
      <c r="N10" s="102">
        <v>10036</v>
      </c>
      <c r="O10" s="32"/>
      <c r="P10" s="102">
        <v>11280</v>
      </c>
      <c r="Q10" s="32"/>
      <c r="R10" s="102">
        <v>10680</v>
      </c>
      <c r="S10" s="32"/>
      <c r="T10" s="51">
        <f t="shared" si="1"/>
        <v>31996</v>
      </c>
      <c r="U10" s="32"/>
      <c r="V10" s="102">
        <v>10637</v>
      </c>
      <c r="W10" s="32"/>
      <c r="X10" s="102">
        <v>10811</v>
      </c>
      <c r="Y10" s="32"/>
      <c r="Z10" s="102">
        <v>11100</v>
      </c>
      <c r="AA10" s="32"/>
      <c r="AB10" s="51">
        <f t="shared" si="2"/>
        <v>32548</v>
      </c>
      <c r="AC10" s="32"/>
      <c r="AD10" s="206">
        <f t="shared" si="3"/>
        <v>95589</v>
      </c>
      <c r="AF10" s="190">
        <v>9077</v>
      </c>
      <c r="AG10" s="40"/>
      <c r="AH10" s="191">
        <f>10500-300</f>
        <v>10200</v>
      </c>
      <c r="AI10" s="40"/>
      <c r="AJ10" s="191">
        <v>10500</v>
      </c>
      <c r="AL10" s="192">
        <f t="shared" ref="AL10:AL15" si="4">SUM(AF10:AK10)</f>
        <v>29777</v>
      </c>
      <c r="AN10" s="192">
        <f t="shared" ref="AN10:AN15" si="5">L10+T10+AB10+AL10</f>
        <v>125366</v>
      </c>
      <c r="AP10" s="206">
        <f>136703</f>
        <v>136703</v>
      </c>
    </row>
    <row r="11" spans="1:42" ht="16.5" customHeight="1" x14ac:dyDescent="0.3">
      <c r="C11" s="28" t="s">
        <v>6</v>
      </c>
      <c r="D11" s="198"/>
      <c r="E11" s="32"/>
      <c r="F11" s="102">
        <v>486</v>
      </c>
      <c r="G11" s="32"/>
      <c r="H11" s="102">
        <v>488</v>
      </c>
      <c r="I11" s="32"/>
      <c r="J11" s="102">
        <v>388</v>
      </c>
      <c r="K11" s="32"/>
      <c r="L11" s="51">
        <f t="shared" si="0"/>
        <v>1362</v>
      </c>
      <c r="M11" s="32"/>
      <c r="N11" s="102">
        <v>225</v>
      </c>
      <c r="O11" s="32"/>
      <c r="P11" s="102">
        <v>459</v>
      </c>
      <c r="Q11" s="32"/>
      <c r="R11" s="102">
        <v>481</v>
      </c>
      <c r="S11" s="32"/>
      <c r="T11" s="51">
        <f t="shared" si="1"/>
        <v>1165</v>
      </c>
      <c r="U11" s="32"/>
      <c r="V11" s="102">
        <v>859</v>
      </c>
      <c r="W11" s="32"/>
      <c r="X11" s="102">
        <v>617</v>
      </c>
      <c r="Y11" s="32"/>
      <c r="Z11" s="102">
        <v>535</v>
      </c>
      <c r="AA11" s="32"/>
      <c r="AB11" s="51">
        <f t="shared" si="2"/>
        <v>2011</v>
      </c>
      <c r="AC11" s="32"/>
      <c r="AD11" s="206">
        <f t="shared" si="3"/>
        <v>4538</v>
      </c>
      <c r="AF11" s="190">
        <v>232</v>
      </c>
      <c r="AG11" s="40"/>
      <c r="AH11" s="191">
        <f>250+100</f>
        <v>350</v>
      </c>
      <c r="AI11" s="40"/>
      <c r="AJ11" s="191">
        <f>250+100</f>
        <v>350</v>
      </c>
      <c r="AL11" s="192">
        <f t="shared" si="4"/>
        <v>932</v>
      </c>
      <c r="AN11" s="192">
        <f t="shared" si="5"/>
        <v>5470</v>
      </c>
      <c r="AP11" s="206">
        <f>6045-49</f>
        <v>5996</v>
      </c>
    </row>
    <row r="12" spans="1:42" ht="16.5" customHeight="1" x14ac:dyDescent="0.3">
      <c r="B12" s="28"/>
      <c r="C12" s="197" t="s">
        <v>77</v>
      </c>
      <c r="D12" s="197"/>
      <c r="E12" s="32"/>
      <c r="F12" s="102">
        <v>0</v>
      </c>
      <c r="G12" s="32"/>
      <c r="H12" s="102">
        <v>0</v>
      </c>
      <c r="I12" s="32"/>
      <c r="J12" s="102">
        <v>0</v>
      </c>
      <c r="K12" s="32"/>
      <c r="L12" s="51">
        <f t="shared" si="0"/>
        <v>0</v>
      </c>
      <c r="M12" s="32"/>
      <c r="N12" s="102">
        <v>0</v>
      </c>
      <c r="O12" s="32"/>
      <c r="P12" s="102">
        <v>0</v>
      </c>
      <c r="Q12" s="32"/>
      <c r="R12" s="102">
        <v>0</v>
      </c>
      <c r="S12" s="32"/>
      <c r="T12" s="51">
        <f t="shared" si="1"/>
        <v>0</v>
      </c>
      <c r="U12" s="32"/>
      <c r="V12" s="102">
        <v>6104</v>
      </c>
      <c r="W12" s="32"/>
      <c r="X12" s="102">
        <v>5790</v>
      </c>
      <c r="Y12" s="32"/>
      <c r="Z12" s="102">
        <v>5930</v>
      </c>
      <c r="AA12" s="32"/>
      <c r="AB12" s="51">
        <f t="shared" si="2"/>
        <v>17824</v>
      </c>
      <c r="AC12" s="32"/>
      <c r="AD12" s="206">
        <f t="shared" si="3"/>
        <v>17824</v>
      </c>
      <c r="AF12" s="190">
        <v>5259</v>
      </c>
      <c r="AG12" s="40"/>
      <c r="AH12" s="319">
        <v>4805</v>
      </c>
      <c r="AI12" s="40"/>
      <c r="AJ12" s="319">
        <f>3100-583+500+1372+392</f>
        <v>4781</v>
      </c>
      <c r="AL12" s="192">
        <f t="shared" si="4"/>
        <v>14845</v>
      </c>
      <c r="AN12" s="192">
        <f t="shared" si="5"/>
        <v>32669</v>
      </c>
      <c r="AP12" s="206">
        <v>0</v>
      </c>
    </row>
    <row r="13" spans="1:42" ht="16.5" customHeight="1" x14ac:dyDescent="0.3">
      <c r="B13" s="28"/>
      <c r="C13" s="197" t="s">
        <v>78</v>
      </c>
      <c r="D13" s="197"/>
      <c r="E13" s="32"/>
      <c r="F13" s="102">
        <v>0</v>
      </c>
      <c r="G13" s="32"/>
      <c r="H13" s="102">
        <v>0</v>
      </c>
      <c r="I13" s="32"/>
      <c r="J13" s="102">
        <v>0</v>
      </c>
      <c r="K13" s="32"/>
      <c r="L13" s="51">
        <f t="shared" si="0"/>
        <v>0</v>
      </c>
      <c r="M13" s="32"/>
      <c r="N13" s="102">
        <v>0</v>
      </c>
      <c r="O13" s="32"/>
      <c r="P13" s="102">
        <v>0</v>
      </c>
      <c r="Q13" s="32"/>
      <c r="R13" s="102">
        <v>0</v>
      </c>
      <c r="S13" s="32"/>
      <c r="T13" s="51">
        <f t="shared" si="1"/>
        <v>0</v>
      </c>
      <c r="U13" s="32"/>
      <c r="V13" s="102">
        <v>1352</v>
      </c>
      <c r="W13" s="32"/>
      <c r="X13" s="102">
        <v>1410</v>
      </c>
      <c r="Y13" s="32"/>
      <c r="Z13" s="102">
        <v>1303</v>
      </c>
      <c r="AA13" s="32"/>
      <c r="AB13" s="51">
        <f t="shared" si="2"/>
        <v>4065</v>
      </c>
      <c r="AC13" s="32"/>
      <c r="AD13" s="206">
        <f t="shared" si="3"/>
        <v>4065</v>
      </c>
      <c r="AF13" s="190">
        <v>1480</v>
      </c>
      <c r="AG13" s="40"/>
      <c r="AH13" s="319">
        <v>1352</v>
      </c>
      <c r="AI13" s="40"/>
      <c r="AJ13" s="321">
        <f>500+87+77</f>
        <v>664</v>
      </c>
      <c r="AL13" s="192">
        <f t="shared" si="4"/>
        <v>3496</v>
      </c>
      <c r="AN13" s="192">
        <f t="shared" si="5"/>
        <v>7561</v>
      </c>
      <c r="AP13" s="206">
        <v>0</v>
      </c>
    </row>
    <row r="14" spans="1:42" ht="16.5" customHeight="1" x14ac:dyDescent="0.3">
      <c r="C14" s="28" t="s">
        <v>89</v>
      </c>
      <c r="D14" s="198"/>
      <c r="E14" s="32"/>
      <c r="F14" s="102">
        <f>907+835+229</f>
        <v>1971</v>
      </c>
      <c r="G14" s="32"/>
      <c r="H14" s="102">
        <f>863+339+295</f>
        <v>1497</v>
      </c>
      <c r="I14" s="32"/>
      <c r="J14" s="102">
        <f>964+902-182</f>
        <v>1684</v>
      </c>
      <c r="K14" s="32"/>
      <c r="L14" s="51">
        <f t="shared" si="0"/>
        <v>5152</v>
      </c>
      <c r="M14" s="32"/>
      <c r="N14" s="102">
        <f>552+729+220</f>
        <v>1501</v>
      </c>
      <c r="O14" s="32"/>
      <c r="P14" s="102">
        <f>794+853+244</f>
        <v>1891</v>
      </c>
      <c r="Q14" s="32"/>
      <c r="R14" s="102">
        <f>717+875-670</f>
        <v>922</v>
      </c>
      <c r="S14" s="32"/>
      <c r="T14" s="51">
        <f t="shared" si="1"/>
        <v>4314</v>
      </c>
      <c r="U14" s="32"/>
      <c r="V14" s="102">
        <f>701-199+98</f>
        <v>600</v>
      </c>
      <c r="W14" s="32"/>
      <c r="X14" s="102">
        <f>702-195+1403</f>
        <v>1910</v>
      </c>
      <c r="Y14" s="32"/>
      <c r="Z14" s="102">
        <f>753+89-662</f>
        <v>180</v>
      </c>
      <c r="AA14" s="32"/>
      <c r="AB14" s="51">
        <f t="shared" si="2"/>
        <v>2690</v>
      </c>
      <c r="AC14" s="32"/>
      <c r="AD14" s="206">
        <f t="shared" si="3"/>
        <v>12156</v>
      </c>
      <c r="AF14" s="190">
        <f>884-63-242</f>
        <v>579</v>
      </c>
      <c r="AG14" s="40"/>
      <c r="AH14" s="191">
        <f>800-75-800</f>
        <v>-75</v>
      </c>
      <c r="AI14" s="40"/>
      <c r="AJ14" s="191">
        <f>825+350</f>
        <v>1175</v>
      </c>
      <c r="AL14" s="192">
        <f t="shared" si="4"/>
        <v>1679</v>
      </c>
      <c r="AN14" s="192">
        <f t="shared" si="5"/>
        <v>13835</v>
      </c>
      <c r="AP14" s="206">
        <v>20481</v>
      </c>
    </row>
    <row r="15" spans="1:42" ht="16.5" customHeight="1" x14ac:dyDescent="0.3">
      <c r="B15" s="28" t="s">
        <v>72</v>
      </c>
      <c r="C15" s="197"/>
      <c r="D15" s="198"/>
      <c r="E15" s="32"/>
      <c r="F15" s="103">
        <v>69</v>
      </c>
      <c r="G15" s="32"/>
      <c r="H15" s="103">
        <v>45</v>
      </c>
      <c r="I15" s="32"/>
      <c r="J15" s="103">
        <v>50</v>
      </c>
      <c r="K15" s="32"/>
      <c r="L15" s="51">
        <f t="shared" si="0"/>
        <v>164</v>
      </c>
      <c r="M15" s="32"/>
      <c r="N15" s="103">
        <v>45</v>
      </c>
      <c r="O15" s="32"/>
      <c r="P15" s="103">
        <v>45</v>
      </c>
      <c r="Q15" s="32"/>
      <c r="R15" s="103">
        <v>45</v>
      </c>
      <c r="S15" s="32"/>
      <c r="T15" s="51">
        <f t="shared" si="1"/>
        <v>135</v>
      </c>
      <c r="U15" s="32"/>
      <c r="V15" s="103">
        <v>45</v>
      </c>
      <c r="W15" s="32"/>
      <c r="X15" s="103">
        <v>90</v>
      </c>
      <c r="Y15" s="32"/>
      <c r="Z15" s="103">
        <v>45</v>
      </c>
      <c r="AA15" s="32"/>
      <c r="AB15" s="51">
        <f t="shared" si="2"/>
        <v>180</v>
      </c>
      <c r="AC15" s="32"/>
      <c r="AD15" s="58">
        <f t="shared" si="3"/>
        <v>479</v>
      </c>
      <c r="AF15" s="208">
        <v>0</v>
      </c>
      <c r="AG15" s="209"/>
      <c r="AH15" s="210">
        <v>0</v>
      </c>
      <c r="AI15" s="209"/>
      <c r="AJ15" s="210">
        <v>0</v>
      </c>
      <c r="AL15" s="211">
        <f t="shared" si="4"/>
        <v>0</v>
      </c>
      <c r="AN15" s="192">
        <f t="shared" si="5"/>
        <v>479</v>
      </c>
      <c r="AP15" s="58">
        <f>711</f>
        <v>711</v>
      </c>
    </row>
    <row r="16" spans="1:42" ht="16.5" customHeight="1" x14ac:dyDescent="0.3">
      <c r="B16" s="28" t="s">
        <v>12</v>
      </c>
      <c r="C16" s="197"/>
      <c r="D16" s="212"/>
      <c r="F16" s="213">
        <f>SUM(F9:F15)</f>
        <v>20726</v>
      </c>
      <c r="H16" s="213">
        <f>SUM(H9:H15)</f>
        <v>20298</v>
      </c>
      <c r="J16" s="213">
        <f>SUM(J9:J15)</f>
        <v>19030</v>
      </c>
      <c r="L16" s="214">
        <f>SUM(L9:L15)</f>
        <v>60054</v>
      </c>
      <c r="N16" s="213">
        <f>SUM(N9:N15)</f>
        <v>17124</v>
      </c>
      <c r="P16" s="213">
        <f>SUM(P9:P15)</f>
        <v>20203</v>
      </c>
      <c r="R16" s="213">
        <f>SUM(R9:R15)</f>
        <v>22322</v>
      </c>
      <c r="T16" s="214">
        <f>SUM(T9:T15)</f>
        <v>59649</v>
      </c>
      <c r="V16" s="213">
        <f>SUM(V9:V15)</f>
        <v>27187</v>
      </c>
      <c r="X16" s="213">
        <f>SUM(X9:X15)</f>
        <v>25138</v>
      </c>
      <c r="Z16" s="213">
        <f>SUM(Z9:Z15)</f>
        <v>25708</v>
      </c>
      <c r="AB16" s="214">
        <f>SUM(AB9:AB15)</f>
        <v>78033</v>
      </c>
      <c r="AD16" s="214">
        <f>SUM(AD9:AD15)</f>
        <v>197736</v>
      </c>
      <c r="AF16" s="213">
        <f>SUM(AF9:AF15)</f>
        <v>19597</v>
      </c>
      <c r="AG16" s="40"/>
      <c r="AH16" s="213">
        <f>SUM(AH9:AH15)</f>
        <v>23632</v>
      </c>
      <c r="AI16" s="40"/>
      <c r="AJ16" s="213">
        <f>SUM(AJ9:AJ15)</f>
        <v>23470</v>
      </c>
      <c r="AL16" s="214">
        <f>SUM(AL9:AL15)</f>
        <v>66699</v>
      </c>
      <c r="AN16" s="214">
        <f>SUM(AN9:AN15)</f>
        <v>264435</v>
      </c>
      <c r="AP16" s="214">
        <f>SUM(AP9:AP15)</f>
        <v>238534</v>
      </c>
    </row>
    <row r="17" spans="2:42" ht="16.5" customHeight="1" x14ac:dyDescent="0.3">
      <c r="B17" s="28"/>
      <c r="C17" s="197"/>
      <c r="D17" s="212"/>
      <c r="F17" s="215"/>
      <c r="H17" s="215"/>
      <c r="J17" s="215"/>
      <c r="L17" s="216"/>
      <c r="N17" s="215"/>
      <c r="P17" s="215"/>
      <c r="R17" s="215"/>
      <c r="T17" s="216"/>
      <c r="V17" s="215"/>
      <c r="X17" s="215"/>
      <c r="Z17" s="215"/>
      <c r="AB17" s="216"/>
      <c r="AD17" s="216"/>
      <c r="AF17" s="190"/>
      <c r="AG17" s="40"/>
      <c r="AH17" s="191"/>
      <c r="AI17" s="40"/>
      <c r="AJ17" s="191"/>
      <c r="AP17" s="216"/>
    </row>
    <row r="18" spans="2:42" ht="16.5" customHeight="1" x14ac:dyDescent="0.25">
      <c r="B18" s="28"/>
      <c r="C18" s="197"/>
      <c r="D18" s="212"/>
      <c r="F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</row>
    <row r="19" spans="2:42" ht="16.5" customHeight="1" x14ac:dyDescent="0.3">
      <c r="B19" s="28" t="s">
        <v>44</v>
      </c>
      <c r="C19" s="197"/>
      <c r="D19" s="212"/>
      <c r="F19" s="188"/>
      <c r="H19" s="188"/>
      <c r="J19" s="188"/>
      <c r="L19" s="189"/>
      <c r="N19" s="188"/>
      <c r="P19" s="188"/>
      <c r="R19" s="188"/>
      <c r="T19" s="189"/>
      <c r="V19" s="188"/>
      <c r="X19" s="188"/>
      <c r="Z19" s="188"/>
      <c r="AB19" s="189"/>
      <c r="AD19" s="189"/>
      <c r="AF19" s="190"/>
      <c r="AG19" s="40"/>
      <c r="AH19" s="191"/>
      <c r="AI19" s="40"/>
      <c r="AJ19" s="191"/>
      <c r="AP19" s="189"/>
    </row>
    <row r="20" spans="2:42" ht="16.5" customHeight="1" x14ac:dyDescent="0.3">
      <c r="B20" s="197"/>
      <c r="C20" s="197" t="s">
        <v>87</v>
      </c>
      <c r="D20" s="212"/>
      <c r="E20" s="32"/>
      <c r="F20" s="217">
        <v>12893</v>
      </c>
      <c r="G20" s="32"/>
      <c r="H20" s="217">
        <v>12951</v>
      </c>
      <c r="I20" s="32"/>
      <c r="J20" s="217">
        <v>13212</v>
      </c>
      <c r="K20" s="32"/>
      <c r="L20" s="51">
        <f>SUM(F20:J20)</f>
        <v>39056</v>
      </c>
      <c r="M20" s="32"/>
      <c r="N20" s="217">
        <v>12776</v>
      </c>
      <c r="O20" s="32"/>
      <c r="P20" s="217">
        <v>12480</v>
      </c>
      <c r="Q20" s="32"/>
      <c r="R20" s="217">
        <v>13915</v>
      </c>
      <c r="S20" s="32"/>
      <c r="T20" s="51">
        <f>SUM(N20:R20)</f>
        <v>39171</v>
      </c>
      <c r="U20" s="32"/>
      <c r="V20" s="217">
        <v>13587</v>
      </c>
      <c r="W20" s="32"/>
      <c r="X20" s="217">
        <v>12406</v>
      </c>
      <c r="Y20" s="32"/>
      <c r="Z20" s="217">
        <v>14186</v>
      </c>
      <c r="AA20" s="32"/>
      <c r="AB20" s="51">
        <f>SUM(V20:Z20)</f>
        <v>40179</v>
      </c>
      <c r="AC20" s="32"/>
      <c r="AD20" s="206">
        <f>+L20+T20+AB20</f>
        <v>118406</v>
      </c>
      <c r="AF20" s="190">
        <f>18393-3677-300-250-213</f>
        <v>13953</v>
      </c>
      <c r="AG20" s="40"/>
      <c r="AH20" s="191">
        <f>16500-3600-300-100-300</f>
        <v>12200</v>
      </c>
      <c r="AI20" s="40"/>
      <c r="AJ20" s="191">
        <f>16500-3600-300-100-300</f>
        <v>12200</v>
      </c>
      <c r="AL20" s="192">
        <f>SUM(AF20:AK20)</f>
        <v>38353</v>
      </c>
      <c r="AN20" s="192">
        <f>L20+T20+AB20+AL20</f>
        <v>156759</v>
      </c>
      <c r="AP20" s="206">
        <f>161090-750</f>
        <v>160340</v>
      </c>
    </row>
    <row r="21" spans="2:42" ht="16.5" customHeight="1" x14ac:dyDescent="0.3">
      <c r="B21" s="197"/>
      <c r="C21" s="197" t="s">
        <v>86</v>
      </c>
      <c r="D21" s="212"/>
      <c r="E21" s="32"/>
      <c r="F21" s="217"/>
      <c r="G21" s="32"/>
      <c r="H21" s="217"/>
      <c r="I21" s="32"/>
      <c r="J21" s="217"/>
      <c r="K21" s="32"/>
      <c r="L21" s="218"/>
      <c r="M21" s="32"/>
      <c r="N21" s="217"/>
      <c r="O21" s="32"/>
      <c r="P21" s="217"/>
      <c r="Q21" s="32"/>
      <c r="R21" s="217"/>
      <c r="S21" s="32"/>
      <c r="T21" s="218"/>
      <c r="U21" s="32"/>
      <c r="V21" s="217">
        <v>3492</v>
      </c>
      <c r="W21" s="32"/>
      <c r="X21" s="217">
        <v>3404</v>
      </c>
      <c r="Y21" s="32"/>
      <c r="Z21" s="217">
        <v>3725</v>
      </c>
      <c r="AA21" s="32"/>
      <c r="AB21" s="51">
        <f>SUM(V21:Z21)</f>
        <v>10621</v>
      </c>
      <c r="AC21" s="32"/>
      <c r="AD21" s="206">
        <f>+L21+T21+AB21</f>
        <v>10621</v>
      </c>
      <c r="AF21" s="190">
        <v>3677</v>
      </c>
      <c r="AG21" s="40"/>
      <c r="AH21" s="191">
        <v>3400</v>
      </c>
      <c r="AI21" s="40"/>
      <c r="AJ21" s="191">
        <v>3400</v>
      </c>
      <c r="AL21" s="192">
        <f>SUM(AF21:AK21)</f>
        <v>10477</v>
      </c>
      <c r="AN21" s="192">
        <f>L21+T21+AB21+AL21</f>
        <v>21098</v>
      </c>
      <c r="AP21" s="206"/>
    </row>
    <row r="22" spans="2:42" ht="16.5" customHeight="1" x14ac:dyDescent="0.3">
      <c r="B22" s="197"/>
      <c r="C22" s="197" t="s">
        <v>13</v>
      </c>
      <c r="D22" s="212"/>
      <c r="F22" s="219">
        <v>2794</v>
      </c>
      <c r="H22" s="219">
        <v>2882</v>
      </c>
      <c r="J22" s="219">
        <v>2831</v>
      </c>
      <c r="L22" s="58">
        <f>SUM(F22:J22)</f>
        <v>8507</v>
      </c>
      <c r="N22" s="219">
        <v>2806</v>
      </c>
      <c r="P22" s="219">
        <v>2813</v>
      </c>
      <c r="R22" s="219">
        <v>2771</v>
      </c>
      <c r="T22" s="58">
        <f>SUM(N22:R22)</f>
        <v>8390</v>
      </c>
      <c r="V22" s="219">
        <v>3186</v>
      </c>
      <c r="X22" s="219">
        <v>3216</v>
      </c>
      <c r="Z22" s="219">
        <v>3196</v>
      </c>
      <c r="AB22" s="58">
        <f>SUM(V22:Z22)</f>
        <v>9598</v>
      </c>
      <c r="AD22" s="220">
        <f>+L22+T22+AB22</f>
        <v>26495</v>
      </c>
      <c r="AF22" s="221">
        <v>3171</v>
      </c>
      <c r="AG22" s="40"/>
      <c r="AH22" s="221">
        <v>3171</v>
      </c>
      <c r="AI22" s="40"/>
      <c r="AJ22" s="221">
        <v>3171</v>
      </c>
      <c r="AL22" s="222">
        <f>SUM(AF22:AK22)</f>
        <v>9513</v>
      </c>
      <c r="AN22" s="222">
        <f>L22+T22+AB22+AL22</f>
        <v>36008</v>
      </c>
      <c r="AP22" s="220">
        <f>33868</f>
        <v>33868</v>
      </c>
    </row>
    <row r="23" spans="2:42" ht="16.5" customHeight="1" x14ac:dyDescent="0.3">
      <c r="B23" s="28"/>
      <c r="C23" s="197"/>
      <c r="D23" s="212"/>
      <c r="F23" s="223">
        <f>ROUND(SUM(F20:F22),0)</f>
        <v>15687</v>
      </c>
      <c r="H23" s="223">
        <f>ROUND(SUM(H20:H22),0)</f>
        <v>15833</v>
      </c>
      <c r="J23" s="223">
        <f>ROUND(SUM(J20:J22),0)</f>
        <v>16043</v>
      </c>
      <c r="L23" s="224">
        <f>ROUND(SUM(L20:L22),0)</f>
        <v>47563</v>
      </c>
      <c r="N23" s="223">
        <f>ROUND(SUM(N20:N22),0)</f>
        <v>15582</v>
      </c>
      <c r="P23" s="223">
        <f>ROUND(SUM(P20:P22),0)</f>
        <v>15293</v>
      </c>
      <c r="R23" s="223">
        <f>ROUND(SUM(R20:R22),0)</f>
        <v>16686</v>
      </c>
      <c r="T23" s="224">
        <f>ROUND(SUM(T20:T22),0)</f>
        <v>47561</v>
      </c>
      <c r="V23" s="223">
        <f>ROUND(SUM(V20:V22),0)</f>
        <v>20265</v>
      </c>
      <c r="X23" s="223">
        <f>ROUND(SUM(X20:X22),0)</f>
        <v>19026</v>
      </c>
      <c r="Z23" s="223">
        <f>ROUND(SUM(Z20:Z22),0)</f>
        <v>21107</v>
      </c>
      <c r="AB23" s="224">
        <f>ROUND(SUM(AB20:AB22),0)</f>
        <v>60398</v>
      </c>
      <c r="AD23" s="224">
        <f>ROUND(SUM(AD20:AD22),0)</f>
        <v>155522</v>
      </c>
      <c r="AF23" s="223">
        <f>ROUND(SUM(AF20:AF22),0)</f>
        <v>20801</v>
      </c>
      <c r="AG23" s="40"/>
      <c r="AH23" s="223">
        <f>ROUND(SUM(AH20:AH22),0)</f>
        <v>18771</v>
      </c>
      <c r="AI23" s="40"/>
      <c r="AJ23" s="223">
        <f>ROUND(SUM(AJ20:AJ22),0)</f>
        <v>18771</v>
      </c>
      <c r="AL23" s="224">
        <f>ROUND(SUM(AL20:AL22),0)</f>
        <v>58343</v>
      </c>
      <c r="AN23" s="224">
        <f>ROUND(SUM(AN20:AN22),0)</f>
        <v>213865</v>
      </c>
      <c r="AP23" s="224">
        <f>ROUND(SUM(AP20:AP22),0)</f>
        <v>194208</v>
      </c>
    </row>
    <row r="24" spans="2:42" ht="16.5" customHeight="1" x14ac:dyDescent="0.3">
      <c r="B24" s="197"/>
      <c r="C24" s="197"/>
      <c r="D24" s="212"/>
      <c r="F24" s="188"/>
      <c r="H24" s="188"/>
      <c r="J24" s="188"/>
      <c r="L24" s="189"/>
      <c r="N24" s="188"/>
      <c r="P24" s="188"/>
      <c r="R24" s="188"/>
      <c r="T24" s="189"/>
      <c r="V24" s="188"/>
      <c r="X24" s="188"/>
      <c r="Z24" s="188"/>
      <c r="AB24" s="189"/>
      <c r="AD24" s="189"/>
      <c r="AF24" s="190"/>
      <c r="AG24" s="40"/>
      <c r="AH24" s="191"/>
      <c r="AI24" s="40"/>
      <c r="AJ24" s="191"/>
      <c r="AP24" s="189"/>
    </row>
    <row r="25" spans="2:42" ht="16.5" customHeight="1" x14ac:dyDescent="0.3">
      <c r="B25" s="28" t="s">
        <v>14</v>
      </c>
      <c r="C25" s="197"/>
      <c r="D25" s="212"/>
      <c r="F25" s="225">
        <f>ROUND(F16-F23,0)</f>
        <v>5039</v>
      </c>
      <c r="H25" s="225">
        <f>ROUND(H16-H23,0)</f>
        <v>4465</v>
      </c>
      <c r="J25" s="225">
        <f>ROUND(J16-J23,0)</f>
        <v>2987</v>
      </c>
      <c r="L25" s="226">
        <f>ROUND(L16-L23,0)</f>
        <v>12491</v>
      </c>
      <c r="N25" s="225">
        <f>ROUND(N16-N23,0)</f>
        <v>1542</v>
      </c>
      <c r="P25" s="225">
        <f>ROUND(P16-P23,0)</f>
        <v>4910</v>
      </c>
      <c r="R25" s="225">
        <f>ROUND(R16-R23,0)</f>
        <v>5636</v>
      </c>
      <c r="T25" s="226">
        <f>ROUND(T16-T23,0)</f>
        <v>12088</v>
      </c>
      <c r="V25" s="225">
        <f>ROUND(V16-V23,0)</f>
        <v>6922</v>
      </c>
      <c r="X25" s="225">
        <f>ROUND(X16-X23,0)</f>
        <v>6112</v>
      </c>
      <c r="Z25" s="225">
        <f>ROUND(Z16-Z23,0)</f>
        <v>4601</v>
      </c>
      <c r="AB25" s="226">
        <f>ROUND(AB16-AB23,0)</f>
        <v>17635</v>
      </c>
      <c r="AD25" s="226">
        <f>ROUND(AD16-AD23,0)</f>
        <v>42214</v>
      </c>
      <c r="AF25" s="225">
        <f>ROUND(AF16-AF23,0)</f>
        <v>-1204</v>
      </c>
      <c r="AG25" s="40"/>
      <c r="AH25" s="225">
        <f>ROUND(AH16-AH23,0)</f>
        <v>4861</v>
      </c>
      <c r="AI25" s="40"/>
      <c r="AJ25" s="225">
        <f>ROUND(AJ16-AJ23,0)</f>
        <v>4699</v>
      </c>
      <c r="AL25" s="226">
        <f>ROUND(AL16-AL23,0)</f>
        <v>8356</v>
      </c>
      <c r="AN25" s="226">
        <f>ROUND(AN16-AN23,0)</f>
        <v>50570</v>
      </c>
      <c r="AP25" s="226">
        <f>ROUND(AP16-AP23,0)</f>
        <v>44326</v>
      </c>
    </row>
    <row r="26" spans="2:42" ht="16.5" customHeight="1" x14ac:dyDescent="0.3">
      <c r="B26" s="28"/>
      <c r="C26" s="197"/>
      <c r="D26" s="212"/>
      <c r="F26" s="215"/>
      <c r="H26" s="215"/>
      <c r="J26" s="215"/>
      <c r="L26" s="216"/>
      <c r="N26" s="215"/>
      <c r="P26" s="215"/>
      <c r="R26" s="215"/>
      <c r="T26" s="216"/>
      <c r="V26" s="215"/>
      <c r="X26" s="215"/>
      <c r="Z26" s="215"/>
      <c r="AB26" s="216"/>
      <c r="AD26" s="216"/>
      <c r="AF26" s="190"/>
      <c r="AG26" s="40"/>
      <c r="AH26" s="191"/>
      <c r="AI26" s="40"/>
      <c r="AJ26" s="191"/>
      <c r="AP26" s="216"/>
    </row>
    <row r="27" spans="2:42" ht="16.5" customHeight="1" x14ac:dyDescent="0.3">
      <c r="B27" s="36" t="s">
        <v>15</v>
      </c>
      <c r="C27" s="197"/>
      <c r="D27" s="212"/>
      <c r="F27" s="188"/>
      <c r="H27" s="188"/>
      <c r="J27" s="188"/>
      <c r="L27" s="189"/>
      <c r="N27" s="188"/>
      <c r="P27" s="188"/>
      <c r="R27" s="188"/>
      <c r="T27" s="189"/>
      <c r="V27" s="188"/>
      <c r="X27" s="188"/>
      <c r="Z27" s="188"/>
      <c r="AB27" s="189"/>
      <c r="AD27" s="189"/>
      <c r="AF27" s="190"/>
      <c r="AG27" s="40"/>
      <c r="AH27" s="191"/>
      <c r="AI27" s="40"/>
      <c r="AJ27" s="191"/>
      <c r="AP27" s="189"/>
    </row>
    <row r="28" spans="2:42" ht="16.5" customHeight="1" x14ac:dyDescent="0.3">
      <c r="B28" s="197"/>
      <c r="C28" s="36" t="s">
        <v>88</v>
      </c>
      <c r="D28" s="212"/>
      <c r="F28" s="217">
        <v>-2092</v>
      </c>
      <c r="H28" s="217">
        <v>-2379</v>
      </c>
      <c r="J28" s="217">
        <v>-2395</v>
      </c>
      <c r="L28" s="51">
        <f>SUM(F28:J28)</f>
        <v>-6866</v>
      </c>
      <c r="N28" s="217">
        <v>-2536</v>
      </c>
      <c r="P28" s="217">
        <v>-2559</v>
      </c>
      <c r="R28" s="217">
        <v>-2886</v>
      </c>
      <c r="T28" s="51">
        <f>SUM(N28:R28)</f>
        <v>-7981</v>
      </c>
      <c r="V28" s="217">
        <v>-2762</v>
      </c>
      <c r="X28" s="217">
        <v>-2849</v>
      </c>
      <c r="Z28" s="217">
        <v>-2894</v>
      </c>
      <c r="AB28" s="51">
        <f>SUM(V28:Z28)</f>
        <v>-8505</v>
      </c>
      <c r="AD28" s="206">
        <f>+L28+T28+AB28</f>
        <v>-23352</v>
      </c>
      <c r="AF28" s="190">
        <v>-2282</v>
      </c>
      <c r="AG28" s="40"/>
      <c r="AH28" s="191">
        <f>-2600-150</f>
        <v>-2750</v>
      </c>
      <c r="AI28" s="40"/>
      <c r="AJ28" s="191">
        <f>-2600-150</f>
        <v>-2750</v>
      </c>
      <c r="AL28" s="192">
        <f>SUM(AF28:AK28)</f>
        <v>-7782</v>
      </c>
      <c r="AN28" s="192">
        <f>L28+T28+AB28+AL28</f>
        <v>-31134</v>
      </c>
      <c r="AP28" s="206">
        <f>-28780</f>
        <v>-28780</v>
      </c>
    </row>
    <row r="29" spans="2:42" ht="16.5" customHeight="1" x14ac:dyDescent="0.3">
      <c r="B29" s="197"/>
      <c r="C29" s="36" t="s">
        <v>16</v>
      </c>
      <c r="D29" s="212"/>
      <c r="F29" s="217">
        <v>71</v>
      </c>
      <c r="H29" s="217">
        <v>55</v>
      </c>
      <c r="J29" s="217">
        <v>-482</v>
      </c>
      <c r="L29" s="51">
        <f>SUM(F29:J29)</f>
        <v>-356</v>
      </c>
      <c r="N29" s="217">
        <v>310</v>
      </c>
      <c r="P29" s="217">
        <v>-89</v>
      </c>
      <c r="R29" s="217">
        <v>-195</v>
      </c>
      <c r="T29" s="51">
        <f>SUM(N29:R29)</f>
        <v>26</v>
      </c>
      <c r="V29" s="217">
        <v>-1002</v>
      </c>
      <c r="X29" s="217">
        <v>-438</v>
      </c>
      <c r="Z29" s="217">
        <v>-427</v>
      </c>
      <c r="AB29" s="51">
        <f>SUM(V29:Z29)</f>
        <v>-1867</v>
      </c>
      <c r="AD29" s="220">
        <f>+L29+T29+AB29</f>
        <v>-2197</v>
      </c>
      <c r="AF29" s="190">
        <v>-137</v>
      </c>
      <c r="AG29" s="40"/>
      <c r="AH29" s="191">
        <v>-200</v>
      </c>
      <c r="AI29" s="40"/>
      <c r="AJ29" s="191">
        <v>-200</v>
      </c>
      <c r="AL29" s="192">
        <f>SUM(AF29:AK29)</f>
        <v>-537</v>
      </c>
      <c r="AN29" s="192">
        <f>L29+T29+AB29+AL29</f>
        <v>-2734</v>
      </c>
      <c r="AP29" s="220">
        <f>-2344</f>
        <v>-2344</v>
      </c>
    </row>
    <row r="30" spans="2:42" ht="16.5" customHeight="1" x14ac:dyDescent="0.3">
      <c r="B30" s="197"/>
      <c r="C30" s="197"/>
      <c r="D30" s="212"/>
      <c r="F30" s="213">
        <f>ROUND(SUM(F28:F29),0)</f>
        <v>-2021</v>
      </c>
      <c r="H30" s="213">
        <f>ROUND(SUM(H28:H29),0)</f>
        <v>-2324</v>
      </c>
      <c r="J30" s="213">
        <f>ROUND(SUM(J28:J29),0)</f>
        <v>-2877</v>
      </c>
      <c r="L30" s="214">
        <f>ROUND(SUM(L28:L29),0)</f>
        <v>-7222</v>
      </c>
      <c r="N30" s="213">
        <f>ROUND(SUM(N28:N29),0)</f>
        <v>-2226</v>
      </c>
      <c r="P30" s="213">
        <f>ROUND(SUM(P28:P29),0)</f>
        <v>-2648</v>
      </c>
      <c r="R30" s="213">
        <f>ROUND(SUM(R28:R29),0)</f>
        <v>-3081</v>
      </c>
      <c r="T30" s="214">
        <f>ROUND(SUM(T28:T29),0)</f>
        <v>-7955</v>
      </c>
      <c r="V30" s="213">
        <f>ROUND(SUM(V28:V29),0)</f>
        <v>-3764</v>
      </c>
      <c r="X30" s="213">
        <f>ROUND(SUM(X28:X29),0)</f>
        <v>-3287</v>
      </c>
      <c r="Z30" s="213">
        <f>ROUND(SUM(Z28:Z29),0)</f>
        <v>-3321</v>
      </c>
      <c r="AB30" s="214">
        <f>ROUND(SUM(AB28:AB29),0)</f>
        <v>-10372</v>
      </c>
      <c r="AD30" s="214">
        <f>ROUND(SUM(AD28:AD29),0)</f>
        <v>-25549</v>
      </c>
      <c r="AF30" s="213">
        <f>ROUND(SUM(AF28:AF29),0)</f>
        <v>-2419</v>
      </c>
      <c r="AG30" s="40"/>
      <c r="AH30" s="213">
        <f>ROUND(SUM(AH28:AH29),0)</f>
        <v>-2950</v>
      </c>
      <c r="AI30" s="40"/>
      <c r="AJ30" s="213">
        <f>ROUND(SUM(AJ28:AJ29),0)</f>
        <v>-2950</v>
      </c>
      <c r="AL30" s="214">
        <f>ROUND(SUM(AL28:AL29),0)</f>
        <v>-8319</v>
      </c>
      <c r="AN30" s="214">
        <f>ROUND(SUM(AN28:AN29),0)</f>
        <v>-33868</v>
      </c>
      <c r="AP30" s="214">
        <f>ROUND(SUM(AP28:AP29),0)</f>
        <v>-31124</v>
      </c>
    </row>
    <row r="31" spans="2:42" ht="16.5" customHeight="1" x14ac:dyDescent="0.3">
      <c r="B31" s="197"/>
      <c r="C31" s="197"/>
      <c r="D31" s="212"/>
      <c r="F31" s="215"/>
      <c r="H31" s="215"/>
      <c r="J31" s="215"/>
      <c r="L31" s="216"/>
      <c r="N31" s="215"/>
      <c r="P31" s="215"/>
      <c r="R31" s="215"/>
      <c r="T31" s="216"/>
      <c r="V31" s="215"/>
      <c r="X31" s="215"/>
      <c r="Z31" s="215"/>
      <c r="AB31" s="216"/>
      <c r="AD31" s="216"/>
      <c r="AF31" s="190"/>
      <c r="AG31" s="40"/>
      <c r="AH31" s="191"/>
      <c r="AI31" s="40"/>
      <c r="AJ31" s="191"/>
      <c r="AP31" s="216"/>
    </row>
    <row r="32" spans="2:42" ht="16.5" hidden="1" customHeight="1" x14ac:dyDescent="0.3">
      <c r="B32" s="36" t="s">
        <v>74</v>
      </c>
      <c r="C32" s="197"/>
      <c r="D32" s="212"/>
      <c r="F32" s="215"/>
      <c r="H32" s="215"/>
      <c r="J32" s="215"/>
      <c r="L32" s="216"/>
      <c r="N32" s="215"/>
      <c r="P32" s="215"/>
      <c r="R32" s="215"/>
      <c r="T32" s="216"/>
      <c r="V32" s="215"/>
      <c r="X32" s="215"/>
      <c r="Z32" s="215"/>
      <c r="AB32" s="216"/>
      <c r="AD32" s="216"/>
      <c r="AF32" s="190"/>
      <c r="AG32" s="40"/>
      <c r="AH32" s="191"/>
      <c r="AI32" s="40"/>
      <c r="AJ32" s="191"/>
      <c r="AP32" s="216"/>
    </row>
    <row r="33" spans="2:42" s="202" customFormat="1" ht="16.5" hidden="1" customHeight="1" x14ac:dyDescent="0.3">
      <c r="B33" s="104"/>
      <c r="C33" s="104" t="s">
        <v>75</v>
      </c>
      <c r="D33" s="199"/>
      <c r="E33" s="227"/>
      <c r="F33" s="228">
        <f>ROUND(F25+F30,0)</f>
        <v>3018</v>
      </c>
      <c r="G33" s="229"/>
      <c r="H33" s="228">
        <f>ROUND(H25+H30,0)</f>
        <v>2141</v>
      </c>
      <c r="I33" s="229"/>
      <c r="J33" s="228">
        <f>ROUND(J25+J30,0)</f>
        <v>110</v>
      </c>
      <c r="K33" s="229"/>
      <c r="L33" s="230">
        <f>ROUND(L25+L30,0)</f>
        <v>5269</v>
      </c>
      <c r="M33" s="229"/>
      <c r="N33" s="228">
        <f>ROUND(N25+N30,0)</f>
        <v>-684</v>
      </c>
      <c r="O33" s="229"/>
      <c r="P33" s="228">
        <f>ROUND(P25+P30,0)</f>
        <v>2262</v>
      </c>
      <c r="Q33" s="229"/>
      <c r="R33" s="228">
        <f>ROUND(R25+R30,0)</f>
        <v>2555</v>
      </c>
      <c r="S33" s="229"/>
      <c r="T33" s="230">
        <f>ROUND(T25+T30,0)</f>
        <v>4133</v>
      </c>
      <c r="U33" s="229"/>
      <c r="V33" s="228">
        <f>ROUND(V25+V30,0)</f>
        <v>3158</v>
      </c>
      <c r="W33" s="229"/>
      <c r="X33" s="228">
        <f>ROUND(X25+X30,0)</f>
        <v>2825</v>
      </c>
      <c r="Y33" s="229"/>
      <c r="Z33" s="228">
        <f>ROUND(Z25+Z30,0)</f>
        <v>1280</v>
      </c>
      <c r="AA33" s="229"/>
      <c r="AB33" s="230">
        <f>ROUND(AB25+AB30,0)</f>
        <v>7263</v>
      </c>
      <c r="AC33" s="229"/>
      <c r="AD33" s="230">
        <f>ROUND(AD25+AD30,0)</f>
        <v>16665</v>
      </c>
      <c r="AE33" s="231"/>
      <c r="AF33" s="228">
        <f>ROUND(AF25+AF30,0)</f>
        <v>-3623</v>
      </c>
      <c r="AG33" s="232"/>
      <c r="AH33" s="228">
        <f>ROUND(AH25+AH30,0)</f>
        <v>1911</v>
      </c>
      <c r="AI33" s="232"/>
      <c r="AJ33" s="228">
        <f>ROUND(AJ25+AJ30,0)</f>
        <v>1749</v>
      </c>
      <c r="AK33" s="231"/>
      <c r="AL33" s="230">
        <f>ROUND(AL25+AL30,0)</f>
        <v>37</v>
      </c>
      <c r="AM33" s="233"/>
      <c r="AN33" s="230">
        <f>ROUND(AN25+AN30,0)</f>
        <v>16702</v>
      </c>
      <c r="AO33" s="233"/>
      <c r="AP33" s="230">
        <f>ROUND(AP25+AP30,0)</f>
        <v>13202</v>
      </c>
    </row>
    <row r="34" spans="2:42" ht="16.5" hidden="1" customHeight="1" x14ac:dyDescent="0.3">
      <c r="E34" s="234"/>
      <c r="F34" s="228"/>
      <c r="G34" s="235"/>
      <c r="H34" s="228"/>
      <c r="I34" s="235"/>
      <c r="J34" s="228"/>
      <c r="K34" s="235"/>
      <c r="L34" s="230"/>
      <c r="M34" s="235"/>
      <c r="N34" s="228"/>
      <c r="O34" s="235"/>
      <c r="P34" s="228"/>
      <c r="Q34" s="235"/>
      <c r="R34" s="228"/>
      <c r="S34" s="235"/>
      <c r="T34" s="230"/>
      <c r="U34" s="235"/>
      <c r="V34" s="228"/>
      <c r="W34" s="235"/>
      <c r="X34" s="228"/>
      <c r="Y34" s="235"/>
      <c r="Z34" s="228"/>
      <c r="AA34" s="235"/>
      <c r="AB34" s="230"/>
      <c r="AC34" s="235"/>
      <c r="AD34" s="230"/>
      <c r="AE34" s="236"/>
      <c r="AF34" s="237"/>
      <c r="AG34" s="238"/>
      <c r="AH34" s="239"/>
      <c r="AI34" s="238"/>
      <c r="AJ34" s="239"/>
      <c r="AK34" s="236"/>
      <c r="AL34" s="240"/>
      <c r="AM34" s="240"/>
      <c r="AN34" s="240"/>
      <c r="AO34" s="240"/>
      <c r="AP34" s="230"/>
    </row>
    <row r="35" spans="2:42" ht="16.5" hidden="1" customHeight="1" x14ac:dyDescent="0.3">
      <c r="B35" s="36"/>
      <c r="C35" s="197"/>
      <c r="D35" s="212"/>
      <c r="E35" s="234"/>
      <c r="F35" s="228"/>
      <c r="G35" s="235"/>
      <c r="H35" s="228"/>
      <c r="I35" s="235"/>
      <c r="J35" s="228"/>
      <c r="K35" s="235"/>
      <c r="L35" s="230"/>
      <c r="M35" s="235"/>
      <c r="N35" s="228"/>
      <c r="O35" s="235"/>
      <c r="P35" s="228"/>
      <c r="Q35" s="235"/>
      <c r="R35" s="228"/>
      <c r="S35" s="235"/>
      <c r="T35" s="230"/>
      <c r="U35" s="235"/>
      <c r="V35" s="228"/>
      <c r="W35" s="235"/>
      <c r="X35" s="228"/>
      <c r="Y35" s="235"/>
      <c r="Z35" s="228"/>
      <c r="AA35" s="235"/>
      <c r="AB35" s="230"/>
      <c r="AC35" s="235"/>
      <c r="AD35" s="230"/>
      <c r="AE35" s="236"/>
      <c r="AF35" s="237"/>
      <c r="AG35" s="238"/>
      <c r="AH35" s="239"/>
      <c r="AI35" s="238"/>
      <c r="AJ35" s="239"/>
      <c r="AK35" s="236"/>
      <c r="AL35" s="240"/>
      <c r="AM35" s="240"/>
      <c r="AN35" s="240"/>
      <c r="AO35" s="240"/>
      <c r="AP35" s="230"/>
    </row>
    <row r="36" spans="2:42" ht="16.5" hidden="1" customHeight="1" x14ac:dyDescent="0.3">
      <c r="B36" s="28" t="s">
        <v>70</v>
      </c>
      <c r="C36" s="36"/>
      <c r="D36" s="212"/>
      <c r="F36" s="241">
        <v>0</v>
      </c>
      <c r="G36" s="238"/>
      <c r="H36" s="241">
        <v>0</v>
      </c>
      <c r="I36" s="238"/>
      <c r="J36" s="241">
        <v>0</v>
      </c>
      <c r="K36" s="238"/>
      <c r="L36" s="242">
        <v>0</v>
      </c>
      <c r="M36" s="238"/>
      <c r="N36" s="241">
        <v>0</v>
      </c>
      <c r="O36" s="238"/>
      <c r="P36" s="241">
        <v>0</v>
      </c>
      <c r="Q36" s="238"/>
      <c r="R36" s="241">
        <v>0</v>
      </c>
      <c r="S36" s="238"/>
      <c r="T36" s="242">
        <v>0</v>
      </c>
      <c r="U36" s="238"/>
      <c r="V36" s="241">
        <v>0</v>
      </c>
      <c r="W36" s="238"/>
      <c r="X36" s="241">
        <v>0</v>
      </c>
      <c r="Y36" s="238"/>
      <c r="Z36" s="241">
        <v>0</v>
      </c>
      <c r="AA36" s="238"/>
      <c r="AB36" s="242">
        <v>0</v>
      </c>
      <c r="AC36" s="238"/>
      <c r="AD36" s="242">
        <v>0</v>
      </c>
      <c r="AE36" s="236"/>
      <c r="AF36" s="241">
        <v>0</v>
      </c>
      <c r="AG36" s="238"/>
      <c r="AH36" s="241">
        <v>0</v>
      </c>
      <c r="AI36" s="238"/>
      <c r="AJ36" s="241">
        <v>0</v>
      </c>
      <c r="AK36" s="236"/>
      <c r="AL36" s="243">
        <f>SUM(AF36:AJ36)</f>
        <v>0</v>
      </c>
      <c r="AM36" s="240"/>
      <c r="AN36" s="244">
        <f>L36+T36+AB36+AL36</f>
        <v>0</v>
      </c>
      <c r="AO36" s="240"/>
      <c r="AP36" s="242">
        <v>0</v>
      </c>
    </row>
    <row r="37" spans="2:42" ht="16.5" hidden="1" customHeight="1" x14ac:dyDescent="0.3">
      <c r="B37" s="28"/>
      <c r="C37" s="36"/>
      <c r="D37" s="212"/>
      <c r="F37" s="228"/>
      <c r="G37" s="238"/>
      <c r="H37" s="228"/>
      <c r="I37" s="238"/>
      <c r="J37" s="228"/>
      <c r="K37" s="238"/>
      <c r="L37" s="230"/>
      <c r="M37" s="238"/>
      <c r="N37" s="228"/>
      <c r="O37" s="238"/>
      <c r="P37" s="228"/>
      <c r="Q37" s="238"/>
      <c r="R37" s="228"/>
      <c r="S37" s="238"/>
      <c r="T37" s="230"/>
      <c r="U37" s="238"/>
      <c r="V37" s="228"/>
      <c r="W37" s="238"/>
      <c r="X37" s="228"/>
      <c r="Y37" s="238"/>
      <c r="Z37" s="228"/>
      <c r="AA37" s="238"/>
      <c r="AB37" s="230"/>
      <c r="AC37" s="238"/>
      <c r="AD37" s="230"/>
      <c r="AE37" s="236"/>
      <c r="AF37" s="237"/>
      <c r="AG37" s="238"/>
      <c r="AH37" s="239"/>
      <c r="AI37" s="238"/>
      <c r="AJ37" s="239"/>
      <c r="AK37" s="236"/>
      <c r="AL37" s="240"/>
      <c r="AM37" s="240"/>
      <c r="AN37" s="240"/>
      <c r="AO37" s="240"/>
      <c r="AP37" s="230"/>
    </row>
    <row r="38" spans="2:42" ht="16.5" hidden="1" customHeight="1" x14ac:dyDescent="0.3">
      <c r="B38" s="28" t="s">
        <v>69</v>
      </c>
      <c r="C38" s="197"/>
      <c r="D38" s="212"/>
      <c r="E38" s="194"/>
      <c r="F38" s="228">
        <f>SUM(F33:F36)</f>
        <v>3018</v>
      </c>
      <c r="G38" s="229"/>
      <c r="H38" s="228">
        <f>SUM(H33:H36)</f>
        <v>2141</v>
      </c>
      <c r="I38" s="229"/>
      <c r="J38" s="228">
        <f>SUM(J33:J36)</f>
        <v>110</v>
      </c>
      <c r="K38" s="229"/>
      <c r="L38" s="230">
        <f>SUM(L33:L36)</f>
        <v>5269</v>
      </c>
      <c r="M38" s="229"/>
      <c r="N38" s="228">
        <f>SUM(N33:N36)</f>
        <v>-684</v>
      </c>
      <c r="O38" s="229"/>
      <c r="P38" s="228">
        <f>SUM(P33:P36)</f>
        <v>2262</v>
      </c>
      <c r="Q38" s="229"/>
      <c r="R38" s="228">
        <f>SUM(R33:R36)</f>
        <v>2555</v>
      </c>
      <c r="S38" s="229"/>
      <c r="T38" s="230">
        <f>SUM(T33:T36)</f>
        <v>4133</v>
      </c>
      <c r="U38" s="229"/>
      <c r="V38" s="228">
        <f>SUM(V33:V36)</f>
        <v>3158</v>
      </c>
      <c r="W38" s="229"/>
      <c r="X38" s="228">
        <f>SUM(X33:X36)</f>
        <v>2825</v>
      </c>
      <c r="Y38" s="229"/>
      <c r="Z38" s="228">
        <f>SUM(Z33:Z36)</f>
        <v>1280</v>
      </c>
      <c r="AA38" s="229"/>
      <c r="AB38" s="230">
        <f>SUM(AB33:AB36)</f>
        <v>7263</v>
      </c>
      <c r="AC38" s="229"/>
      <c r="AD38" s="230">
        <f>SUM(AD33:AD36)</f>
        <v>16665</v>
      </c>
      <c r="AE38" s="231"/>
      <c r="AF38" s="228">
        <f>SUM(AF33:AF36)</f>
        <v>-3623</v>
      </c>
      <c r="AG38" s="232"/>
      <c r="AH38" s="228">
        <f>SUM(AH33:AH36)</f>
        <v>1911</v>
      </c>
      <c r="AI38" s="232"/>
      <c r="AJ38" s="228">
        <f>SUM(AJ33:AJ36)</f>
        <v>1749</v>
      </c>
      <c r="AK38" s="231"/>
      <c r="AL38" s="230">
        <f>SUM(AL33:AL36)</f>
        <v>37</v>
      </c>
      <c r="AM38" s="233"/>
      <c r="AN38" s="233">
        <f>L38+T38+AB38+AL38</f>
        <v>16702</v>
      </c>
      <c r="AO38" s="233"/>
      <c r="AP38" s="230">
        <f>SUM(AP33:AP36)</f>
        <v>13202</v>
      </c>
    </row>
    <row r="39" spans="2:42" ht="16.5" customHeight="1" x14ac:dyDescent="0.3">
      <c r="B39" s="36" t="s">
        <v>76</v>
      </c>
      <c r="C39" s="197"/>
      <c r="D39" s="212"/>
      <c r="E39" s="234"/>
      <c r="F39" s="223"/>
      <c r="G39" s="234"/>
      <c r="H39" s="223"/>
      <c r="I39" s="234"/>
      <c r="J39" s="223">
        <v>1073</v>
      </c>
      <c r="K39" s="234"/>
      <c r="L39" s="58">
        <f>SUM(F39:J39)</f>
        <v>1073</v>
      </c>
      <c r="M39" s="234"/>
      <c r="N39" s="223"/>
      <c r="O39" s="234"/>
      <c r="P39" s="223"/>
      <c r="Q39" s="234"/>
      <c r="R39" s="223"/>
      <c r="S39" s="234"/>
      <c r="T39" s="58">
        <f>SUM(N39:R39)</f>
        <v>0</v>
      </c>
      <c r="U39" s="234"/>
      <c r="V39" s="223"/>
      <c r="W39" s="234"/>
      <c r="X39" s="223"/>
      <c r="Y39" s="234"/>
      <c r="Z39" s="223"/>
      <c r="AA39" s="234"/>
      <c r="AB39" s="58">
        <f>SUM(V39:Z39)</f>
        <v>0</v>
      </c>
      <c r="AC39" s="234"/>
      <c r="AD39" s="220">
        <f>+L39+T39+AB39</f>
        <v>1073</v>
      </c>
      <c r="AF39" s="223"/>
      <c r="AG39" s="40"/>
      <c r="AH39" s="223"/>
      <c r="AI39" s="40"/>
      <c r="AJ39" s="223"/>
      <c r="AL39" s="58">
        <f>SUM(AF39:AJ39)</f>
        <v>0</v>
      </c>
      <c r="AN39" s="222">
        <f>L39+T39+AB39+AL39</f>
        <v>1073</v>
      </c>
      <c r="AP39" s="220"/>
    </row>
    <row r="40" spans="2:42" ht="16.5" customHeight="1" x14ac:dyDescent="0.3">
      <c r="B40" s="36"/>
      <c r="C40" s="197"/>
      <c r="D40" s="212"/>
      <c r="E40" s="234"/>
      <c r="F40" s="215"/>
      <c r="G40" s="234"/>
      <c r="H40" s="215"/>
      <c r="I40" s="234"/>
      <c r="J40" s="215"/>
      <c r="K40" s="234"/>
      <c r="L40" s="216"/>
      <c r="M40" s="234"/>
      <c r="N40" s="215"/>
      <c r="O40" s="234"/>
      <c r="P40" s="215"/>
      <c r="Q40" s="234"/>
      <c r="R40" s="215"/>
      <c r="S40" s="234"/>
      <c r="T40" s="216"/>
      <c r="U40" s="234"/>
      <c r="V40" s="215"/>
      <c r="W40" s="234"/>
      <c r="X40" s="215"/>
      <c r="Y40" s="234"/>
      <c r="Z40" s="215"/>
      <c r="AA40" s="234"/>
      <c r="AB40" s="216"/>
      <c r="AC40" s="234"/>
      <c r="AD40" s="216"/>
      <c r="AF40" s="190"/>
      <c r="AG40" s="40"/>
      <c r="AH40" s="191"/>
      <c r="AI40" s="40"/>
      <c r="AJ40" s="191"/>
      <c r="AP40" s="216"/>
    </row>
    <row r="41" spans="2:42" ht="16.5" customHeight="1" thickBot="1" x14ac:dyDescent="0.35">
      <c r="B41" s="36" t="s">
        <v>45</v>
      </c>
      <c r="C41" s="197"/>
      <c r="D41" s="212"/>
      <c r="E41" s="234"/>
      <c r="F41" s="245">
        <f>+F33+F39</f>
        <v>3018</v>
      </c>
      <c r="G41" s="234"/>
      <c r="H41" s="245">
        <f>+H33+H39</f>
        <v>2141</v>
      </c>
      <c r="I41" s="234"/>
      <c r="J41" s="245">
        <f>+J33+J39</f>
        <v>1183</v>
      </c>
      <c r="K41" s="234"/>
      <c r="L41" s="246">
        <f>+L33+L39</f>
        <v>6342</v>
      </c>
      <c r="M41" s="234"/>
      <c r="N41" s="245">
        <f>+N33+N39</f>
        <v>-684</v>
      </c>
      <c r="O41" s="234"/>
      <c r="P41" s="245">
        <f>+P33+P39</f>
        <v>2262</v>
      </c>
      <c r="Q41" s="234"/>
      <c r="R41" s="245">
        <f>+R33+R39</f>
        <v>2555</v>
      </c>
      <c r="S41" s="234"/>
      <c r="T41" s="246">
        <f>+T33+T39</f>
        <v>4133</v>
      </c>
      <c r="U41" s="234"/>
      <c r="V41" s="245">
        <f>+V33+V39</f>
        <v>3158</v>
      </c>
      <c r="W41" s="234"/>
      <c r="X41" s="245">
        <f>+X33+X39</f>
        <v>2825</v>
      </c>
      <c r="Y41" s="234"/>
      <c r="Z41" s="245">
        <f>+Z33+Z39</f>
        <v>1280</v>
      </c>
      <c r="AA41" s="234"/>
      <c r="AB41" s="246">
        <f>+AB33+AB39</f>
        <v>7263</v>
      </c>
      <c r="AC41" s="234"/>
      <c r="AD41" s="246">
        <f>+AD33+AD39</f>
        <v>17738</v>
      </c>
      <c r="AF41" s="245">
        <f>+AF33+AF39</f>
        <v>-3623</v>
      </c>
      <c r="AG41" s="40"/>
      <c r="AH41" s="245">
        <f>+AH33+AH39</f>
        <v>1911</v>
      </c>
      <c r="AI41" s="40"/>
      <c r="AJ41" s="245">
        <f>+AJ33+AJ39</f>
        <v>1749</v>
      </c>
      <c r="AL41" s="246">
        <f>+AL33+AL39</f>
        <v>37</v>
      </c>
      <c r="AN41" s="246">
        <f>+AN33+AN39</f>
        <v>17775</v>
      </c>
      <c r="AP41" s="246">
        <f>+AP33+AP39</f>
        <v>13202</v>
      </c>
    </row>
    <row r="42" spans="2:42" ht="16.5" customHeight="1" thickTop="1" x14ac:dyDescent="0.3">
      <c r="B42" s="36"/>
      <c r="C42" s="197"/>
      <c r="D42" s="212"/>
      <c r="E42" s="234"/>
      <c r="F42" s="215"/>
      <c r="G42" s="234"/>
      <c r="H42" s="215"/>
      <c r="I42" s="234"/>
      <c r="J42" s="215"/>
      <c r="K42" s="234"/>
      <c r="L42" s="216"/>
      <c r="M42" s="234"/>
      <c r="N42" s="215"/>
      <c r="O42" s="234"/>
      <c r="P42" s="215"/>
      <c r="Q42" s="234"/>
      <c r="R42" s="215"/>
      <c r="S42" s="234"/>
      <c r="T42" s="216"/>
      <c r="U42" s="234"/>
      <c r="V42" s="215"/>
      <c r="W42" s="234"/>
      <c r="X42" s="215"/>
      <c r="Y42" s="234"/>
      <c r="Z42" s="215"/>
      <c r="AA42" s="234"/>
      <c r="AB42" s="216"/>
      <c r="AC42" s="234"/>
      <c r="AD42" s="216"/>
      <c r="AF42" s="190"/>
      <c r="AG42" s="40"/>
      <c r="AH42" s="191"/>
      <c r="AI42" s="40"/>
      <c r="AJ42" s="191"/>
      <c r="AP42" s="216"/>
    </row>
    <row r="43" spans="2:42" ht="16.5" customHeight="1" x14ac:dyDescent="0.3">
      <c r="B43" s="36" t="s">
        <v>81</v>
      </c>
      <c r="C43" s="197"/>
      <c r="D43" s="212"/>
      <c r="E43" s="234"/>
      <c r="F43" s="215"/>
      <c r="G43" s="234"/>
      <c r="H43" s="215"/>
      <c r="I43" s="234"/>
      <c r="J43" s="215"/>
      <c r="K43" s="234"/>
      <c r="L43" s="247">
        <f>(+L41*0.98)/L50</f>
        <v>0.22620323191148639</v>
      </c>
      <c r="M43" s="248"/>
      <c r="N43" s="249"/>
      <c r="O43" s="248"/>
      <c r="P43" s="249"/>
      <c r="Q43" s="248"/>
      <c r="R43" s="249"/>
      <c r="S43" s="248"/>
      <c r="T43" s="247">
        <f>(+T41*0.98)/T50</f>
        <v>0.14741374290289708</v>
      </c>
      <c r="U43" s="248"/>
      <c r="V43" s="249"/>
      <c r="W43" s="248"/>
      <c r="X43" s="249"/>
      <c r="Y43" s="248"/>
      <c r="Z43" s="249"/>
      <c r="AA43" s="248"/>
      <c r="AB43" s="247">
        <f>(+AB41*0.98)/AB50</f>
        <v>0.25905299170184887</v>
      </c>
      <c r="AC43" s="248"/>
      <c r="AD43" s="247">
        <f>(+AD33*0.98)/AD50</f>
        <v>0.59439874799825299</v>
      </c>
      <c r="AE43" s="250"/>
      <c r="AF43" s="251"/>
      <c r="AG43" s="250"/>
      <c r="AH43" s="252"/>
      <c r="AI43" s="250"/>
      <c r="AJ43" s="252"/>
      <c r="AK43" s="250"/>
      <c r="AL43" s="247">
        <f>(+AL41*0.98)/AL50</f>
        <v>1.3196971902751493E-3</v>
      </c>
      <c r="AM43" s="252"/>
      <c r="AN43" s="247">
        <f>(+AN41*0.98)/AN50</f>
        <v>0.63398966370650744</v>
      </c>
      <c r="AO43" s="252"/>
      <c r="AP43" s="247">
        <f>(+AP33*0.98)/AP50</f>
        <v>0.47088222448682482</v>
      </c>
    </row>
    <row r="44" spans="2:42" ht="5.25" customHeight="1" x14ac:dyDescent="0.3">
      <c r="B44" s="36"/>
      <c r="C44" s="197"/>
      <c r="D44" s="212"/>
      <c r="E44" s="234"/>
      <c r="F44" s="215"/>
      <c r="G44" s="234"/>
      <c r="H44" s="215"/>
      <c r="I44" s="234"/>
      <c r="J44" s="215"/>
      <c r="K44" s="234"/>
      <c r="L44" s="253"/>
      <c r="M44" s="234"/>
      <c r="N44" s="215"/>
      <c r="O44" s="234"/>
      <c r="P44" s="215"/>
      <c r="Q44" s="234"/>
      <c r="R44" s="215"/>
      <c r="S44" s="234"/>
      <c r="T44" s="253"/>
      <c r="U44" s="234"/>
      <c r="V44" s="215"/>
      <c r="W44" s="234"/>
      <c r="X44" s="215"/>
      <c r="Y44" s="234"/>
      <c r="Z44" s="215"/>
      <c r="AA44" s="234"/>
      <c r="AB44" s="253"/>
      <c r="AC44" s="234"/>
      <c r="AD44" s="253"/>
      <c r="AP44" s="253"/>
    </row>
    <row r="45" spans="2:42" ht="16.5" customHeight="1" x14ac:dyDescent="0.3">
      <c r="B45" s="36" t="s">
        <v>80</v>
      </c>
      <c r="C45" s="197"/>
      <c r="D45" s="212"/>
      <c r="E45" s="234"/>
      <c r="F45" s="215"/>
      <c r="G45" s="234"/>
      <c r="H45" s="215"/>
      <c r="I45" s="234"/>
      <c r="J45" s="215"/>
      <c r="K45" s="234"/>
      <c r="L45" s="247">
        <f>(+L46*0.98)/L50</f>
        <v>7.9217498908138007E-2</v>
      </c>
      <c r="M45" s="255"/>
      <c r="N45" s="256"/>
      <c r="O45" s="255"/>
      <c r="P45" s="256"/>
      <c r="Q45" s="255"/>
      <c r="R45" s="256"/>
      <c r="S45" s="255"/>
      <c r="T45" s="247">
        <f>(+T46*0.98)/T50</f>
        <v>0.11930775949919929</v>
      </c>
      <c r="U45" s="255"/>
      <c r="V45" s="256"/>
      <c r="W45" s="255"/>
      <c r="X45" s="256"/>
      <c r="Y45" s="255"/>
      <c r="Z45" s="256"/>
      <c r="AA45" s="255"/>
      <c r="AB45" s="247">
        <f>(+AB46*0.98)/AB50</f>
        <v>0.13992356966079486</v>
      </c>
      <c r="AC45" s="255"/>
      <c r="AD45" s="247">
        <f>(+AD46*0.98)/AD50</f>
        <v>0.33844882806813215</v>
      </c>
      <c r="AE45" s="257"/>
      <c r="AF45" s="258"/>
      <c r="AG45" s="257"/>
      <c r="AH45" s="259"/>
      <c r="AI45" s="257"/>
      <c r="AJ45" s="259"/>
      <c r="AK45" s="257"/>
      <c r="AL45" s="247">
        <f>(+AL46*0.98)/AL50</f>
        <v>0.13243339641869267</v>
      </c>
      <c r="AM45" s="259"/>
      <c r="AN45" s="259"/>
      <c r="AO45" s="259"/>
      <c r="AP45" s="247">
        <f>(+AP46*0.98)/AP50</f>
        <v>0.47088222448682482</v>
      </c>
    </row>
    <row r="46" spans="2:42" ht="16.5" customHeight="1" x14ac:dyDescent="0.3">
      <c r="B46" s="28" t="s">
        <v>79</v>
      </c>
      <c r="C46" s="197"/>
      <c r="D46" s="212"/>
      <c r="E46" s="234"/>
      <c r="F46" s="215"/>
      <c r="G46" s="234"/>
      <c r="H46" s="215"/>
      <c r="I46" s="234"/>
      <c r="J46" s="215"/>
      <c r="K46" s="234"/>
      <c r="L46" s="260">
        <f>7109-4888</f>
        <v>2221</v>
      </c>
      <c r="M46" s="234"/>
      <c r="N46" s="215"/>
      <c r="O46" s="234"/>
      <c r="P46" s="215"/>
      <c r="Q46" s="234"/>
      <c r="R46" s="215"/>
      <c r="S46" s="234"/>
      <c r="T46" s="260">
        <v>3345</v>
      </c>
      <c r="U46" s="234"/>
      <c r="V46" s="215"/>
      <c r="W46" s="234"/>
      <c r="X46" s="215"/>
      <c r="Y46" s="234"/>
      <c r="Z46" s="215"/>
      <c r="AA46" s="234"/>
      <c r="AB46" s="260">
        <v>3923</v>
      </c>
      <c r="AC46" s="227"/>
      <c r="AD46" s="261">
        <f>SUM(L46:AB46)</f>
        <v>9489</v>
      </c>
      <c r="AE46" s="204"/>
      <c r="AF46" s="262"/>
      <c r="AG46" s="204"/>
      <c r="AH46" s="205"/>
      <c r="AI46" s="204"/>
      <c r="AJ46" s="205"/>
      <c r="AK46" s="204"/>
      <c r="AL46" s="205">
        <v>3713</v>
      </c>
      <c r="AP46" s="261">
        <f>SUM(AD46:AL46)</f>
        <v>13202</v>
      </c>
    </row>
    <row r="47" spans="2:42" ht="16.5" customHeight="1" x14ac:dyDescent="0.3">
      <c r="B47" s="28"/>
      <c r="C47" s="197"/>
      <c r="D47" s="212"/>
      <c r="E47" s="234"/>
      <c r="F47" s="215"/>
      <c r="G47" s="234"/>
      <c r="H47" s="215"/>
      <c r="I47" s="234"/>
      <c r="J47" s="215"/>
      <c r="K47" s="234"/>
      <c r="L47" s="260"/>
      <c r="M47" s="234"/>
      <c r="N47" s="215"/>
      <c r="O47" s="234"/>
      <c r="P47" s="215"/>
      <c r="Q47" s="234"/>
      <c r="R47" s="215"/>
      <c r="S47" s="234"/>
      <c r="T47" s="260"/>
      <c r="U47" s="234"/>
      <c r="V47" s="215"/>
      <c r="W47" s="234"/>
      <c r="X47" s="215"/>
      <c r="Y47" s="234"/>
      <c r="Z47" s="215"/>
      <c r="AA47" s="234"/>
      <c r="AB47" s="260"/>
      <c r="AC47" s="227"/>
      <c r="AD47" s="261"/>
      <c r="AE47" s="204"/>
      <c r="AF47" s="262"/>
      <c r="AG47" s="204"/>
      <c r="AH47" s="205"/>
      <c r="AI47" s="204"/>
      <c r="AJ47" s="205"/>
      <c r="AK47" s="204"/>
      <c r="AL47" s="205"/>
      <c r="AP47" s="261"/>
    </row>
    <row r="48" spans="2:42" ht="16.5" customHeight="1" x14ac:dyDescent="0.3">
      <c r="B48" s="28" t="s">
        <v>82</v>
      </c>
      <c r="D48" s="212"/>
      <c r="E48" s="234"/>
      <c r="F48" s="215"/>
      <c r="G48" s="234"/>
      <c r="H48" s="215"/>
      <c r="I48" s="234"/>
      <c r="J48" s="215"/>
      <c r="K48" s="234"/>
      <c r="L48" s="186"/>
      <c r="N48" s="40"/>
      <c r="P48" s="40"/>
      <c r="R48" s="40"/>
      <c r="T48" s="186"/>
      <c r="V48" s="40"/>
      <c r="X48" s="40"/>
      <c r="Z48" s="40"/>
      <c r="AB48" s="186"/>
      <c r="AD48" s="186"/>
    </row>
    <row r="49" spans="2:45" ht="16.5" customHeight="1" x14ac:dyDescent="0.3">
      <c r="B49" s="263"/>
      <c r="C49" s="28"/>
      <c r="D49" s="212"/>
      <c r="E49" s="234"/>
      <c r="F49" s="215"/>
      <c r="G49" s="234"/>
      <c r="H49" s="215"/>
      <c r="I49" s="234"/>
      <c r="J49" s="215"/>
      <c r="K49" s="234"/>
      <c r="L49" s="216"/>
      <c r="M49" s="234"/>
      <c r="N49" s="215"/>
      <c r="O49" s="234"/>
      <c r="P49" s="215"/>
      <c r="Q49" s="234"/>
      <c r="R49" s="215"/>
      <c r="S49" s="234"/>
      <c r="T49" s="216"/>
      <c r="U49" s="234"/>
      <c r="V49" s="215"/>
      <c r="W49" s="234"/>
      <c r="X49" s="215"/>
      <c r="Y49" s="234"/>
      <c r="Z49" s="215"/>
      <c r="AA49" s="234"/>
      <c r="AB49" s="216"/>
      <c r="AC49" s="234"/>
      <c r="AD49" s="216"/>
      <c r="AP49" s="216"/>
    </row>
    <row r="50" spans="2:45" ht="16.5" customHeight="1" x14ac:dyDescent="0.3">
      <c r="B50" s="263"/>
      <c r="C50" s="197"/>
      <c r="D50" s="212"/>
      <c r="E50" s="234"/>
      <c r="F50" s="215"/>
      <c r="G50" s="234"/>
      <c r="H50" s="215"/>
      <c r="I50" s="234"/>
      <c r="J50" s="215"/>
      <c r="K50" s="234"/>
      <c r="L50" s="216">
        <v>27476</v>
      </c>
      <c r="M50" s="234"/>
      <c r="N50" s="215"/>
      <c r="O50" s="234"/>
      <c r="P50" s="215"/>
      <c r="Q50" s="234"/>
      <c r="R50" s="215"/>
      <c r="S50" s="234"/>
      <c r="T50" s="216">
        <v>27476</v>
      </c>
      <c r="U50" s="234"/>
      <c r="V50" s="215"/>
      <c r="W50" s="234"/>
      <c r="X50" s="215"/>
      <c r="Y50" s="234"/>
      <c r="Z50" s="215"/>
      <c r="AA50" s="234"/>
      <c r="AB50" s="216">
        <v>27476</v>
      </c>
      <c r="AC50" s="234"/>
      <c r="AD50" s="216">
        <v>27476</v>
      </c>
      <c r="AL50" s="192">
        <v>27476</v>
      </c>
      <c r="AN50" s="192">
        <v>27476</v>
      </c>
      <c r="AP50" s="216">
        <v>27476</v>
      </c>
    </row>
    <row r="51" spans="2:45" ht="16.5" customHeight="1" thickBot="1" x14ac:dyDescent="0.35">
      <c r="B51" s="264"/>
      <c r="C51" s="264"/>
      <c r="D51" s="265"/>
      <c r="E51" s="265"/>
      <c r="F51" s="266"/>
      <c r="G51" s="265"/>
      <c r="H51" s="266"/>
      <c r="I51" s="265"/>
      <c r="J51" s="266"/>
      <c r="K51" s="265"/>
      <c r="L51" s="267"/>
      <c r="M51" s="265"/>
      <c r="N51" s="266"/>
      <c r="O51" s="265"/>
      <c r="P51" s="266"/>
      <c r="Q51" s="265"/>
      <c r="R51" s="266"/>
      <c r="S51" s="265"/>
      <c r="T51" s="267"/>
      <c r="U51" s="265"/>
      <c r="V51" s="266"/>
      <c r="W51" s="265"/>
      <c r="X51" s="266"/>
      <c r="Y51" s="265"/>
      <c r="Z51" s="266"/>
      <c r="AA51" s="265"/>
      <c r="AB51" s="267"/>
      <c r="AC51" s="265"/>
      <c r="AD51" s="267"/>
    </row>
    <row r="57" spans="2:45" ht="16.5" customHeight="1" x14ac:dyDescent="0.3">
      <c r="D57" s="115" t="s">
        <v>0</v>
      </c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</row>
    <row r="58" spans="2:45" ht="16.5" customHeight="1" x14ac:dyDescent="0.3">
      <c r="D58" s="116" t="s">
        <v>73</v>
      </c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</row>
    <row r="59" spans="2:45" ht="16.5" customHeight="1" x14ac:dyDescent="0.3">
      <c r="D59" s="117" t="s">
        <v>1</v>
      </c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</row>
  </sheetData>
  <printOptions horizontalCentered="1"/>
  <pageMargins left="0.31" right="0.25" top="0.75" bottom="1" header="0.5" footer="0.5"/>
  <pageSetup scale="59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7"/>
  <sheetViews>
    <sheetView zoomScale="75" zoomScaleNormal="75" workbookViewId="0">
      <selection activeCell="AC27" sqref="AC27"/>
    </sheetView>
  </sheetViews>
  <sheetFormatPr defaultColWidth="9.28515625" defaultRowHeight="16.5" customHeight="1" x14ac:dyDescent="0.3"/>
  <cols>
    <col min="1" max="1" width="2.28515625" style="40" customWidth="1"/>
    <col min="2" max="2" width="2.85546875" style="40" customWidth="1"/>
    <col min="3" max="3" width="4.85546875" style="40" customWidth="1"/>
    <col min="4" max="4" width="32" style="40" customWidth="1"/>
    <col min="5" max="5" width="3.85546875" style="40" hidden="1" customWidth="1"/>
    <col min="6" max="6" width="13.85546875" style="268" hidden="1" customWidth="1"/>
    <col min="7" max="7" width="2.85546875" style="40" hidden="1" customWidth="1"/>
    <col min="8" max="8" width="13.85546875" style="268" hidden="1" customWidth="1"/>
    <col min="9" max="9" width="2.85546875" style="40" hidden="1" customWidth="1"/>
    <col min="10" max="10" width="13.85546875" style="268" hidden="1" customWidth="1"/>
    <col min="11" max="12" width="2.85546875" style="40" hidden="1" customWidth="1"/>
    <col min="13" max="13" width="13.85546875" style="269" hidden="1" customWidth="1"/>
    <col min="14" max="14" width="3.85546875" style="40" hidden="1" customWidth="1"/>
    <col min="15" max="15" width="13.85546875" style="269" hidden="1" customWidth="1"/>
    <col min="16" max="16" width="3.140625" style="186" customWidth="1"/>
    <col min="17" max="17" width="13.85546875" style="254" customWidth="1"/>
    <col min="18" max="18" width="2.85546875" style="186" customWidth="1"/>
    <col min="19" max="19" width="13.85546875" style="192" customWidth="1"/>
    <col min="20" max="20" width="2.85546875" style="186" customWidth="1"/>
    <col min="21" max="21" width="14.28515625" style="192" customWidth="1"/>
    <col min="22" max="22" width="2.85546875" style="186" customWidth="1"/>
    <col min="23" max="23" width="15.28515625" style="192" customWidth="1"/>
    <col min="24" max="24" width="4.28515625" style="192" customWidth="1"/>
    <col min="25" max="25" width="15.28515625" style="192" customWidth="1"/>
    <col min="26" max="26" width="2.85546875" style="192" customWidth="1"/>
    <col min="27" max="27" width="15.28515625" style="186" customWidth="1"/>
    <col min="28" max="28" width="2.85546875" style="40" customWidth="1"/>
    <col min="29" max="29" width="15.28515625" style="186" customWidth="1"/>
    <col min="30" max="30" width="0.140625" style="40" customWidth="1"/>
    <col min="31" max="31" width="2.85546875" style="40" customWidth="1"/>
    <col min="32" max="32" width="15.28515625" style="192" customWidth="1"/>
    <col min="33" max="16384" width="9.28515625" style="40"/>
  </cols>
  <sheetData>
    <row r="1" spans="1:32" s="186" customFormat="1" ht="16.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F1" s="1"/>
    </row>
    <row r="2" spans="1:32" s="186" customFormat="1" ht="16.5" customHeight="1" x14ac:dyDescent="0.3">
      <c r="A2" s="4" t="s">
        <v>130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C2" s="4"/>
      <c r="AF2" s="4"/>
    </row>
    <row r="3" spans="1:32" s="186" customFormat="1" ht="16.5" customHeight="1" x14ac:dyDescent="0.3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C3" s="9"/>
      <c r="AF3" s="9"/>
    </row>
    <row r="4" spans="1:32" ht="16.5" customHeight="1" x14ac:dyDescent="0.3">
      <c r="B4" s="187"/>
      <c r="D4" s="187"/>
      <c r="E4" s="187"/>
      <c r="F4" s="188"/>
      <c r="G4" s="187"/>
      <c r="H4" s="188"/>
      <c r="I4" s="187"/>
      <c r="J4" s="188"/>
      <c r="K4" s="187"/>
      <c r="L4" s="187"/>
      <c r="M4" s="189"/>
      <c r="N4" s="187"/>
      <c r="O4" s="189"/>
      <c r="Q4" s="190"/>
      <c r="R4" s="40"/>
      <c r="S4" s="191"/>
      <c r="T4" s="40"/>
      <c r="U4" s="191"/>
    </row>
    <row r="5" spans="1:32" ht="16.5" customHeight="1" x14ac:dyDescent="0.3">
      <c r="B5" s="187"/>
      <c r="D5" s="187"/>
      <c r="E5" s="193"/>
      <c r="F5" s="188"/>
      <c r="G5" s="193"/>
      <c r="H5" s="188"/>
      <c r="I5" s="193"/>
      <c r="J5" s="188"/>
      <c r="K5" s="193"/>
      <c r="L5" s="193"/>
      <c r="M5" s="189"/>
      <c r="N5" s="193"/>
      <c r="O5" s="189"/>
      <c r="Q5" s="283">
        <v>2001</v>
      </c>
      <c r="R5" s="284"/>
      <c r="S5" s="285"/>
      <c r="T5" s="284"/>
      <c r="U5" s="285"/>
      <c r="V5" s="286"/>
      <c r="W5" s="287"/>
      <c r="Y5" s="288">
        <v>2002</v>
      </c>
      <c r="Z5" s="288"/>
      <c r="AA5" s="289"/>
      <c r="AB5" s="290"/>
      <c r="AC5" s="289"/>
      <c r="AD5" s="290"/>
      <c r="AE5" s="290"/>
      <c r="AF5" s="288"/>
    </row>
    <row r="6" spans="1:32" ht="16.5" customHeight="1" x14ac:dyDescent="0.3">
      <c r="B6" s="106"/>
      <c r="C6" s="95"/>
      <c r="D6" s="96"/>
      <c r="E6" s="194"/>
      <c r="F6" s="109" t="s">
        <v>34</v>
      </c>
      <c r="G6" s="194"/>
      <c r="H6" s="109" t="s">
        <v>35</v>
      </c>
      <c r="I6" s="194"/>
      <c r="J6" s="109" t="s">
        <v>36</v>
      </c>
      <c r="K6" s="194"/>
      <c r="L6" s="194"/>
      <c r="M6" s="105"/>
      <c r="N6" s="194"/>
      <c r="O6" s="105" t="s">
        <v>71</v>
      </c>
      <c r="P6" s="195"/>
      <c r="Q6" s="111" t="s">
        <v>54</v>
      </c>
      <c r="R6" s="193"/>
      <c r="S6" s="112" t="s">
        <v>55</v>
      </c>
      <c r="T6" s="193"/>
      <c r="U6" s="112" t="s">
        <v>56</v>
      </c>
      <c r="V6" s="195"/>
      <c r="W6" s="105" t="s">
        <v>122</v>
      </c>
      <c r="X6" s="196"/>
      <c r="Y6" s="110" t="s">
        <v>34</v>
      </c>
      <c r="Z6" s="281"/>
      <c r="AA6" s="110" t="s">
        <v>35</v>
      </c>
      <c r="AC6" s="110" t="s">
        <v>36</v>
      </c>
      <c r="AF6" s="105" t="s">
        <v>123</v>
      </c>
    </row>
    <row r="7" spans="1:32" ht="16.5" customHeight="1" x14ac:dyDescent="0.3">
      <c r="B7" s="107" t="s">
        <v>2</v>
      </c>
      <c r="C7" s="87"/>
      <c r="D7" s="87"/>
      <c r="E7" s="194"/>
      <c r="F7" s="108" t="s">
        <v>3</v>
      </c>
      <c r="G7" s="194"/>
      <c r="H7" s="101" t="s">
        <v>3</v>
      </c>
      <c r="I7" s="194"/>
      <c r="J7" s="101" t="s">
        <v>3</v>
      </c>
      <c r="K7" s="194"/>
      <c r="L7" s="194"/>
      <c r="M7" s="270"/>
      <c r="N7" s="194"/>
      <c r="O7" s="48" t="s">
        <v>3</v>
      </c>
      <c r="Q7" s="113" t="s">
        <v>3</v>
      </c>
      <c r="R7" s="40"/>
      <c r="S7" s="114" t="s">
        <v>84</v>
      </c>
      <c r="T7" s="40"/>
      <c r="U7" s="114" t="s">
        <v>84</v>
      </c>
      <c r="W7" s="24" t="s">
        <v>84</v>
      </c>
      <c r="X7" s="64"/>
      <c r="Y7" s="282" t="s">
        <v>84</v>
      </c>
      <c r="Z7" s="110"/>
      <c r="AA7" s="282" t="s">
        <v>84</v>
      </c>
      <c r="AC7" s="282" t="s">
        <v>84</v>
      </c>
      <c r="AF7" s="24" t="s">
        <v>84</v>
      </c>
    </row>
    <row r="8" spans="1:32" ht="16.5" customHeight="1" x14ac:dyDescent="0.3">
      <c r="B8" s="28" t="s">
        <v>4</v>
      </c>
      <c r="C8" s="197"/>
      <c r="D8" s="197"/>
      <c r="F8" s="188"/>
      <c r="H8" s="188"/>
      <c r="J8" s="188"/>
      <c r="L8" s="193"/>
      <c r="M8" s="216"/>
      <c r="O8" s="189"/>
      <c r="Q8" s="190"/>
      <c r="R8" s="40"/>
      <c r="S8" s="191"/>
      <c r="T8" s="40"/>
      <c r="U8" s="191"/>
      <c r="AA8" s="189"/>
      <c r="AC8" s="189"/>
    </row>
    <row r="9" spans="1:32" ht="16.5" customHeight="1" x14ac:dyDescent="0.3">
      <c r="C9" s="28" t="s">
        <v>5</v>
      </c>
      <c r="D9" s="198"/>
      <c r="E9" s="32"/>
      <c r="F9" s="199">
        <v>7714</v>
      </c>
      <c r="G9" s="32"/>
      <c r="H9" s="199">
        <v>8538</v>
      </c>
      <c r="I9" s="32"/>
      <c r="J9" s="199">
        <v>6079</v>
      </c>
      <c r="K9" s="32"/>
      <c r="L9" s="271"/>
      <c r="M9" s="260"/>
      <c r="N9" s="32"/>
      <c r="O9" s="57" t="e">
        <f>+#REF!+#REF!+M9</f>
        <v>#REF!</v>
      </c>
      <c r="Q9" s="201">
        <v>2970</v>
      </c>
      <c r="R9" s="202"/>
      <c r="S9" s="203">
        <v>7000</v>
      </c>
      <c r="T9" s="202"/>
      <c r="U9" s="203">
        <v>6000</v>
      </c>
      <c r="V9" s="204"/>
      <c r="W9" s="205">
        <f t="shared" ref="W9:W14" si="0">SUM(Q9:V9)</f>
        <v>15970</v>
      </c>
      <c r="X9" s="205"/>
      <c r="Y9" s="291">
        <v>5029</v>
      </c>
      <c r="Z9" s="191"/>
      <c r="AA9" s="291">
        <v>5795</v>
      </c>
      <c r="AC9" s="292">
        <f>'[1]monthly margin detail'!$E$148</f>
        <v>6986.2939999999999</v>
      </c>
      <c r="AF9" s="205">
        <f t="shared" ref="AF9:AF14" si="1">SUM(Y9:AC9)</f>
        <v>17810.294000000002</v>
      </c>
    </row>
    <row r="10" spans="1:32" ht="16.5" customHeight="1" x14ac:dyDescent="0.3">
      <c r="C10" s="28" t="s">
        <v>21</v>
      </c>
      <c r="D10" s="198"/>
      <c r="E10" s="32"/>
      <c r="F10" s="102">
        <v>10486</v>
      </c>
      <c r="G10" s="32"/>
      <c r="H10" s="102">
        <v>9730</v>
      </c>
      <c r="I10" s="32"/>
      <c r="J10" s="102">
        <v>10829</v>
      </c>
      <c r="K10" s="32"/>
      <c r="L10" s="271"/>
      <c r="M10" s="64"/>
      <c r="N10" s="32"/>
      <c r="O10" s="206" t="e">
        <f>+#REF!+#REF!+M10</f>
        <v>#REF!</v>
      </c>
      <c r="Q10" s="190">
        <v>9077</v>
      </c>
      <c r="R10" s="40"/>
      <c r="S10" s="191">
        <f>10500-300</f>
        <v>10200</v>
      </c>
      <c r="T10" s="40"/>
      <c r="U10" s="191">
        <v>10500</v>
      </c>
      <c r="W10" s="192">
        <f t="shared" si="0"/>
        <v>29777</v>
      </c>
      <c r="Y10" s="207">
        <f>'[1]monthly margin detail'!$B$149-200</f>
        <v>10499.760999999999</v>
      </c>
      <c r="Z10" s="191"/>
      <c r="AA10" s="207">
        <f>'[1]monthly margin detail'!$C$149</f>
        <v>9718.1039999999994</v>
      </c>
      <c r="AC10" s="293">
        <f>'[1]monthly margin detail'!$E$149</f>
        <v>11015.091</v>
      </c>
      <c r="AF10" s="278">
        <f t="shared" si="1"/>
        <v>31232.955999999998</v>
      </c>
    </row>
    <row r="11" spans="1:32" ht="16.5" customHeight="1" x14ac:dyDescent="0.3">
      <c r="C11" s="28" t="s">
        <v>6</v>
      </c>
      <c r="D11" s="198"/>
      <c r="E11" s="32"/>
      <c r="F11" s="102">
        <v>486</v>
      </c>
      <c r="G11" s="32"/>
      <c r="H11" s="102">
        <v>488</v>
      </c>
      <c r="I11" s="32"/>
      <c r="J11" s="102">
        <v>388</v>
      </c>
      <c r="K11" s="32"/>
      <c r="L11" s="271"/>
      <c r="M11" s="64"/>
      <c r="N11" s="32"/>
      <c r="O11" s="206" t="e">
        <f>+#REF!+#REF!+M11</f>
        <v>#REF!</v>
      </c>
      <c r="Q11" s="190">
        <v>232</v>
      </c>
      <c r="R11" s="40"/>
      <c r="S11" s="191">
        <f>250+100</f>
        <v>350</v>
      </c>
      <c r="T11" s="40"/>
      <c r="U11" s="191">
        <f>250+100</f>
        <v>350</v>
      </c>
      <c r="W11" s="192">
        <f t="shared" si="0"/>
        <v>932</v>
      </c>
      <c r="Y11" s="207">
        <f>'[1]monthly margin detail'!$B$150</f>
        <v>583.33299999999997</v>
      </c>
      <c r="Z11" s="191"/>
      <c r="AA11" s="207">
        <f>'[1]monthly margin detail'!$C$150</f>
        <v>583.33299999999997</v>
      </c>
      <c r="AC11" s="293">
        <f>'[1]monthly margin detail'!$E$150</f>
        <v>583.33299999999997</v>
      </c>
      <c r="AF11" s="278">
        <f t="shared" si="1"/>
        <v>1749.9989999999998</v>
      </c>
    </row>
    <row r="12" spans="1:32" s="309" customFormat="1" ht="16.5" customHeight="1" x14ac:dyDescent="0.3">
      <c r="B12" s="310"/>
      <c r="C12" s="311" t="s">
        <v>77</v>
      </c>
      <c r="D12" s="311"/>
      <c r="E12" s="312"/>
      <c r="F12" s="313">
        <v>0</v>
      </c>
      <c r="G12" s="312"/>
      <c r="H12" s="313">
        <v>0</v>
      </c>
      <c r="I12" s="312"/>
      <c r="J12" s="313">
        <v>0</v>
      </c>
      <c r="K12" s="312"/>
      <c r="L12" s="314"/>
      <c r="M12" s="315"/>
      <c r="N12" s="312"/>
      <c r="O12" s="316" t="e">
        <f>+#REF!+#REF!+M12</f>
        <v>#REF!</v>
      </c>
      <c r="P12" s="317"/>
      <c r="Q12" s="318">
        <v>5259</v>
      </c>
      <c r="S12" s="319">
        <v>4805</v>
      </c>
      <c r="U12" s="319">
        <f>3100-583+500+1372+392</f>
        <v>4781</v>
      </c>
      <c r="V12" s="317"/>
      <c r="W12" s="320">
        <f t="shared" si="0"/>
        <v>14845</v>
      </c>
      <c r="X12" s="320"/>
      <c r="Y12" s="321">
        <v>3800</v>
      </c>
      <c r="Z12" s="319"/>
      <c r="AA12" s="321">
        <v>2000</v>
      </c>
      <c r="AC12" s="322">
        <v>5900</v>
      </c>
      <c r="AF12" s="323">
        <f t="shared" si="1"/>
        <v>11700</v>
      </c>
    </row>
    <row r="13" spans="1:32" s="309" customFormat="1" ht="16.5" customHeight="1" x14ac:dyDescent="0.3">
      <c r="B13" s="310"/>
      <c r="C13" s="311" t="s">
        <v>78</v>
      </c>
      <c r="D13" s="311"/>
      <c r="E13" s="312"/>
      <c r="F13" s="313">
        <v>0</v>
      </c>
      <c r="G13" s="312"/>
      <c r="H13" s="313">
        <v>0</v>
      </c>
      <c r="I13" s="312"/>
      <c r="J13" s="313">
        <v>0</v>
      </c>
      <c r="K13" s="312"/>
      <c r="L13" s="314"/>
      <c r="M13" s="315"/>
      <c r="N13" s="312"/>
      <c r="O13" s="316" t="e">
        <f>+#REF!+#REF!+M13</f>
        <v>#REF!</v>
      </c>
      <c r="P13" s="317"/>
      <c r="Q13" s="318">
        <v>1480</v>
      </c>
      <c r="S13" s="319">
        <v>1352</v>
      </c>
      <c r="U13" s="321">
        <f>500+87+77</f>
        <v>664</v>
      </c>
      <c r="V13" s="317"/>
      <c r="W13" s="320">
        <f t="shared" si="0"/>
        <v>3496</v>
      </c>
      <c r="X13" s="320"/>
      <c r="Y13" s="321">
        <v>500</v>
      </c>
      <c r="Z13" s="319"/>
      <c r="AA13" s="321">
        <v>500</v>
      </c>
      <c r="AC13" s="322">
        <v>800</v>
      </c>
      <c r="AF13" s="323">
        <f t="shared" si="1"/>
        <v>1800</v>
      </c>
    </row>
    <row r="14" spans="1:32" ht="16.5" customHeight="1" x14ac:dyDescent="0.3">
      <c r="C14" s="28" t="s">
        <v>89</v>
      </c>
      <c r="D14" s="198"/>
      <c r="E14" s="32"/>
      <c r="F14" s="102">
        <f>907+835+229</f>
        <v>1971</v>
      </c>
      <c r="G14" s="32"/>
      <c r="H14" s="102">
        <f>863+339+295</f>
        <v>1497</v>
      </c>
      <c r="I14" s="32"/>
      <c r="J14" s="102">
        <f>964+902-182</f>
        <v>1684</v>
      </c>
      <c r="K14" s="32"/>
      <c r="L14" s="271"/>
      <c r="M14" s="64"/>
      <c r="N14" s="32"/>
      <c r="O14" s="206" t="e">
        <f>+#REF!+#REF!+M14</f>
        <v>#REF!</v>
      </c>
      <c r="Q14" s="190">
        <f>884-63-242</f>
        <v>579</v>
      </c>
      <c r="R14" s="40"/>
      <c r="S14" s="191">
        <f>800-75-800</f>
        <v>-75</v>
      </c>
      <c r="T14" s="40"/>
      <c r="U14" s="191">
        <f>825+350</f>
        <v>1175</v>
      </c>
      <c r="W14" s="192">
        <f t="shared" si="0"/>
        <v>1679</v>
      </c>
      <c r="Y14" s="207">
        <f>'[1]monthly margin detail'!$B$151+'[1]monthly margin detail'!$B$152</f>
        <v>1302.357</v>
      </c>
      <c r="Z14" s="191"/>
      <c r="AA14" s="207">
        <f>'[1]monthly margin detail'!$C$151+'[1]monthly margin detail'!$C$152</f>
        <v>1176.3229999999999</v>
      </c>
      <c r="AC14" s="293">
        <f>'[1]monthly margin detail'!$E$152+'[1]monthly margin detail'!$E$151</f>
        <v>1302.357</v>
      </c>
      <c r="AF14" s="278">
        <f t="shared" si="1"/>
        <v>3781.0369999999998</v>
      </c>
    </row>
    <row r="15" spans="1:32" ht="16.5" customHeight="1" x14ac:dyDescent="0.3">
      <c r="B15" s="28" t="s">
        <v>12</v>
      </c>
      <c r="C15" s="197"/>
      <c r="D15" s="212"/>
      <c r="F15" s="213">
        <f>SUM(F9:F14)</f>
        <v>20657</v>
      </c>
      <c r="H15" s="213">
        <f>SUM(H9:H14)</f>
        <v>20253</v>
      </c>
      <c r="J15" s="213">
        <f>SUM(J9:J14)</f>
        <v>18980</v>
      </c>
      <c r="L15" s="193"/>
      <c r="M15" s="216"/>
      <c r="O15" s="214" t="e">
        <f>SUM(O9:O14)</f>
        <v>#REF!</v>
      </c>
      <c r="Q15" s="213">
        <f>SUM(Q9:Q14)</f>
        <v>19597</v>
      </c>
      <c r="R15" s="40"/>
      <c r="S15" s="213">
        <f>SUM(S9:S14)</f>
        <v>23632</v>
      </c>
      <c r="T15" s="40"/>
      <c r="U15" s="213">
        <f>SUM(U9:U14)</f>
        <v>23470</v>
      </c>
      <c r="W15" s="214">
        <f>SUM(W9:W14)</f>
        <v>66699</v>
      </c>
      <c r="Y15" s="213">
        <f>SUM(Y9:Y14)</f>
        <v>21714.450999999997</v>
      </c>
      <c r="Z15" s="191"/>
      <c r="AA15" s="213">
        <f>SUM(AA9:AA14)</f>
        <v>19772.759999999998</v>
      </c>
      <c r="AC15" s="213">
        <f>SUM(AC9:AC14)</f>
        <v>26587.075000000001</v>
      </c>
      <c r="AF15" s="214">
        <f>SUM(AF9:AF14)</f>
        <v>68074.285999999993</v>
      </c>
    </row>
    <row r="16" spans="1:32" ht="16.5" customHeight="1" x14ac:dyDescent="0.3">
      <c r="B16" s="28"/>
      <c r="C16" s="197"/>
      <c r="D16" s="212"/>
      <c r="F16" s="215"/>
      <c r="H16" s="215"/>
      <c r="J16" s="215"/>
      <c r="L16" s="193"/>
      <c r="M16" s="216"/>
      <c r="O16" s="216"/>
      <c r="Q16" s="190"/>
      <c r="R16" s="40"/>
      <c r="S16" s="191"/>
      <c r="T16" s="40"/>
      <c r="U16" s="191"/>
      <c r="Y16" s="191"/>
      <c r="Z16" s="191"/>
      <c r="AA16" s="215"/>
      <c r="AC16" s="215"/>
    </row>
    <row r="17" spans="2:32" ht="16.5" customHeight="1" x14ac:dyDescent="0.25">
      <c r="B17" s="28"/>
      <c r="C17" s="197"/>
      <c r="D17" s="212"/>
      <c r="F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C17" s="215"/>
      <c r="AF17" s="215"/>
    </row>
    <row r="18" spans="2:32" ht="16.5" customHeight="1" x14ac:dyDescent="0.3">
      <c r="B18" s="28" t="s">
        <v>44</v>
      </c>
      <c r="C18" s="197"/>
      <c r="D18" s="212"/>
      <c r="F18" s="188"/>
      <c r="H18" s="188"/>
      <c r="J18" s="188"/>
      <c r="L18" s="193"/>
      <c r="M18" s="216"/>
      <c r="O18" s="189"/>
      <c r="Q18" s="190"/>
      <c r="R18" s="40"/>
      <c r="S18" s="191"/>
      <c r="T18" s="40"/>
      <c r="U18" s="191"/>
      <c r="Y18" s="191"/>
      <c r="Z18" s="191"/>
      <c r="AA18" s="188"/>
      <c r="AC18" s="188"/>
    </row>
    <row r="19" spans="2:32" ht="16.5" customHeight="1" x14ac:dyDescent="0.3">
      <c r="B19" s="197"/>
      <c r="C19" s="197" t="s">
        <v>87</v>
      </c>
      <c r="D19" s="212"/>
      <c r="E19" s="32"/>
      <c r="F19" s="217">
        <v>12893</v>
      </c>
      <c r="G19" s="32"/>
      <c r="H19" s="217">
        <v>12951</v>
      </c>
      <c r="I19" s="32"/>
      <c r="J19" s="217">
        <v>13212</v>
      </c>
      <c r="K19" s="32"/>
      <c r="L19" s="271"/>
      <c r="M19" s="64"/>
      <c r="N19" s="32"/>
      <c r="O19" s="206" t="e">
        <f>+#REF!+#REF!+M19</f>
        <v>#REF!</v>
      </c>
      <c r="Q19" s="190">
        <f>18393-3677-300-250-213</f>
        <v>13953</v>
      </c>
      <c r="R19" s="40"/>
      <c r="S19" s="191">
        <f>16500-3600-300-100-300</f>
        <v>12200</v>
      </c>
      <c r="T19" s="40"/>
      <c r="U19" s="191">
        <f>16500-3600-300-100-300</f>
        <v>12200</v>
      </c>
      <c r="W19" s="192">
        <f>SUM(Q19:V19)</f>
        <v>38353</v>
      </c>
      <c r="Y19" s="191">
        <f>[1]monthly!$C$22-400</f>
        <v>12421.645833333334</v>
      </c>
      <c r="Z19" s="191"/>
      <c r="AA19" s="293">
        <f>[1]monthly!$D$22-400</f>
        <v>12421.645833333334</v>
      </c>
      <c r="AC19" s="293">
        <f>[1]monthly!$E$22-400</f>
        <v>12421.645833333334</v>
      </c>
      <c r="AF19" s="205">
        <f>SUM(Y19:AC19)</f>
        <v>37264.9375</v>
      </c>
    </row>
    <row r="20" spans="2:32" ht="16.5" customHeight="1" x14ac:dyDescent="0.3">
      <c r="B20" s="197"/>
      <c r="C20" s="197" t="s">
        <v>86</v>
      </c>
      <c r="D20" s="212"/>
      <c r="E20" s="32"/>
      <c r="F20" s="217"/>
      <c r="G20" s="32"/>
      <c r="H20" s="217"/>
      <c r="I20" s="32"/>
      <c r="J20" s="217"/>
      <c r="K20" s="32"/>
      <c r="L20" s="271"/>
      <c r="M20" s="64"/>
      <c r="N20" s="32"/>
      <c r="O20" s="206" t="e">
        <f>+#REF!+#REF!+M20</f>
        <v>#REF!</v>
      </c>
      <c r="Q20" s="190">
        <v>3677</v>
      </c>
      <c r="R20" s="40"/>
      <c r="S20" s="191">
        <v>3400</v>
      </c>
      <c r="T20" s="40"/>
      <c r="U20" s="191">
        <v>3400</v>
      </c>
      <c r="W20" s="192">
        <f>SUM(Q20:V20)</f>
        <v>10477</v>
      </c>
      <c r="Y20" s="191">
        <f>[1]monthly!$C$23</f>
        <v>3744</v>
      </c>
      <c r="Z20" s="191"/>
      <c r="AA20" s="293">
        <f>[1]monthly!$D$23</f>
        <v>4260</v>
      </c>
      <c r="AC20" s="293">
        <f>[1]monthly!$E$23</f>
        <v>3585</v>
      </c>
      <c r="AF20" s="278">
        <f>SUM(Y20:AC20)</f>
        <v>11589</v>
      </c>
    </row>
    <row r="21" spans="2:32" ht="16.5" customHeight="1" x14ac:dyDescent="0.3">
      <c r="B21" s="197"/>
      <c r="C21" s="197" t="s">
        <v>13</v>
      </c>
      <c r="D21" s="212"/>
      <c r="F21" s="219">
        <v>2794</v>
      </c>
      <c r="H21" s="219">
        <v>2882</v>
      </c>
      <c r="J21" s="219">
        <v>2831</v>
      </c>
      <c r="L21" s="193"/>
      <c r="M21" s="64"/>
      <c r="O21" s="220" t="e">
        <f>+#REF!+#REF!+M21</f>
        <v>#REF!</v>
      </c>
      <c r="Q21" s="221">
        <v>3171</v>
      </c>
      <c r="R21" s="40"/>
      <c r="S21" s="221">
        <v>3171</v>
      </c>
      <c r="T21" s="40"/>
      <c r="U21" s="221">
        <v>3171</v>
      </c>
      <c r="W21" s="222">
        <f>SUM(Q21:V21)</f>
        <v>9513</v>
      </c>
      <c r="Y21" s="294">
        <f>10262/3</f>
        <v>3420.6666666666665</v>
      </c>
      <c r="Z21" s="191"/>
      <c r="AA21" s="219">
        <f>10262/3</f>
        <v>3420.6666666666665</v>
      </c>
      <c r="AC21" s="219">
        <f>10262-AA21-Y21</f>
        <v>3420.6666666666674</v>
      </c>
      <c r="AF21" s="299">
        <f>SUM(Y21:AC21)</f>
        <v>10262</v>
      </c>
    </row>
    <row r="22" spans="2:32" ht="16.5" customHeight="1" x14ac:dyDescent="0.3">
      <c r="B22" s="28"/>
      <c r="C22" s="197"/>
      <c r="D22" s="212"/>
      <c r="F22" s="223">
        <f>ROUND(SUM(F19:F21),0)</f>
        <v>15687</v>
      </c>
      <c r="H22" s="223">
        <f>ROUND(SUM(H19:H21),0)</f>
        <v>15833</v>
      </c>
      <c r="J22" s="223">
        <f>ROUND(SUM(J19:J21),0)</f>
        <v>16043</v>
      </c>
      <c r="L22" s="193"/>
      <c r="M22" s="272"/>
      <c r="O22" s="224" t="e">
        <f>ROUND(SUM(O19:O21),0)</f>
        <v>#REF!</v>
      </c>
      <c r="Q22" s="223">
        <f>ROUND(SUM(Q19:Q21),0)</f>
        <v>20801</v>
      </c>
      <c r="R22" s="40"/>
      <c r="S22" s="223">
        <f>ROUND(SUM(S19:S21),0)</f>
        <v>18771</v>
      </c>
      <c r="T22" s="40"/>
      <c r="U22" s="223">
        <f>ROUND(SUM(U19:U21),0)</f>
        <v>18771</v>
      </c>
      <c r="W22" s="224">
        <f>ROUND(SUM(W19:W21),0)</f>
        <v>58343</v>
      </c>
      <c r="Y22" s="223">
        <f>SUM(Y19:Y21)</f>
        <v>19586.3125</v>
      </c>
      <c r="Z22" s="191"/>
      <c r="AA22" s="223">
        <f>SUM(AA19:AA21)</f>
        <v>20102.312500000004</v>
      </c>
      <c r="AC22" s="223">
        <f>SUM(AC19:AC21)</f>
        <v>19427.3125</v>
      </c>
      <c r="AF22" s="224">
        <f>SUM(AF19:AF21)</f>
        <v>59115.9375</v>
      </c>
    </row>
    <row r="23" spans="2:32" ht="16.5" customHeight="1" x14ac:dyDescent="0.3">
      <c r="B23" s="197"/>
      <c r="C23" s="197"/>
      <c r="D23" s="212"/>
      <c r="F23" s="188"/>
      <c r="H23" s="188"/>
      <c r="J23" s="188"/>
      <c r="L23" s="193"/>
      <c r="M23" s="216"/>
      <c r="O23" s="189"/>
      <c r="Q23" s="190"/>
      <c r="R23" s="40"/>
      <c r="S23" s="191"/>
      <c r="T23" s="40"/>
      <c r="U23" s="191"/>
      <c r="Y23" s="191"/>
      <c r="Z23" s="191"/>
      <c r="AA23" s="188"/>
      <c r="AC23" s="188"/>
    </row>
    <row r="24" spans="2:32" ht="16.5" customHeight="1" x14ac:dyDescent="0.3">
      <c r="B24" s="28" t="s">
        <v>14</v>
      </c>
      <c r="C24" s="197"/>
      <c r="D24" s="212"/>
      <c r="F24" s="225">
        <f>ROUND(F15-F22,0)</f>
        <v>4970</v>
      </c>
      <c r="H24" s="225">
        <f>ROUND(H15-H22,0)</f>
        <v>4420</v>
      </c>
      <c r="J24" s="225">
        <f>ROUND(J15-J22,0)</f>
        <v>2937</v>
      </c>
      <c r="L24" s="193"/>
      <c r="M24" s="216"/>
      <c r="O24" s="226" t="e">
        <f>ROUND(O15-O22,0)</f>
        <v>#REF!</v>
      </c>
      <c r="Q24" s="225">
        <f>ROUND(Q15-Q22,0)</f>
        <v>-1204</v>
      </c>
      <c r="R24" s="40"/>
      <c r="S24" s="225">
        <f>ROUND(S15-S22,0)</f>
        <v>4861</v>
      </c>
      <c r="T24" s="40"/>
      <c r="U24" s="225">
        <f>ROUND(U15-U22,0)</f>
        <v>4699</v>
      </c>
      <c r="W24" s="226">
        <f>ROUND(W15-W22,0)</f>
        <v>8356</v>
      </c>
      <c r="Y24" s="225">
        <f>Y15-Y22</f>
        <v>2128.1384999999973</v>
      </c>
      <c r="Z24" s="191"/>
      <c r="AA24" s="225">
        <f>AA15-AA22</f>
        <v>-329.55250000000524</v>
      </c>
      <c r="AC24" s="225">
        <f>AC15-AC22</f>
        <v>7159.7625000000007</v>
      </c>
      <c r="AF24" s="226">
        <f>AF15-AF22</f>
        <v>8958.3484999999928</v>
      </c>
    </row>
    <row r="25" spans="2:32" ht="16.5" customHeight="1" x14ac:dyDescent="0.3">
      <c r="B25" s="28"/>
      <c r="C25" s="197"/>
      <c r="D25" s="212"/>
      <c r="F25" s="215"/>
      <c r="H25" s="215"/>
      <c r="J25" s="215"/>
      <c r="L25" s="193"/>
      <c r="M25" s="216"/>
      <c r="O25" s="216"/>
      <c r="Q25" s="190"/>
      <c r="R25" s="40"/>
      <c r="S25" s="191"/>
      <c r="T25" s="40"/>
      <c r="U25" s="191"/>
      <c r="Y25" s="191"/>
      <c r="Z25" s="191"/>
      <c r="AA25" s="215"/>
      <c r="AC25" s="215"/>
    </row>
    <row r="26" spans="2:32" ht="16.5" customHeight="1" x14ac:dyDescent="0.3">
      <c r="B26" s="36" t="s">
        <v>15</v>
      </c>
      <c r="C26" s="197"/>
      <c r="D26" s="212"/>
      <c r="F26" s="188"/>
      <c r="H26" s="188"/>
      <c r="J26" s="188"/>
      <c r="L26" s="193"/>
      <c r="M26" s="216"/>
      <c r="O26" s="189"/>
      <c r="Q26" s="190"/>
      <c r="R26" s="40"/>
      <c r="S26" s="191"/>
      <c r="T26" s="40"/>
      <c r="U26" s="191"/>
      <c r="Y26" s="191"/>
      <c r="Z26" s="191"/>
      <c r="AA26" s="188"/>
      <c r="AC26" s="188"/>
    </row>
    <row r="27" spans="2:32" ht="16.5" customHeight="1" x14ac:dyDescent="0.3">
      <c r="B27" s="197"/>
      <c r="C27" s="36" t="s">
        <v>88</v>
      </c>
      <c r="D27" s="212"/>
      <c r="F27" s="217">
        <v>-2092</v>
      </c>
      <c r="H27" s="217">
        <v>-2379</v>
      </c>
      <c r="J27" s="217">
        <v>-2395</v>
      </c>
      <c r="L27" s="193"/>
      <c r="M27" s="64"/>
      <c r="O27" s="206" t="e">
        <f>+#REF!+#REF!+M27</f>
        <v>#REF!</v>
      </c>
      <c r="Q27" s="190">
        <v>-2282</v>
      </c>
      <c r="R27" s="40"/>
      <c r="S27" s="191">
        <f>-2600-150</f>
        <v>-2750</v>
      </c>
      <c r="T27" s="40"/>
      <c r="U27" s="191">
        <f>-2600-150</f>
        <v>-2750</v>
      </c>
      <c r="W27" s="192">
        <f>SUM(Q27:V27)</f>
        <v>-7782</v>
      </c>
      <c r="Y27" s="239">
        <f>-[1]monthly!$C$33+6</f>
        <v>-3699.5</v>
      </c>
      <c r="Z27" s="239"/>
      <c r="AA27" s="237">
        <f>-[1]monthly!$D$33+6</f>
        <v>-3699.5</v>
      </c>
      <c r="AB27" s="238"/>
      <c r="AC27" s="237">
        <f>-[1]monthly!$E$33+6</f>
        <v>-3699.5</v>
      </c>
      <c r="AD27" s="279"/>
      <c r="AE27" s="279"/>
      <c r="AF27" s="240">
        <f>SUM(Y27:AC27)</f>
        <v>-11098.5</v>
      </c>
    </row>
    <row r="28" spans="2:32" ht="16.5" customHeight="1" x14ac:dyDescent="0.3">
      <c r="B28" s="197"/>
      <c r="C28" s="36" t="s">
        <v>16</v>
      </c>
      <c r="D28" s="212"/>
      <c r="F28" s="217">
        <v>71</v>
      </c>
      <c r="H28" s="217">
        <v>55</v>
      </c>
      <c r="J28" s="217">
        <v>-482</v>
      </c>
      <c r="L28" s="193"/>
      <c r="M28" s="64"/>
      <c r="O28" s="220" t="e">
        <f>+#REF!+#REF!+M28</f>
        <v>#REF!</v>
      </c>
      <c r="Q28" s="190">
        <v>-137</v>
      </c>
      <c r="R28" s="40"/>
      <c r="S28" s="191">
        <v>-200</v>
      </c>
      <c r="T28" s="40"/>
      <c r="U28" s="191">
        <v>-200</v>
      </c>
      <c r="W28" s="192">
        <f>SUM(Q28:V28)</f>
        <v>-537</v>
      </c>
      <c r="Y28" s="295">
        <v>0</v>
      </c>
      <c r="Z28" s="295"/>
      <c r="AA28" s="296">
        <v>0</v>
      </c>
      <c r="AB28" s="277"/>
      <c r="AC28" s="296">
        <v>0</v>
      </c>
      <c r="AF28" s="278">
        <f>SUM(Z28:AE28)</f>
        <v>0</v>
      </c>
    </row>
    <row r="29" spans="2:32" ht="16.5" customHeight="1" x14ac:dyDescent="0.3">
      <c r="B29" s="197"/>
      <c r="C29" s="197"/>
      <c r="D29" s="212"/>
      <c r="F29" s="213">
        <f>ROUND(SUM(F27:F28),0)</f>
        <v>-2021</v>
      </c>
      <c r="H29" s="213">
        <f>ROUND(SUM(H27:H28),0)</f>
        <v>-2324</v>
      </c>
      <c r="J29" s="213">
        <f>ROUND(SUM(J27:J28),0)</f>
        <v>-2877</v>
      </c>
      <c r="L29" s="193"/>
      <c r="M29" s="216"/>
      <c r="O29" s="214" t="e">
        <f>ROUND(SUM(O27:O28),0)</f>
        <v>#REF!</v>
      </c>
      <c r="Q29" s="213">
        <f>ROUND(SUM(Q27:Q28),0)</f>
        <v>-2419</v>
      </c>
      <c r="R29" s="40"/>
      <c r="S29" s="213">
        <f>ROUND(SUM(S27:S28),0)</f>
        <v>-2950</v>
      </c>
      <c r="T29" s="40"/>
      <c r="U29" s="213">
        <f>ROUND(SUM(U27:U28),0)</f>
        <v>-2950</v>
      </c>
      <c r="W29" s="214">
        <f>ROUND(SUM(W27:W28),0)</f>
        <v>-8319</v>
      </c>
      <c r="Y29" s="213">
        <f>ROUND(SUM(Y27:Y28),0)</f>
        <v>-3700</v>
      </c>
      <c r="Z29" s="191"/>
      <c r="AA29" s="213">
        <f>ROUND(SUM(AA27:AA28),0)</f>
        <v>-3700</v>
      </c>
      <c r="AC29" s="213">
        <f>ROUND(SUM(AC27:AC28),0)</f>
        <v>-3700</v>
      </c>
      <c r="AF29" s="214">
        <f>ROUND(SUM(AF27:AF28),0)</f>
        <v>-11099</v>
      </c>
    </row>
    <row r="30" spans="2:32" ht="16.5" customHeight="1" x14ac:dyDescent="0.3">
      <c r="B30" s="197"/>
      <c r="C30" s="197"/>
      <c r="D30" s="212"/>
      <c r="F30" s="215"/>
      <c r="H30" s="215"/>
      <c r="J30" s="215"/>
      <c r="L30" s="193"/>
      <c r="M30" s="216"/>
      <c r="O30" s="216"/>
      <c r="Q30" s="190"/>
      <c r="R30" s="40"/>
      <c r="S30" s="191"/>
      <c r="T30" s="40"/>
      <c r="U30" s="191"/>
      <c r="Y30" s="191"/>
      <c r="Z30" s="191"/>
      <c r="AA30" s="215"/>
      <c r="AC30" s="215"/>
    </row>
    <row r="31" spans="2:32" ht="16.5" hidden="1" customHeight="1" x14ac:dyDescent="0.3">
      <c r="B31" s="36" t="s">
        <v>74</v>
      </c>
      <c r="C31" s="197"/>
      <c r="D31" s="212"/>
      <c r="F31" s="215"/>
      <c r="H31" s="215"/>
      <c r="J31" s="215"/>
      <c r="L31" s="193"/>
      <c r="M31" s="216"/>
      <c r="O31" s="216"/>
      <c r="Q31" s="190"/>
      <c r="R31" s="40"/>
      <c r="S31" s="191"/>
      <c r="T31" s="40"/>
      <c r="U31" s="191"/>
      <c r="Y31" s="191"/>
      <c r="Z31" s="191"/>
      <c r="AA31" s="215"/>
      <c r="AC31" s="215"/>
    </row>
    <row r="32" spans="2:32" s="202" customFormat="1" ht="16.5" hidden="1" customHeight="1" x14ac:dyDescent="0.3">
      <c r="B32" s="104"/>
      <c r="C32" s="104" t="s">
        <v>75</v>
      </c>
      <c r="D32" s="199"/>
      <c r="E32" s="227"/>
      <c r="F32" s="228">
        <f>ROUND(F24+F29,0)</f>
        <v>2949</v>
      </c>
      <c r="G32" s="229"/>
      <c r="H32" s="228">
        <f>ROUND(H24+H29,0)</f>
        <v>2096</v>
      </c>
      <c r="I32" s="229"/>
      <c r="J32" s="228">
        <f>ROUND(J24+J29,0)</f>
        <v>60</v>
      </c>
      <c r="K32" s="229"/>
      <c r="L32" s="229"/>
      <c r="M32" s="230"/>
      <c r="N32" s="229"/>
      <c r="O32" s="230" t="e">
        <f>ROUND(O24+O29,0)</f>
        <v>#REF!</v>
      </c>
      <c r="P32" s="231"/>
      <c r="Q32" s="228">
        <f>ROUND(Q24+Q29,0)</f>
        <v>-3623</v>
      </c>
      <c r="R32" s="232"/>
      <c r="S32" s="228">
        <f>ROUND(S24+S29,0)</f>
        <v>1911</v>
      </c>
      <c r="T32" s="232"/>
      <c r="U32" s="228">
        <f>ROUND(U24+U29,0)</f>
        <v>1749</v>
      </c>
      <c r="V32" s="231"/>
      <c r="W32" s="230">
        <f>ROUND(W24+W29,0)</f>
        <v>37</v>
      </c>
      <c r="X32" s="233"/>
      <c r="Y32" s="228">
        <f>ROUND(Y24+Y29,0)</f>
        <v>-1572</v>
      </c>
      <c r="Z32" s="297"/>
      <c r="AA32" s="228">
        <f>ROUND(AA24+AA29,0)</f>
        <v>-4030</v>
      </c>
      <c r="AC32" s="228">
        <f>ROUND(AC24+AC29,0)</f>
        <v>3460</v>
      </c>
      <c r="AF32" s="230">
        <f>ROUND(AF24+AF29,0)</f>
        <v>-2141</v>
      </c>
    </row>
    <row r="33" spans="2:32" ht="16.5" hidden="1" customHeight="1" x14ac:dyDescent="0.3">
      <c r="E33" s="234"/>
      <c r="F33" s="228"/>
      <c r="G33" s="235"/>
      <c r="H33" s="228"/>
      <c r="I33" s="235"/>
      <c r="J33" s="228"/>
      <c r="K33" s="235"/>
      <c r="L33" s="229"/>
      <c r="M33" s="230"/>
      <c r="N33" s="235"/>
      <c r="O33" s="230"/>
      <c r="P33" s="236"/>
      <c r="Q33" s="237"/>
      <c r="R33" s="238"/>
      <c r="S33" s="239"/>
      <c r="T33" s="238"/>
      <c r="U33" s="239"/>
      <c r="V33" s="236"/>
      <c r="W33" s="240"/>
      <c r="X33" s="240"/>
      <c r="Y33" s="239"/>
      <c r="Z33" s="239"/>
      <c r="AA33" s="228"/>
      <c r="AC33" s="228"/>
      <c r="AF33" s="240"/>
    </row>
    <row r="34" spans="2:32" ht="16.5" hidden="1" customHeight="1" x14ac:dyDescent="0.3">
      <c r="B34" s="36"/>
      <c r="C34" s="197"/>
      <c r="D34" s="212"/>
      <c r="E34" s="234"/>
      <c r="F34" s="228"/>
      <c r="G34" s="235"/>
      <c r="H34" s="228"/>
      <c r="I34" s="235"/>
      <c r="J34" s="228"/>
      <c r="K34" s="235"/>
      <c r="L34" s="229"/>
      <c r="M34" s="230"/>
      <c r="N34" s="235"/>
      <c r="O34" s="230"/>
      <c r="P34" s="236"/>
      <c r="Q34" s="237"/>
      <c r="R34" s="238"/>
      <c r="S34" s="239"/>
      <c r="T34" s="238"/>
      <c r="U34" s="239"/>
      <c r="V34" s="236"/>
      <c r="W34" s="240"/>
      <c r="X34" s="240"/>
      <c r="Y34" s="239"/>
      <c r="Z34" s="239"/>
      <c r="AA34" s="228"/>
      <c r="AC34" s="228"/>
      <c r="AF34" s="240"/>
    </row>
    <row r="35" spans="2:32" ht="16.5" hidden="1" customHeight="1" x14ac:dyDescent="0.3">
      <c r="B35" s="28" t="s">
        <v>70</v>
      </c>
      <c r="C35" s="36"/>
      <c r="D35" s="212"/>
      <c r="F35" s="241">
        <v>0</v>
      </c>
      <c r="G35" s="238"/>
      <c r="H35" s="241">
        <v>0</v>
      </c>
      <c r="I35" s="238"/>
      <c r="J35" s="241">
        <v>0</v>
      </c>
      <c r="K35" s="238"/>
      <c r="L35" s="232"/>
      <c r="M35" s="273"/>
      <c r="N35" s="238"/>
      <c r="O35" s="242">
        <v>0</v>
      </c>
      <c r="P35" s="236"/>
      <c r="Q35" s="241">
        <v>0</v>
      </c>
      <c r="R35" s="238"/>
      <c r="S35" s="241">
        <v>0</v>
      </c>
      <c r="T35" s="238"/>
      <c r="U35" s="241">
        <v>0</v>
      </c>
      <c r="V35" s="236"/>
      <c r="W35" s="243">
        <f>SUM(Q35:U35)</f>
        <v>0</v>
      </c>
      <c r="X35" s="240"/>
      <c r="Y35" s="298" t="e">
        <f>#REF!+#REF!+M35+W35</f>
        <v>#REF!</v>
      </c>
      <c r="Z35" s="239"/>
      <c r="AA35" s="241">
        <v>0</v>
      </c>
      <c r="AC35" s="241">
        <v>0</v>
      </c>
      <c r="AF35" s="243">
        <f>SUM(Z35:AD35)</f>
        <v>0</v>
      </c>
    </row>
    <row r="36" spans="2:32" ht="16.5" hidden="1" customHeight="1" x14ac:dyDescent="0.3">
      <c r="B36" s="28"/>
      <c r="C36" s="36"/>
      <c r="D36" s="212"/>
      <c r="F36" s="228"/>
      <c r="G36" s="238"/>
      <c r="H36" s="228"/>
      <c r="I36" s="238"/>
      <c r="J36" s="228"/>
      <c r="K36" s="238"/>
      <c r="L36" s="232"/>
      <c r="M36" s="230"/>
      <c r="N36" s="238"/>
      <c r="O36" s="230"/>
      <c r="P36" s="236"/>
      <c r="Q36" s="237"/>
      <c r="R36" s="238"/>
      <c r="S36" s="239"/>
      <c r="T36" s="238"/>
      <c r="U36" s="239"/>
      <c r="V36" s="236"/>
      <c r="W36" s="240"/>
      <c r="X36" s="240"/>
      <c r="Y36" s="239"/>
      <c r="Z36" s="239"/>
      <c r="AA36" s="228"/>
      <c r="AC36" s="228"/>
      <c r="AF36" s="240"/>
    </row>
    <row r="37" spans="2:32" ht="16.5" hidden="1" customHeight="1" x14ac:dyDescent="0.3">
      <c r="B37" s="28" t="s">
        <v>69</v>
      </c>
      <c r="C37" s="197"/>
      <c r="D37" s="212"/>
      <c r="E37" s="194"/>
      <c r="F37" s="228">
        <f>SUM(F32:F35)</f>
        <v>2949</v>
      </c>
      <c r="G37" s="229"/>
      <c r="H37" s="228">
        <f>SUM(H32:H35)</f>
        <v>2096</v>
      </c>
      <c r="I37" s="229"/>
      <c r="J37" s="228">
        <f>SUM(J32:J35)</f>
        <v>60</v>
      </c>
      <c r="K37" s="229"/>
      <c r="L37" s="229"/>
      <c r="M37" s="230"/>
      <c r="N37" s="229"/>
      <c r="O37" s="230" t="e">
        <f>SUM(O32:O35)</f>
        <v>#REF!</v>
      </c>
      <c r="P37" s="231"/>
      <c r="Q37" s="228">
        <f>SUM(Q32:Q35)</f>
        <v>-3623</v>
      </c>
      <c r="R37" s="232"/>
      <c r="S37" s="228">
        <f>SUM(S32:S35)</f>
        <v>1911</v>
      </c>
      <c r="T37" s="232"/>
      <c r="U37" s="228">
        <f>SUM(U32:U35)</f>
        <v>1749</v>
      </c>
      <c r="V37" s="231"/>
      <c r="W37" s="230">
        <f>SUM(W32:W35)</f>
        <v>37</v>
      </c>
      <c r="X37" s="233"/>
      <c r="Y37" s="297" t="e">
        <f>#REF!+#REF!+M37+W37</f>
        <v>#REF!</v>
      </c>
      <c r="Z37" s="297"/>
      <c r="AA37" s="228">
        <f>SUM(AA32:AA35)</f>
        <v>-4030</v>
      </c>
      <c r="AC37" s="228">
        <f>SUM(AC32:AC35)</f>
        <v>3460</v>
      </c>
      <c r="AF37" s="230">
        <f>SUM(AF32:AF35)</f>
        <v>-2141</v>
      </c>
    </row>
    <row r="38" spans="2:32" ht="16.5" customHeight="1" x14ac:dyDescent="0.3">
      <c r="B38" s="36"/>
      <c r="C38" s="197"/>
      <c r="D38" s="212"/>
      <c r="E38" s="234"/>
      <c r="F38" s="215"/>
      <c r="G38" s="234"/>
      <c r="H38" s="215"/>
      <c r="I38" s="234"/>
      <c r="J38" s="215"/>
      <c r="K38" s="234"/>
      <c r="L38" s="194"/>
      <c r="M38" s="216"/>
      <c r="N38" s="234"/>
      <c r="O38" s="216"/>
      <c r="Q38" s="190"/>
      <c r="R38" s="40"/>
      <c r="S38" s="191"/>
      <c r="T38" s="40"/>
      <c r="U38" s="191"/>
      <c r="Y38" s="191"/>
      <c r="Z38" s="191"/>
      <c r="AA38" s="215"/>
      <c r="AC38" s="215"/>
    </row>
    <row r="39" spans="2:32" ht="16.5" customHeight="1" thickBot="1" x14ac:dyDescent="0.35">
      <c r="B39" s="36" t="s">
        <v>45</v>
      </c>
      <c r="C39" s="197"/>
      <c r="D39" s="212"/>
      <c r="E39" s="234"/>
      <c r="F39" s="245" t="e">
        <f>+F32+#REF!</f>
        <v>#REF!</v>
      </c>
      <c r="G39" s="234"/>
      <c r="H39" s="245" t="e">
        <f>+H32+#REF!</f>
        <v>#REF!</v>
      </c>
      <c r="I39" s="234"/>
      <c r="J39" s="245" t="e">
        <f>+J32+#REF!</f>
        <v>#REF!</v>
      </c>
      <c r="K39" s="234"/>
      <c r="L39" s="194"/>
      <c r="M39" s="260"/>
      <c r="N39" s="234"/>
      <c r="O39" s="246" t="e">
        <f>+O32+#REF!</f>
        <v>#REF!</v>
      </c>
      <c r="Q39" s="245">
        <f>Q24+Q29</f>
        <v>-3623</v>
      </c>
      <c r="R39" s="40"/>
      <c r="S39" s="245">
        <f>S24+S29</f>
        <v>1911</v>
      </c>
      <c r="T39" s="40"/>
      <c r="U39" s="245">
        <f>U24+U30</f>
        <v>4699</v>
      </c>
      <c r="W39" s="246">
        <f>W24+W29</f>
        <v>37</v>
      </c>
      <c r="Y39" s="245">
        <f>Y24+Y29</f>
        <v>-1571.8615000000027</v>
      </c>
      <c r="Z39" s="191"/>
      <c r="AA39" s="245">
        <f>AA24+AA29</f>
        <v>-4029.5525000000052</v>
      </c>
      <c r="AC39" s="245">
        <f>AC24+AC29</f>
        <v>3459.7625000000007</v>
      </c>
      <c r="AF39" s="246">
        <f>AF24+AF29</f>
        <v>-2140.6515000000072</v>
      </c>
    </row>
    <row r="40" spans="2:32" ht="16.5" customHeight="1" thickTop="1" x14ac:dyDescent="0.3">
      <c r="B40" s="36"/>
      <c r="C40" s="197"/>
      <c r="D40" s="212"/>
      <c r="E40" s="234"/>
      <c r="F40" s="215"/>
      <c r="G40" s="234"/>
      <c r="H40" s="215"/>
      <c r="I40" s="234"/>
      <c r="J40" s="215"/>
      <c r="K40" s="234"/>
      <c r="L40" s="194"/>
      <c r="M40" s="216"/>
      <c r="N40" s="234"/>
      <c r="O40" s="216"/>
      <c r="Q40" s="190"/>
      <c r="R40" s="40"/>
      <c r="S40" s="191"/>
      <c r="T40" s="40"/>
      <c r="U40" s="191"/>
      <c r="AA40" s="216"/>
      <c r="AC40" s="216"/>
    </row>
    <row r="41" spans="2:32" ht="16.5" customHeight="1" x14ac:dyDescent="0.3">
      <c r="B41" s="36" t="s">
        <v>46</v>
      </c>
      <c r="C41" s="197"/>
      <c r="D41" s="212"/>
      <c r="E41" s="234"/>
      <c r="F41" s="215"/>
      <c r="G41" s="234"/>
      <c r="H41" s="215"/>
      <c r="I41" s="234"/>
      <c r="J41" s="215"/>
      <c r="K41" s="234"/>
      <c r="L41" s="274"/>
      <c r="M41" s="247"/>
      <c r="N41" s="248"/>
      <c r="O41" s="247" t="e">
        <f>(+O32*0.98)/O48</f>
        <v>#REF!</v>
      </c>
      <c r="P41" s="250"/>
      <c r="Q41" s="251"/>
      <c r="R41" s="250"/>
      <c r="S41" s="252"/>
      <c r="T41" s="250"/>
      <c r="U41" s="252"/>
      <c r="V41" s="250"/>
      <c r="W41" s="247">
        <f>(+W39*0.98)/W48</f>
        <v>1.3196971902751493E-3</v>
      </c>
      <c r="X41" s="252"/>
      <c r="Y41" s="247"/>
      <c r="Z41" s="252"/>
      <c r="AA41" s="247"/>
      <c r="AC41" s="247"/>
      <c r="AF41" s="247">
        <f>(+AF39*0.98)/AF48</f>
        <v>-7.6351669456980895E-2</v>
      </c>
    </row>
    <row r="42" spans="2:32" ht="5.25" customHeight="1" x14ac:dyDescent="0.3">
      <c r="B42" s="36"/>
      <c r="C42" s="197"/>
      <c r="D42" s="212"/>
      <c r="E42" s="234"/>
      <c r="F42" s="215"/>
      <c r="G42" s="234"/>
      <c r="H42" s="215"/>
      <c r="I42" s="234"/>
      <c r="J42" s="215"/>
      <c r="K42" s="234"/>
      <c r="L42" s="194"/>
      <c r="M42" s="253"/>
      <c r="N42" s="234"/>
      <c r="O42" s="253"/>
      <c r="AA42" s="253"/>
      <c r="AC42" s="253"/>
    </row>
    <row r="43" spans="2:32" ht="16.5" customHeight="1" x14ac:dyDescent="0.3">
      <c r="B43" s="36"/>
      <c r="C43" s="197"/>
      <c r="D43" s="212"/>
      <c r="E43" s="234"/>
      <c r="F43" s="215"/>
      <c r="G43" s="234"/>
      <c r="H43" s="215"/>
      <c r="I43" s="234"/>
      <c r="J43" s="215"/>
      <c r="K43" s="234"/>
      <c r="L43" s="275"/>
      <c r="M43" s="247"/>
      <c r="N43" s="255"/>
      <c r="O43" s="247"/>
      <c r="P43" s="257"/>
      <c r="Q43" s="258"/>
      <c r="R43" s="257"/>
      <c r="S43" s="259"/>
      <c r="T43" s="257"/>
      <c r="U43" s="259"/>
      <c r="V43" s="257"/>
      <c r="W43" s="247"/>
      <c r="X43" s="259"/>
      <c r="Y43" s="259"/>
      <c r="Z43" s="259"/>
      <c r="AA43" s="247"/>
      <c r="AC43" s="247"/>
      <c r="AF43" s="247"/>
    </row>
    <row r="44" spans="2:32" ht="16.5" customHeight="1" x14ac:dyDescent="0.3">
      <c r="B44" s="28"/>
      <c r="C44" s="197"/>
      <c r="D44" s="212"/>
      <c r="E44" s="234"/>
      <c r="F44" s="215"/>
      <c r="G44" s="234"/>
      <c r="H44" s="215"/>
      <c r="I44" s="234"/>
      <c r="J44" s="215"/>
      <c r="K44" s="234"/>
      <c r="L44" s="194"/>
      <c r="M44" s="260"/>
      <c r="N44" s="227"/>
      <c r="O44" s="261"/>
      <c r="P44" s="204"/>
      <c r="Q44" s="262"/>
      <c r="R44" s="204"/>
      <c r="S44" s="205"/>
      <c r="T44" s="204"/>
      <c r="U44" s="205"/>
      <c r="V44" s="204"/>
      <c r="W44" s="205"/>
      <c r="AA44" s="261"/>
      <c r="AC44" s="261"/>
      <c r="AF44" s="205"/>
    </row>
    <row r="45" spans="2:32" ht="16.5" customHeight="1" x14ac:dyDescent="0.3">
      <c r="B45" s="28"/>
      <c r="C45" s="197"/>
      <c r="D45" s="212"/>
      <c r="E45" s="234"/>
      <c r="F45" s="215"/>
      <c r="G45" s="234"/>
      <c r="H45" s="215"/>
      <c r="I45" s="234"/>
      <c r="J45" s="215"/>
      <c r="K45" s="234"/>
      <c r="L45" s="194"/>
      <c r="M45" s="260"/>
      <c r="N45" s="227"/>
      <c r="O45" s="261"/>
      <c r="P45" s="204"/>
      <c r="Q45" s="262"/>
      <c r="R45" s="204"/>
      <c r="S45" s="205"/>
      <c r="T45" s="204"/>
      <c r="U45" s="205"/>
      <c r="V45" s="204"/>
      <c r="W45" s="205"/>
      <c r="AA45" s="261"/>
      <c r="AC45" s="261"/>
      <c r="AF45" s="205"/>
    </row>
    <row r="46" spans="2:32" ht="16.5" customHeight="1" x14ac:dyDescent="0.3">
      <c r="B46" s="28"/>
      <c r="D46" s="212"/>
      <c r="E46" s="234"/>
      <c r="F46" s="215"/>
      <c r="G46" s="234"/>
      <c r="H46" s="215"/>
      <c r="I46" s="234"/>
      <c r="J46" s="215"/>
      <c r="K46" s="234"/>
      <c r="L46" s="193"/>
      <c r="M46" s="195"/>
      <c r="O46" s="186"/>
    </row>
    <row r="47" spans="2:32" ht="16.5" customHeight="1" x14ac:dyDescent="0.3">
      <c r="B47" s="263"/>
      <c r="C47" s="28"/>
      <c r="D47" s="212"/>
      <c r="E47" s="234"/>
      <c r="F47" s="215"/>
      <c r="G47" s="234"/>
      <c r="H47" s="215"/>
      <c r="I47" s="234"/>
      <c r="J47" s="215"/>
      <c r="K47" s="234"/>
      <c r="L47" s="194"/>
      <c r="M47" s="216"/>
      <c r="N47" s="234"/>
      <c r="O47" s="216"/>
      <c r="AA47" s="216"/>
      <c r="AC47" s="216"/>
    </row>
    <row r="48" spans="2:32" ht="16.5" customHeight="1" x14ac:dyDescent="0.3">
      <c r="B48" s="263"/>
      <c r="C48" s="197"/>
      <c r="D48" s="212"/>
      <c r="E48" s="234"/>
      <c r="F48" s="215"/>
      <c r="G48" s="234"/>
      <c r="H48" s="215"/>
      <c r="I48" s="234"/>
      <c r="J48" s="215"/>
      <c r="K48" s="234"/>
      <c r="L48" s="194"/>
      <c r="M48" s="216"/>
      <c r="N48" s="234"/>
      <c r="O48" s="216">
        <v>27476</v>
      </c>
      <c r="W48" s="192">
        <v>27476</v>
      </c>
      <c r="AA48" s="216"/>
      <c r="AC48" s="216"/>
      <c r="AF48" s="192">
        <v>27476</v>
      </c>
    </row>
    <row r="49" spans="2:32" ht="16.5" customHeight="1" thickBot="1" x14ac:dyDescent="0.35">
      <c r="B49" s="264"/>
      <c r="C49" s="264"/>
      <c r="D49" s="265"/>
      <c r="E49" s="265"/>
      <c r="F49" s="266"/>
      <c r="G49" s="265"/>
      <c r="H49" s="266"/>
      <c r="I49" s="265"/>
      <c r="J49" s="266"/>
      <c r="K49" s="265"/>
      <c r="L49" s="276"/>
      <c r="M49" s="216"/>
      <c r="N49" s="265"/>
      <c r="O49" s="267"/>
    </row>
    <row r="55" spans="2:32" ht="16.5" customHeight="1" x14ac:dyDescent="0.3">
      <c r="D55" s="115" t="s">
        <v>0</v>
      </c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F55" s="115"/>
    </row>
    <row r="56" spans="2:32" ht="16.5" customHeight="1" x14ac:dyDescent="0.3">
      <c r="D56" s="116" t="s">
        <v>73</v>
      </c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F56" s="116"/>
    </row>
    <row r="57" spans="2:32" ht="16.5" customHeight="1" x14ac:dyDescent="0.3">
      <c r="D57" s="117" t="s">
        <v>1</v>
      </c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F57" s="117"/>
    </row>
  </sheetData>
  <printOptions horizontalCentered="1"/>
  <pageMargins left="0.31" right="0.25" top="0.75" bottom="1" header="0.5" footer="0.5"/>
  <pageSetup scale="80" orientation="landscape" verticalDpi="300" r:id="rId1"/>
  <headerFooter alignWithMargins="0">
    <oddFooter>&amp;L&amp;D&amp;T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06"/>
  <sheetViews>
    <sheetView workbookViewId="0">
      <selection activeCell="B24" sqref="B24"/>
    </sheetView>
  </sheetViews>
  <sheetFormatPr defaultColWidth="9.28515625" defaultRowHeight="13.2" x14ac:dyDescent="0.25"/>
  <cols>
    <col min="1" max="1" width="2.28515625" style="138" customWidth="1"/>
    <col min="2" max="2" width="83.7109375" style="138" customWidth="1"/>
    <col min="3" max="5" width="11.85546875" style="138" customWidth="1"/>
    <col min="6" max="16384" width="9.28515625" style="138"/>
  </cols>
  <sheetData>
    <row r="1" spans="1:5" ht="12.9" customHeight="1" x14ac:dyDescent="0.25">
      <c r="A1" s="123" t="s">
        <v>131</v>
      </c>
      <c r="B1" s="123"/>
      <c r="C1" s="123"/>
    </row>
    <row r="2" spans="1:5" ht="12.9" customHeight="1" x14ac:dyDescent="0.25">
      <c r="A2" s="123" t="s">
        <v>132</v>
      </c>
      <c r="B2" s="123"/>
      <c r="C2" s="123"/>
    </row>
    <row r="3" spans="1:5" ht="12.9" customHeight="1" x14ac:dyDescent="0.25"/>
    <row r="4" spans="1:5" ht="12.9" customHeight="1" x14ac:dyDescent="0.25">
      <c r="C4" s="324" t="s">
        <v>61</v>
      </c>
      <c r="D4" s="324" t="s">
        <v>139</v>
      </c>
      <c r="E4" s="324" t="s">
        <v>140</v>
      </c>
    </row>
    <row r="5" spans="1:5" ht="12.9" customHeight="1" x14ac:dyDescent="0.25"/>
    <row r="6" spans="1:5" ht="12.9" customHeight="1" x14ac:dyDescent="0.25">
      <c r="A6" s="123" t="s">
        <v>133</v>
      </c>
    </row>
    <row r="7" spans="1:5" ht="12.9" customHeight="1" x14ac:dyDescent="0.25"/>
    <row r="8" spans="1:5" ht="12.9" customHeight="1" x14ac:dyDescent="0.25">
      <c r="A8" s="123" t="s">
        <v>137</v>
      </c>
      <c r="C8" s="123">
        <v>20132</v>
      </c>
      <c r="D8" s="123">
        <v>8877</v>
      </c>
      <c r="E8" s="123">
        <f>C8-D8</f>
        <v>11255</v>
      </c>
    </row>
    <row r="9" spans="1:5" ht="6" customHeight="1" x14ac:dyDescent="0.25"/>
    <row r="10" spans="1:5" ht="12.9" customHeight="1" x14ac:dyDescent="0.25">
      <c r="A10" s="138" t="s">
        <v>138</v>
      </c>
    </row>
    <row r="11" spans="1:5" ht="6" customHeight="1" x14ac:dyDescent="0.25"/>
    <row r="12" spans="1:5" ht="27" customHeight="1" x14ac:dyDescent="0.25">
      <c r="B12" s="308" t="s">
        <v>134</v>
      </c>
      <c r="C12" s="138">
        <f>-1800-500</f>
        <v>-2300</v>
      </c>
      <c r="E12" s="138">
        <f>C12-D12</f>
        <v>-2300</v>
      </c>
    </row>
    <row r="13" spans="1:5" ht="12.9" customHeight="1" x14ac:dyDescent="0.25"/>
    <row r="14" spans="1:5" ht="13.5" customHeight="1" x14ac:dyDescent="0.25">
      <c r="B14" s="308" t="s">
        <v>143</v>
      </c>
    </row>
    <row r="15" spans="1:5" ht="13.5" customHeight="1" x14ac:dyDescent="0.25">
      <c r="B15" s="308" t="s">
        <v>144</v>
      </c>
      <c r="C15" s="138">
        <f>11700-9238</f>
        <v>2462</v>
      </c>
      <c r="E15" s="138">
        <f>C15-D15</f>
        <v>2462</v>
      </c>
    </row>
    <row r="16" spans="1:5" ht="13.5" customHeight="1" x14ac:dyDescent="0.25">
      <c r="B16" s="308" t="s">
        <v>145</v>
      </c>
      <c r="C16" s="138">
        <f>1800-3874</f>
        <v>-2074</v>
      </c>
      <c r="E16" s="138">
        <f>C16-D16</f>
        <v>-2074</v>
      </c>
    </row>
    <row r="17" spans="1:5" ht="13.5" customHeight="1" x14ac:dyDescent="0.25">
      <c r="B17" s="308"/>
    </row>
    <row r="18" spans="1:5" ht="16.5" customHeight="1" x14ac:dyDescent="0.25">
      <c r="B18" s="308" t="s">
        <v>141</v>
      </c>
      <c r="C18" s="138">
        <v>-200</v>
      </c>
      <c r="E18" s="138">
        <f>C18-D18</f>
        <v>-200</v>
      </c>
    </row>
    <row r="19" spans="1:5" ht="16.5" customHeight="1" x14ac:dyDescent="0.25">
      <c r="B19" s="308"/>
    </row>
    <row r="20" spans="1:5" ht="16.5" customHeight="1" x14ac:dyDescent="0.25">
      <c r="B20" s="308" t="s">
        <v>142</v>
      </c>
      <c r="C20" s="138">
        <v>1200</v>
      </c>
      <c r="E20" s="138">
        <f>C20-D20</f>
        <v>1200</v>
      </c>
    </row>
    <row r="21" spans="1:5" ht="12.9" customHeight="1" x14ac:dyDescent="0.25"/>
    <row r="22" spans="1:5" ht="39.9" customHeight="1" x14ac:dyDescent="0.25">
      <c r="B22" s="308" t="s">
        <v>135</v>
      </c>
      <c r="C22" s="308"/>
      <c r="D22" s="138">
        <v>2222</v>
      </c>
      <c r="E22" s="138">
        <f>C22-D22</f>
        <v>-2222</v>
      </c>
    </row>
    <row r="23" spans="1:5" ht="12.9" customHeight="1" x14ac:dyDescent="0.25"/>
    <row r="24" spans="1:5" ht="12.9" customHeight="1" x14ac:dyDescent="0.25"/>
    <row r="25" spans="1:5" ht="12.9" customHeight="1" thickBot="1" x14ac:dyDescent="0.3">
      <c r="A25" s="123" t="s">
        <v>136</v>
      </c>
      <c r="C25" s="325">
        <f>SUM(C8:C24)</f>
        <v>19220</v>
      </c>
      <c r="D25" s="325">
        <f>SUM(D8:D24)</f>
        <v>11099</v>
      </c>
      <c r="E25" s="325">
        <f>C25-D25</f>
        <v>8121</v>
      </c>
    </row>
    <row r="26" spans="1:5" ht="12.9" customHeight="1" thickTop="1" x14ac:dyDescent="0.25"/>
    <row r="27" spans="1:5" ht="12.9" customHeight="1" x14ac:dyDescent="0.25"/>
    <row r="28" spans="1:5" ht="12.9" customHeight="1" x14ac:dyDescent="0.25"/>
    <row r="29" spans="1:5" ht="12.9" customHeight="1" x14ac:dyDescent="0.25"/>
    <row r="30" spans="1:5" ht="12.9" customHeight="1" x14ac:dyDescent="0.25"/>
    <row r="31" spans="1:5" ht="12.9" customHeight="1" x14ac:dyDescent="0.25"/>
    <row r="32" spans="1:5" ht="12.9" customHeight="1" x14ac:dyDescent="0.25"/>
    <row r="33" ht="12.9" customHeight="1" x14ac:dyDescent="0.25"/>
    <row r="34" ht="12.9" customHeight="1" x14ac:dyDescent="0.25"/>
    <row r="35" ht="12.9" customHeight="1" x14ac:dyDescent="0.25"/>
    <row r="36" ht="12.9" customHeight="1" x14ac:dyDescent="0.25"/>
    <row r="37" ht="12.9" customHeight="1" x14ac:dyDescent="0.25"/>
    <row r="38" ht="12.9" customHeight="1" x14ac:dyDescent="0.25"/>
    <row r="39" ht="12.9" customHeight="1" x14ac:dyDescent="0.25"/>
    <row r="40" ht="12.9" customHeight="1" x14ac:dyDescent="0.25"/>
    <row r="41" ht="12.9" customHeight="1" x14ac:dyDescent="0.25"/>
    <row r="42" ht="12.9" customHeight="1" x14ac:dyDescent="0.25"/>
    <row r="43" ht="12.9" customHeight="1" x14ac:dyDescent="0.25"/>
    <row r="44" ht="12.9" customHeight="1" x14ac:dyDescent="0.25"/>
    <row r="45" ht="12.9" customHeight="1" x14ac:dyDescent="0.25"/>
    <row r="46" ht="12.9" customHeight="1" x14ac:dyDescent="0.25"/>
    <row r="47" ht="12.9" customHeight="1" x14ac:dyDescent="0.25"/>
    <row r="48" ht="12.9" customHeight="1" x14ac:dyDescent="0.25"/>
    <row r="49" ht="12.9" customHeight="1" x14ac:dyDescent="0.25"/>
    <row r="50" ht="12.9" customHeight="1" x14ac:dyDescent="0.25"/>
    <row r="51" ht="12.9" customHeight="1" x14ac:dyDescent="0.25"/>
    <row r="52" ht="12.9" customHeight="1" x14ac:dyDescent="0.25"/>
    <row r="53" ht="12.9" customHeight="1" x14ac:dyDescent="0.25"/>
    <row r="54" ht="12.9" customHeight="1" x14ac:dyDescent="0.25"/>
    <row r="55" ht="12.9" customHeight="1" x14ac:dyDescent="0.25"/>
    <row r="56" ht="12.9" customHeight="1" x14ac:dyDescent="0.25"/>
    <row r="57" ht="12.9" customHeight="1" x14ac:dyDescent="0.25"/>
    <row r="58" ht="12.9" customHeight="1" x14ac:dyDescent="0.25"/>
    <row r="59" ht="12.9" customHeight="1" x14ac:dyDescent="0.25"/>
    <row r="60" ht="12.9" customHeight="1" x14ac:dyDescent="0.25"/>
    <row r="61" ht="12.9" customHeight="1" x14ac:dyDescent="0.25"/>
    <row r="62" ht="12.9" customHeight="1" x14ac:dyDescent="0.25"/>
    <row r="63" ht="12.9" customHeight="1" x14ac:dyDescent="0.25"/>
    <row r="64" ht="12.9" customHeight="1" x14ac:dyDescent="0.25"/>
    <row r="65" ht="12.9" customHeight="1" x14ac:dyDescent="0.25"/>
    <row r="66" ht="12.9" customHeight="1" x14ac:dyDescent="0.25"/>
    <row r="67" ht="12.9" customHeight="1" x14ac:dyDescent="0.25"/>
    <row r="68" ht="12.9" customHeight="1" x14ac:dyDescent="0.25"/>
    <row r="69" ht="12.9" customHeight="1" x14ac:dyDescent="0.25"/>
    <row r="70" ht="12.9" customHeight="1" x14ac:dyDescent="0.25"/>
    <row r="71" ht="12.9" customHeight="1" x14ac:dyDescent="0.25"/>
    <row r="72" ht="12.9" customHeight="1" x14ac:dyDescent="0.25"/>
    <row r="73" ht="12.9" customHeight="1" x14ac:dyDescent="0.25"/>
    <row r="74" ht="12.9" customHeight="1" x14ac:dyDescent="0.25"/>
    <row r="75" ht="12.9" customHeight="1" x14ac:dyDescent="0.25"/>
    <row r="76" ht="12.9" customHeight="1" x14ac:dyDescent="0.25"/>
    <row r="77" ht="12.9" customHeight="1" x14ac:dyDescent="0.25"/>
    <row r="78" ht="12.9" customHeight="1" x14ac:dyDescent="0.25"/>
    <row r="79" ht="12.9" customHeight="1" x14ac:dyDescent="0.25"/>
    <row r="80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  <row r="112" ht="12.9" customHeight="1" x14ac:dyDescent="0.25"/>
    <row r="113" ht="12.9" customHeight="1" x14ac:dyDescent="0.25"/>
    <row r="114" ht="12.9" customHeight="1" x14ac:dyDescent="0.25"/>
    <row r="115" ht="12.9" customHeight="1" x14ac:dyDescent="0.25"/>
    <row r="116" ht="12.9" customHeight="1" x14ac:dyDescent="0.25"/>
    <row r="117" ht="12.9" customHeight="1" x14ac:dyDescent="0.25"/>
    <row r="118" ht="12.9" customHeight="1" x14ac:dyDescent="0.25"/>
    <row r="119" ht="12.9" customHeight="1" x14ac:dyDescent="0.25"/>
    <row r="120" ht="12.9" customHeight="1" x14ac:dyDescent="0.25"/>
    <row r="121" ht="12.9" customHeight="1" x14ac:dyDescent="0.25"/>
    <row r="122" ht="12.9" customHeight="1" x14ac:dyDescent="0.25"/>
    <row r="123" ht="12.9" customHeight="1" x14ac:dyDescent="0.25"/>
    <row r="124" ht="12.9" customHeight="1" x14ac:dyDescent="0.25"/>
    <row r="125" ht="12.9" customHeight="1" x14ac:dyDescent="0.25"/>
    <row r="126" ht="12.9" customHeight="1" x14ac:dyDescent="0.25"/>
    <row r="127" ht="12.9" customHeight="1" x14ac:dyDescent="0.25"/>
    <row r="128" ht="12.9" customHeight="1" x14ac:dyDescent="0.25"/>
    <row r="129" ht="12.9" customHeight="1" x14ac:dyDescent="0.25"/>
    <row r="130" ht="12.9" customHeight="1" x14ac:dyDescent="0.25"/>
    <row r="131" ht="12.9" customHeight="1" x14ac:dyDescent="0.25"/>
    <row r="132" ht="12.9" customHeight="1" x14ac:dyDescent="0.25"/>
    <row r="133" ht="12.9" customHeight="1" x14ac:dyDescent="0.25"/>
    <row r="134" ht="12.9" customHeight="1" x14ac:dyDescent="0.25"/>
    <row r="135" ht="12.9" customHeight="1" x14ac:dyDescent="0.25"/>
    <row r="136" ht="12.9" customHeight="1" x14ac:dyDescent="0.25"/>
    <row r="137" ht="12.9" customHeight="1" x14ac:dyDescent="0.25"/>
    <row r="138" ht="12.9" customHeight="1" x14ac:dyDescent="0.25"/>
    <row r="139" ht="12.9" customHeight="1" x14ac:dyDescent="0.25"/>
    <row r="140" ht="12.9" customHeight="1" x14ac:dyDescent="0.25"/>
    <row r="141" ht="12.9" customHeight="1" x14ac:dyDescent="0.25"/>
    <row r="142" ht="12.9" customHeight="1" x14ac:dyDescent="0.25"/>
    <row r="143" ht="12.9" customHeight="1" x14ac:dyDescent="0.25"/>
    <row r="144" ht="12.9" customHeight="1" x14ac:dyDescent="0.25"/>
    <row r="145" ht="12.9" customHeight="1" x14ac:dyDescent="0.25"/>
    <row r="146" ht="12.9" customHeight="1" x14ac:dyDescent="0.25"/>
    <row r="147" ht="12.9" customHeight="1" x14ac:dyDescent="0.25"/>
    <row r="148" ht="12.9" customHeight="1" x14ac:dyDescent="0.25"/>
    <row r="149" ht="12.9" customHeight="1" x14ac:dyDescent="0.25"/>
    <row r="150" ht="12.9" customHeight="1" x14ac:dyDescent="0.25"/>
    <row r="151" ht="12.9" customHeight="1" x14ac:dyDescent="0.25"/>
    <row r="152" ht="12.9" customHeight="1" x14ac:dyDescent="0.25"/>
    <row r="153" ht="12.9" customHeight="1" x14ac:dyDescent="0.25"/>
    <row r="154" ht="12.9" customHeight="1" x14ac:dyDescent="0.25"/>
    <row r="155" ht="12.9" customHeight="1" x14ac:dyDescent="0.25"/>
    <row r="156" ht="12.9" customHeight="1" x14ac:dyDescent="0.25"/>
    <row r="157" ht="12.9" customHeight="1" x14ac:dyDescent="0.25"/>
    <row r="158" ht="12.9" customHeight="1" x14ac:dyDescent="0.25"/>
    <row r="159" ht="12.9" customHeight="1" x14ac:dyDescent="0.25"/>
    <row r="160" ht="12.9" customHeight="1" x14ac:dyDescent="0.25"/>
    <row r="161" ht="12.9" customHeight="1" x14ac:dyDescent="0.25"/>
    <row r="162" ht="12.9" customHeight="1" x14ac:dyDescent="0.25"/>
    <row r="163" ht="12.9" customHeight="1" x14ac:dyDescent="0.25"/>
    <row r="164" ht="12.9" customHeight="1" x14ac:dyDescent="0.25"/>
    <row r="165" ht="12.9" customHeight="1" x14ac:dyDescent="0.25"/>
    <row r="166" ht="12.9" customHeight="1" x14ac:dyDescent="0.25"/>
    <row r="167" ht="12.9" customHeight="1" x14ac:dyDescent="0.25"/>
    <row r="168" ht="12.9" customHeight="1" x14ac:dyDescent="0.25"/>
    <row r="169" ht="12.9" customHeight="1" x14ac:dyDescent="0.25"/>
    <row r="170" ht="12.9" customHeight="1" x14ac:dyDescent="0.25"/>
    <row r="171" ht="12.9" customHeight="1" x14ac:dyDescent="0.25"/>
    <row r="172" ht="12.9" customHeight="1" x14ac:dyDescent="0.25"/>
    <row r="173" ht="12.9" customHeight="1" x14ac:dyDescent="0.25"/>
    <row r="174" ht="12.9" customHeight="1" x14ac:dyDescent="0.25"/>
    <row r="175" ht="12.9" customHeight="1" x14ac:dyDescent="0.25"/>
    <row r="176" ht="12.9" customHeight="1" x14ac:dyDescent="0.25"/>
    <row r="177" ht="12.9" customHeight="1" x14ac:dyDescent="0.25"/>
    <row r="178" ht="12.9" customHeight="1" x14ac:dyDescent="0.25"/>
    <row r="179" ht="12.9" customHeight="1" x14ac:dyDescent="0.25"/>
    <row r="180" ht="12.9" customHeight="1" x14ac:dyDescent="0.25"/>
    <row r="181" ht="12.9" customHeight="1" x14ac:dyDescent="0.25"/>
    <row r="182" ht="12.9" customHeight="1" x14ac:dyDescent="0.25"/>
    <row r="183" ht="12.9" customHeight="1" x14ac:dyDescent="0.25"/>
    <row r="184" ht="12.9" customHeight="1" x14ac:dyDescent="0.25"/>
    <row r="185" ht="12.9" customHeight="1" x14ac:dyDescent="0.25"/>
    <row r="186" ht="12.9" customHeight="1" x14ac:dyDescent="0.25"/>
    <row r="187" ht="12.9" customHeight="1" x14ac:dyDescent="0.25"/>
    <row r="188" ht="12.9" customHeight="1" x14ac:dyDescent="0.25"/>
    <row r="189" ht="12.9" customHeight="1" x14ac:dyDescent="0.25"/>
    <row r="190" ht="12.9" customHeight="1" x14ac:dyDescent="0.25"/>
    <row r="191" ht="12.9" customHeight="1" x14ac:dyDescent="0.25"/>
    <row r="192" ht="12.9" customHeight="1" x14ac:dyDescent="0.25"/>
    <row r="193" ht="12.9" customHeight="1" x14ac:dyDescent="0.25"/>
    <row r="194" ht="12.9" customHeight="1" x14ac:dyDescent="0.25"/>
    <row r="195" ht="12.9" customHeight="1" x14ac:dyDescent="0.25"/>
    <row r="196" ht="12.9" customHeight="1" x14ac:dyDescent="0.25"/>
    <row r="197" ht="12.9" customHeight="1" x14ac:dyDescent="0.25"/>
    <row r="198" ht="12.9" customHeight="1" x14ac:dyDescent="0.25"/>
    <row r="199" ht="12.9" customHeight="1" x14ac:dyDescent="0.25"/>
    <row r="200" ht="12.9" customHeight="1" x14ac:dyDescent="0.25"/>
    <row r="201" ht="12.9" customHeight="1" x14ac:dyDescent="0.25"/>
    <row r="202" ht="12.9" customHeight="1" x14ac:dyDescent="0.25"/>
    <row r="203" ht="12.9" customHeight="1" x14ac:dyDescent="0.25"/>
    <row r="204" ht="12.9" customHeight="1" x14ac:dyDescent="0.25"/>
    <row r="205" ht="12.9" customHeight="1" x14ac:dyDescent="0.25"/>
    <row r="206" ht="12.9" customHeight="1" x14ac:dyDescent="0.25"/>
    <row r="207" ht="12.9" customHeight="1" x14ac:dyDescent="0.25"/>
    <row r="208" ht="12.9" customHeight="1" x14ac:dyDescent="0.25"/>
    <row r="209" ht="12.9" customHeight="1" x14ac:dyDescent="0.25"/>
    <row r="210" ht="12.9" customHeight="1" x14ac:dyDescent="0.25"/>
    <row r="211" ht="12.9" customHeight="1" x14ac:dyDescent="0.25"/>
    <row r="212" ht="12.9" customHeight="1" x14ac:dyDescent="0.25"/>
    <row r="213" ht="12.9" customHeight="1" x14ac:dyDescent="0.25"/>
    <row r="214" ht="12.9" customHeight="1" x14ac:dyDescent="0.25"/>
    <row r="215" ht="12.9" customHeight="1" x14ac:dyDescent="0.25"/>
    <row r="216" ht="12.9" customHeight="1" x14ac:dyDescent="0.25"/>
    <row r="217" ht="12.9" customHeight="1" x14ac:dyDescent="0.25"/>
    <row r="218" ht="12.9" customHeight="1" x14ac:dyDescent="0.25"/>
    <row r="219" ht="12.9" customHeight="1" x14ac:dyDescent="0.25"/>
    <row r="220" ht="12.9" customHeight="1" x14ac:dyDescent="0.25"/>
    <row r="221" ht="12.9" customHeight="1" x14ac:dyDescent="0.25"/>
    <row r="222" ht="12.9" customHeight="1" x14ac:dyDescent="0.25"/>
    <row r="223" ht="12.9" customHeight="1" x14ac:dyDescent="0.25"/>
    <row r="224" ht="12.9" customHeight="1" x14ac:dyDescent="0.25"/>
    <row r="225" ht="12.9" customHeight="1" x14ac:dyDescent="0.25"/>
    <row r="226" ht="12.9" customHeight="1" x14ac:dyDescent="0.25"/>
    <row r="227" ht="12.9" customHeight="1" x14ac:dyDescent="0.25"/>
    <row r="228" ht="12.9" customHeight="1" x14ac:dyDescent="0.25"/>
    <row r="229" ht="12.9" customHeight="1" x14ac:dyDescent="0.25"/>
    <row r="230" ht="12.9" customHeight="1" x14ac:dyDescent="0.25"/>
    <row r="231" ht="12.9" customHeight="1" x14ac:dyDescent="0.25"/>
    <row r="232" ht="12.9" customHeight="1" x14ac:dyDescent="0.25"/>
    <row r="233" ht="12.9" customHeight="1" x14ac:dyDescent="0.25"/>
    <row r="234" ht="12.9" customHeight="1" x14ac:dyDescent="0.25"/>
    <row r="235" ht="12.9" customHeight="1" x14ac:dyDescent="0.25"/>
    <row r="236" ht="12.9" customHeight="1" x14ac:dyDescent="0.25"/>
    <row r="237" ht="12.9" customHeight="1" x14ac:dyDescent="0.25"/>
    <row r="238" ht="12.9" customHeight="1" x14ac:dyDescent="0.25"/>
    <row r="239" ht="12.9" customHeight="1" x14ac:dyDescent="0.25"/>
    <row r="240" ht="12.9" customHeight="1" x14ac:dyDescent="0.25"/>
    <row r="241" ht="12.9" customHeight="1" x14ac:dyDescent="0.25"/>
    <row r="242" ht="12.9" customHeight="1" x14ac:dyDescent="0.25"/>
    <row r="243" ht="12.9" customHeight="1" x14ac:dyDescent="0.25"/>
    <row r="244" ht="12.9" customHeight="1" x14ac:dyDescent="0.25"/>
    <row r="245" ht="12.9" customHeight="1" x14ac:dyDescent="0.25"/>
    <row r="246" ht="12.9" customHeight="1" x14ac:dyDescent="0.25"/>
    <row r="247" ht="12.9" customHeight="1" x14ac:dyDescent="0.25"/>
    <row r="248" ht="12.9" customHeight="1" x14ac:dyDescent="0.25"/>
    <row r="249" ht="12.9" customHeight="1" x14ac:dyDescent="0.25"/>
    <row r="250" ht="12.9" customHeight="1" x14ac:dyDescent="0.25"/>
    <row r="251" ht="12.9" customHeight="1" x14ac:dyDescent="0.25"/>
    <row r="252" ht="12.9" customHeight="1" x14ac:dyDescent="0.25"/>
    <row r="253" ht="12.9" customHeight="1" x14ac:dyDescent="0.25"/>
    <row r="254" ht="12.9" customHeight="1" x14ac:dyDescent="0.25"/>
    <row r="255" ht="12.9" customHeight="1" x14ac:dyDescent="0.25"/>
    <row r="256" ht="12.9" customHeight="1" x14ac:dyDescent="0.25"/>
    <row r="257" ht="12.9" customHeight="1" x14ac:dyDescent="0.25"/>
    <row r="258" ht="12.9" customHeight="1" x14ac:dyDescent="0.25"/>
    <row r="259" ht="12.9" customHeight="1" x14ac:dyDescent="0.25"/>
    <row r="260" ht="12.9" customHeight="1" x14ac:dyDescent="0.25"/>
    <row r="261" ht="12.9" customHeight="1" x14ac:dyDescent="0.25"/>
    <row r="262" ht="12.9" customHeight="1" x14ac:dyDescent="0.25"/>
    <row r="263" ht="12.9" customHeight="1" x14ac:dyDescent="0.25"/>
    <row r="264" ht="12.9" customHeight="1" x14ac:dyDescent="0.25"/>
    <row r="265" ht="12.9" customHeight="1" x14ac:dyDescent="0.25"/>
    <row r="266" ht="12.9" customHeight="1" x14ac:dyDescent="0.25"/>
    <row r="267" ht="12.9" customHeight="1" x14ac:dyDescent="0.25"/>
    <row r="268" ht="12.9" customHeight="1" x14ac:dyDescent="0.25"/>
    <row r="269" ht="12.9" customHeight="1" x14ac:dyDescent="0.25"/>
    <row r="270" ht="12.9" customHeight="1" x14ac:dyDescent="0.25"/>
    <row r="271" ht="12.9" customHeight="1" x14ac:dyDescent="0.25"/>
    <row r="272" ht="12.9" customHeight="1" x14ac:dyDescent="0.25"/>
    <row r="273" ht="12.9" customHeight="1" x14ac:dyDescent="0.25"/>
    <row r="274" ht="12.9" customHeight="1" x14ac:dyDescent="0.25"/>
    <row r="275" ht="12.9" customHeight="1" x14ac:dyDescent="0.25"/>
    <row r="276" ht="12.9" customHeight="1" x14ac:dyDescent="0.25"/>
    <row r="277" ht="12.9" customHeight="1" x14ac:dyDescent="0.25"/>
    <row r="278" ht="12.9" customHeight="1" x14ac:dyDescent="0.25"/>
    <row r="279" ht="12.9" customHeight="1" x14ac:dyDescent="0.25"/>
    <row r="280" ht="12.9" customHeight="1" x14ac:dyDescent="0.25"/>
    <row r="281" ht="12.9" customHeight="1" x14ac:dyDescent="0.25"/>
    <row r="282" ht="12.9" customHeight="1" x14ac:dyDescent="0.25"/>
    <row r="283" ht="12.9" customHeight="1" x14ac:dyDescent="0.25"/>
    <row r="284" ht="12.9" customHeight="1" x14ac:dyDescent="0.25"/>
    <row r="285" ht="12.9" customHeight="1" x14ac:dyDescent="0.25"/>
    <row r="286" ht="12.9" customHeight="1" x14ac:dyDescent="0.25"/>
    <row r="287" ht="12.9" customHeight="1" x14ac:dyDescent="0.25"/>
    <row r="288" ht="12.9" customHeight="1" x14ac:dyDescent="0.25"/>
    <row r="289" ht="12.9" customHeight="1" x14ac:dyDescent="0.25"/>
    <row r="290" ht="12.9" customHeight="1" x14ac:dyDescent="0.25"/>
    <row r="291" ht="12.9" customHeight="1" x14ac:dyDescent="0.25"/>
    <row r="292" ht="12.9" customHeight="1" x14ac:dyDescent="0.25"/>
    <row r="293" ht="12.9" customHeight="1" x14ac:dyDescent="0.25"/>
    <row r="294" ht="12.9" customHeight="1" x14ac:dyDescent="0.25"/>
    <row r="295" ht="12.9" customHeight="1" x14ac:dyDescent="0.25"/>
    <row r="296" ht="12.9" customHeight="1" x14ac:dyDescent="0.25"/>
    <row r="297" ht="12.9" customHeight="1" x14ac:dyDescent="0.25"/>
    <row r="298" ht="12.9" customHeight="1" x14ac:dyDescent="0.25"/>
    <row r="299" ht="12.9" customHeight="1" x14ac:dyDescent="0.25"/>
    <row r="300" ht="12.9" customHeight="1" x14ac:dyDescent="0.25"/>
    <row r="301" ht="12.9" customHeight="1" x14ac:dyDescent="0.25"/>
    <row r="302" ht="12.9" customHeight="1" x14ac:dyDescent="0.25"/>
    <row r="303" ht="12.9" customHeight="1" x14ac:dyDescent="0.25"/>
    <row r="304" ht="12.9" customHeight="1" x14ac:dyDescent="0.25"/>
    <row r="305" ht="12.9" customHeight="1" x14ac:dyDescent="0.25"/>
    <row r="306" ht="12.9" customHeight="1" x14ac:dyDescent="0.25"/>
    <row r="307" ht="12.9" customHeight="1" x14ac:dyDescent="0.25"/>
    <row r="308" ht="12.9" customHeight="1" x14ac:dyDescent="0.25"/>
    <row r="309" ht="12.9" customHeight="1" x14ac:dyDescent="0.25"/>
    <row r="310" ht="12.9" customHeight="1" x14ac:dyDescent="0.25"/>
    <row r="311" ht="12.9" customHeight="1" x14ac:dyDescent="0.25"/>
    <row r="312" ht="12.9" customHeight="1" x14ac:dyDescent="0.25"/>
    <row r="313" ht="12.9" customHeight="1" x14ac:dyDescent="0.25"/>
    <row r="314" ht="12.9" customHeight="1" x14ac:dyDescent="0.25"/>
    <row r="315" ht="12.9" customHeight="1" x14ac:dyDescent="0.25"/>
    <row r="316" ht="12.9" customHeight="1" x14ac:dyDescent="0.25"/>
    <row r="317" ht="12.9" customHeight="1" x14ac:dyDescent="0.25"/>
    <row r="318" ht="12.9" customHeight="1" x14ac:dyDescent="0.25"/>
    <row r="319" ht="12.9" customHeight="1" x14ac:dyDescent="0.25"/>
    <row r="320" ht="12.9" customHeight="1" x14ac:dyDescent="0.25"/>
    <row r="321" ht="12.9" customHeight="1" x14ac:dyDescent="0.25"/>
    <row r="322" ht="12.9" customHeight="1" x14ac:dyDescent="0.25"/>
    <row r="323" ht="12.9" customHeight="1" x14ac:dyDescent="0.25"/>
    <row r="324" ht="12.9" customHeight="1" x14ac:dyDescent="0.25"/>
    <row r="325" ht="12.9" customHeight="1" x14ac:dyDescent="0.25"/>
    <row r="326" ht="12.9" customHeight="1" x14ac:dyDescent="0.25"/>
    <row r="327" ht="12.9" customHeight="1" x14ac:dyDescent="0.25"/>
    <row r="328" ht="12.9" customHeight="1" x14ac:dyDescent="0.25"/>
    <row r="329" ht="12.9" customHeight="1" x14ac:dyDescent="0.25"/>
    <row r="330" ht="12.9" customHeight="1" x14ac:dyDescent="0.25"/>
    <row r="331" ht="12.9" customHeight="1" x14ac:dyDescent="0.25"/>
    <row r="332" ht="12.9" customHeight="1" x14ac:dyDescent="0.25"/>
    <row r="333" ht="12.9" customHeight="1" x14ac:dyDescent="0.25"/>
    <row r="334" ht="12.9" customHeight="1" x14ac:dyDescent="0.25"/>
    <row r="335" ht="12.9" customHeight="1" x14ac:dyDescent="0.25"/>
    <row r="336" ht="12.9" customHeight="1" x14ac:dyDescent="0.25"/>
    <row r="337" ht="12.9" customHeight="1" x14ac:dyDescent="0.25"/>
    <row r="338" ht="12.9" customHeight="1" x14ac:dyDescent="0.25"/>
    <row r="339" ht="12.9" customHeight="1" x14ac:dyDescent="0.25"/>
    <row r="340" ht="12.9" customHeight="1" x14ac:dyDescent="0.25"/>
    <row r="341" ht="12.9" customHeight="1" x14ac:dyDescent="0.25"/>
    <row r="342" ht="12.9" customHeight="1" x14ac:dyDescent="0.25"/>
    <row r="343" ht="12.9" customHeight="1" x14ac:dyDescent="0.25"/>
    <row r="344" ht="12.9" customHeight="1" x14ac:dyDescent="0.25"/>
    <row r="345" ht="12.9" customHeight="1" x14ac:dyDescent="0.25"/>
    <row r="346" ht="12.9" customHeight="1" x14ac:dyDescent="0.25"/>
    <row r="347" ht="12.9" customHeight="1" x14ac:dyDescent="0.25"/>
    <row r="348" ht="12.9" customHeight="1" x14ac:dyDescent="0.25"/>
    <row r="349" ht="12.9" customHeight="1" x14ac:dyDescent="0.25"/>
    <row r="350" ht="12.9" customHeight="1" x14ac:dyDescent="0.25"/>
    <row r="351" ht="12.9" customHeight="1" x14ac:dyDescent="0.25"/>
    <row r="352" ht="12.9" customHeight="1" x14ac:dyDescent="0.25"/>
    <row r="353" ht="12.9" customHeight="1" x14ac:dyDescent="0.25"/>
    <row r="354" ht="12.9" customHeight="1" x14ac:dyDescent="0.25"/>
    <row r="355" ht="12.9" customHeight="1" x14ac:dyDescent="0.25"/>
    <row r="356" ht="12.9" customHeight="1" x14ac:dyDescent="0.25"/>
    <row r="357" ht="12.9" customHeight="1" x14ac:dyDescent="0.25"/>
    <row r="358" ht="12.9" customHeight="1" x14ac:dyDescent="0.25"/>
    <row r="359" ht="12.9" customHeight="1" x14ac:dyDescent="0.25"/>
    <row r="360" ht="12.9" customHeight="1" x14ac:dyDescent="0.25"/>
    <row r="361" ht="12.9" customHeight="1" x14ac:dyDescent="0.25"/>
    <row r="362" ht="12.9" customHeight="1" x14ac:dyDescent="0.25"/>
    <row r="363" ht="12.9" customHeight="1" x14ac:dyDescent="0.25"/>
    <row r="364" ht="12.9" customHeight="1" x14ac:dyDescent="0.25"/>
    <row r="365" ht="12.9" customHeight="1" x14ac:dyDescent="0.25"/>
    <row r="366" ht="12.9" customHeight="1" x14ac:dyDescent="0.25"/>
    <row r="367" ht="12.9" customHeight="1" x14ac:dyDescent="0.25"/>
    <row r="368" ht="12.9" customHeight="1" x14ac:dyDescent="0.25"/>
    <row r="369" ht="12.9" customHeight="1" x14ac:dyDescent="0.25"/>
    <row r="370" ht="12.9" customHeight="1" x14ac:dyDescent="0.25"/>
    <row r="371" ht="12.9" customHeight="1" x14ac:dyDescent="0.25"/>
    <row r="372" ht="12.9" customHeight="1" x14ac:dyDescent="0.25"/>
    <row r="373" ht="12.9" customHeight="1" x14ac:dyDescent="0.25"/>
    <row r="374" ht="12.9" customHeight="1" x14ac:dyDescent="0.25"/>
    <row r="375" ht="12.9" customHeight="1" x14ac:dyDescent="0.25"/>
    <row r="376" ht="12.9" customHeight="1" x14ac:dyDescent="0.25"/>
    <row r="377" ht="12.9" customHeight="1" x14ac:dyDescent="0.25"/>
    <row r="378" ht="12.9" customHeight="1" x14ac:dyDescent="0.25"/>
    <row r="379" ht="12.9" customHeight="1" x14ac:dyDescent="0.25"/>
    <row r="380" ht="12.9" customHeight="1" x14ac:dyDescent="0.25"/>
    <row r="381" ht="12.9" customHeight="1" x14ac:dyDescent="0.25"/>
    <row r="382" ht="12.9" customHeight="1" x14ac:dyDescent="0.25"/>
    <row r="383" ht="12.9" customHeight="1" x14ac:dyDescent="0.25"/>
    <row r="384" ht="12.9" customHeight="1" x14ac:dyDescent="0.25"/>
    <row r="385" ht="12.9" customHeight="1" x14ac:dyDescent="0.25"/>
    <row r="386" ht="12.9" customHeight="1" x14ac:dyDescent="0.25"/>
    <row r="387" ht="12.9" customHeight="1" x14ac:dyDescent="0.25"/>
    <row r="388" ht="12.9" customHeight="1" x14ac:dyDescent="0.25"/>
    <row r="389" ht="12.9" customHeight="1" x14ac:dyDescent="0.25"/>
    <row r="390" ht="12.9" customHeight="1" x14ac:dyDescent="0.25"/>
    <row r="391" ht="12.9" customHeight="1" x14ac:dyDescent="0.25"/>
    <row r="392" ht="12.9" customHeight="1" x14ac:dyDescent="0.25"/>
    <row r="393" ht="12.9" customHeight="1" x14ac:dyDescent="0.25"/>
    <row r="394" ht="12.9" customHeight="1" x14ac:dyDescent="0.25"/>
    <row r="395" ht="12.9" customHeight="1" x14ac:dyDescent="0.25"/>
    <row r="396" ht="12.9" customHeight="1" x14ac:dyDescent="0.25"/>
    <row r="397" ht="12.9" customHeight="1" x14ac:dyDescent="0.25"/>
    <row r="398" ht="12.9" customHeight="1" x14ac:dyDescent="0.25"/>
    <row r="399" ht="12.9" customHeight="1" x14ac:dyDescent="0.25"/>
    <row r="400" ht="12.9" customHeight="1" x14ac:dyDescent="0.25"/>
    <row r="401" ht="12.9" customHeight="1" x14ac:dyDescent="0.25"/>
    <row r="402" ht="12.9" customHeight="1" x14ac:dyDescent="0.25"/>
    <row r="403" ht="12.9" customHeight="1" x14ac:dyDescent="0.25"/>
    <row r="404" ht="12.9" customHeight="1" x14ac:dyDescent="0.25"/>
    <row r="405" ht="12.9" customHeight="1" x14ac:dyDescent="0.25"/>
    <row r="406" ht="12.9" customHeight="1" x14ac:dyDescent="0.25"/>
    <row r="407" ht="12.9" customHeight="1" x14ac:dyDescent="0.25"/>
    <row r="408" ht="12.9" customHeight="1" x14ac:dyDescent="0.25"/>
    <row r="409" ht="12.9" customHeight="1" x14ac:dyDescent="0.25"/>
    <row r="410" ht="12.9" customHeight="1" x14ac:dyDescent="0.25"/>
    <row r="411" ht="12.9" customHeight="1" x14ac:dyDescent="0.25"/>
    <row r="412" ht="12.9" customHeight="1" x14ac:dyDescent="0.25"/>
    <row r="413" ht="12.9" customHeight="1" x14ac:dyDescent="0.25"/>
    <row r="414" ht="12.9" customHeight="1" x14ac:dyDescent="0.25"/>
    <row r="415" ht="12.9" customHeight="1" x14ac:dyDescent="0.25"/>
    <row r="416" ht="12.9" customHeight="1" x14ac:dyDescent="0.25"/>
    <row r="417" ht="12.9" customHeight="1" x14ac:dyDescent="0.25"/>
    <row r="418" ht="12.9" customHeight="1" x14ac:dyDescent="0.25"/>
    <row r="419" ht="12.9" customHeight="1" x14ac:dyDescent="0.25"/>
    <row r="420" ht="12.9" customHeight="1" x14ac:dyDescent="0.25"/>
    <row r="421" ht="12.9" customHeight="1" x14ac:dyDescent="0.25"/>
    <row r="422" ht="12.9" customHeight="1" x14ac:dyDescent="0.25"/>
    <row r="423" ht="12.9" customHeight="1" x14ac:dyDescent="0.25"/>
    <row r="424" ht="12.9" customHeight="1" x14ac:dyDescent="0.25"/>
    <row r="425" ht="12.9" customHeight="1" x14ac:dyDescent="0.25"/>
    <row r="426" ht="12.9" customHeight="1" x14ac:dyDescent="0.25"/>
    <row r="427" ht="12.9" customHeight="1" x14ac:dyDescent="0.25"/>
    <row r="428" ht="12.9" customHeight="1" x14ac:dyDescent="0.25"/>
    <row r="429" ht="12.9" customHeight="1" x14ac:dyDescent="0.25"/>
    <row r="430" ht="12.9" customHeight="1" x14ac:dyDescent="0.25"/>
    <row r="431" ht="12.9" customHeight="1" x14ac:dyDescent="0.25"/>
    <row r="432" ht="12.9" customHeight="1" x14ac:dyDescent="0.25"/>
    <row r="433" ht="12.9" customHeight="1" x14ac:dyDescent="0.25"/>
    <row r="434" ht="12.9" customHeight="1" x14ac:dyDescent="0.25"/>
    <row r="435" ht="12.9" customHeight="1" x14ac:dyDescent="0.25"/>
    <row r="436" ht="12.9" customHeight="1" x14ac:dyDescent="0.25"/>
    <row r="437" ht="12.9" customHeight="1" x14ac:dyDescent="0.25"/>
    <row r="438" ht="12.9" customHeight="1" x14ac:dyDescent="0.25"/>
    <row r="439" ht="12.9" customHeight="1" x14ac:dyDescent="0.25"/>
    <row r="440" ht="12.9" customHeight="1" x14ac:dyDescent="0.25"/>
    <row r="441" ht="12.9" customHeight="1" x14ac:dyDescent="0.25"/>
    <row r="442" ht="12.9" customHeight="1" x14ac:dyDescent="0.25"/>
    <row r="443" ht="12.9" customHeight="1" x14ac:dyDescent="0.25"/>
    <row r="444" ht="12.9" customHeight="1" x14ac:dyDescent="0.25"/>
    <row r="445" ht="12.9" customHeight="1" x14ac:dyDescent="0.25"/>
    <row r="446" ht="12.9" customHeight="1" x14ac:dyDescent="0.25"/>
    <row r="447" ht="12.9" customHeight="1" x14ac:dyDescent="0.25"/>
    <row r="448" ht="12.9" customHeight="1" x14ac:dyDescent="0.25"/>
    <row r="449" ht="12.9" customHeight="1" x14ac:dyDescent="0.25"/>
    <row r="450" ht="12.9" customHeight="1" x14ac:dyDescent="0.25"/>
    <row r="451" ht="12.9" customHeight="1" x14ac:dyDescent="0.25"/>
    <row r="452" ht="12.9" customHeight="1" x14ac:dyDescent="0.25"/>
    <row r="453" ht="12.9" customHeight="1" x14ac:dyDescent="0.25"/>
    <row r="454" ht="12.9" customHeight="1" x14ac:dyDescent="0.25"/>
    <row r="455" ht="12.9" customHeight="1" x14ac:dyDescent="0.25"/>
    <row r="456" ht="12.9" customHeight="1" x14ac:dyDescent="0.25"/>
    <row r="457" ht="12.9" customHeight="1" x14ac:dyDescent="0.25"/>
    <row r="458" ht="12.9" customHeight="1" x14ac:dyDescent="0.25"/>
    <row r="459" ht="12.9" customHeight="1" x14ac:dyDescent="0.25"/>
    <row r="460" ht="12.9" customHeight="1" x14ac:dyDescent="0.25"/>
    <row r="461" ht="12.9" customHeight="1" x14ac:dyDescent="0.25"/>
    <row r="462" ht="12.9" customHeight="1" x14ac:dyDescent="0.25"/>
    <row r="463" ht="12.9" customHeight="1" x14ac:dyDescent="0.25"/>
    <row r="464" ht="12.9" customHeight="1" x14ac:dyDescent="0.25"/>
    <row r="465" ht="12.9" customHeight="1" x14ac:dyDescent="0.25"/>
    <row r="466" ht="12.9" customHeight="1" x14ac:dyDescent="0.25"/>
    <row r="467" ht="12.9" customHeight="1" x14ac:dyDescent="0.25"/>
    <row r="468" ht="12.9" customHeight="1" x14ac:dyDescent="0.25"/>
    <row r="469" ht="12.9" customHeight="1" x14ac:dyDescent="0.25"/>
    <row r="470" ht="12.9" customHeight="1" x14ac:dyDescent="0.25"/>
    <row r="471" ht="12.9" customHeight="1" x14ac:dyDescent="0.25"/>
    <row r="472" ht="12.9" customHeight="1" x14ac:dyDescent="0.25"/>
    <row r="473" ht="12.9" customHeight="1" x14ac:dyDescent="0.25"/>
    <row r="474" ht="12.9" customHeight="1" x14ac:dyDescent="0.25"/>
    <row r="475" ht="12.9" customHeight="1" x14ac:dyDescent="0.25"/>
    <row r="476" ht="12.9" customHeight="1" x14ac:dyDescent="0.25"/>
    <row r="477" ht="12.9" customHeight="1" x14ac:dyDescent="0.25"/>
    <row r="478" ht="12.9" customHeight="1" x14ac:dyDescent="0.25"/>
    <row r="479" ht="12.9" customHeight="1" x14ac:dyDescent="0.25"/>
    <row r="480" ht="12.9" customHeight="1" x14ac:dyDescent="0.25"/>
    <row r="481" ht="12.9" customHeight="1" x14ac:dyDescent="0.25"/>
    <row r="482" ht="12.9" customHeight="1" x14ac:dyDescent="0.25"/>
    <row r="483" ht="12.9" customHeight="1" x14ac:dyDescent="0.25"/>
    <row r="484" ht="12.9" customHeight="1" x14ac:dyDescent="0.25"/>
    <row r="485" ht="12.9" customHeight="1" x14ac:dyDescent="0.25"/>
    <row r="486" ht="12.9" customHeight="1" x14ac:dyDescent="0.25"/>
    <row r="487" ht="12.9" customHeight="1" x14ac:dyDescent="0.25"/>
    <row r="488" ht="12.9" customHeight="1" x14ac:dyDescent="0.25"/>
    <row r="489" ht="12.9" customHeight="1" x14ac:dyDescent="0.25"/>
    <row r="490" ht="12.9" customHeight="1" x14ac:dyDescent="0.25"/>
    <row r="491" ht="12.9" customHeight="1" x14ac:dyDescent="0.25"/>
    <row r="492" ht="12.9" customHeight="1" x14ac:dyDescent="0.25"/>
    <row r="493" ht="12.9" customHeight="1" x14ac:dyDescent="0.25"/>
    <row r="494" ht="12.9" customHeight="1" x14ac:dyDescent="0.25"/>
    <row r="495" ht="12.9" customHeight="1" x14ac:dyDescent="0.25"/>
    <row r="496" ht="12.9" customHeight="1" x14ac:dyDescent="0.25"/>
    <row r="497" ht="12.9" customHeight="1" x14ac:dyDescent="0.25"/>
    <row r="498" ht="12.9" customHeight="1" x14ac:dyDescent="0.25"/>
    <row r="499" ht="12.9" customHeight="1" x14ac:dyDescent="0.25"/>
    <row r="500" ht="12.9" customHeight="1" x14ac:dyDescent="0.25"/>
    <row r="501" ht="12.9" customHeight="1" x14ac:dyDescent="0.25"/>
    <row r="502" ht="12.9" customHeight="1" x14ac:dyDescent="0.25"/>
    <row r="503" ht="12.9" customHeight="1" x14ac:dyDescent="0.25"/>
    <row r="504" ht="12.9" customHeight="1" x14ac:dyDescent="0.25"/>
    <row r="505" ht="12.9" customHeight="1" x14ac:dyDescent="0.25"/>
    <row r="506" ht="12.9" customHeight="1" x14ac:dyDescent="0.25"/>
    <row r="507" ht="12.9" customHeight="1" x14ac:dyDescent="0.25"/>
    <row r="508" ht="12.9" customHeight="1" x14ac:dyDescent="0.25"/>
    <row r="509" ht="12.9" customHeight="1" x14ac:dyDescent="0.25"/>
    <row r="510" ht="12.9" customHeight="1" x14ac:dyDescent="0.25"/>
    <row r="511" ht="12.9" customHeight="1" x14ac:dyDescent="0.25"/>
    <row r="512" ht="12.9" customHeight="1" x14ac:dyDescent="0.25"/>
    <row r="513" ht="12.9" customHeight="1" x14ac:dyDescent="0.25"/>
    <row r="514" ht="12.9" customHeight="1" x14ac:dyDescent="0.25"/>
    <row r="515" ht="12.9" customHeight="1" x14ac:dyDescent="0.25"/>
    <row r="516" ht="12.9" customHeight="1" x14ac:dyDescent="0.25"/>
    <row r="517" ht="12.9" customHeight="1" x14ac:dyDescent="0.25"/>
    <row r="518" ht="12.9" customHeight="1" x14ac:dyDescent="0.25"/>
    <row r="519" ht="12.9" customHeight="1" x14ac:dyDescent="0.25"/>
    <row r="520" ht="12.9" customHeight="1" x14ac:dyDescent="0.25"/>
    <row r="521" ht="12.9" customHeight="1" x14ac:dyDescent="0.25"/>
    <row r="522" ht="12.9" customHeight="1" x14ac:dyDescent="0.25"/>
    <row r="523" ht="12.9" customHeight="1" x14ac:dyDescent="0.25"/>
    <row r="524" ht="12.9" customHeight="1" x14ac:dyDescent="0.25"/>
    <row r="525" ht="12.9" customHeight="1" x14ac:dyDescent="0.25"/>
    <row r="526" ht="12.9" customHeight="1" x14ac:dyDescent="0.25"/>
    <row r="527" ht="12.9" customHeight="1" x14ac:dyDescent="0.25"/>
    <row r="528" ht="12.9" customHeight="1" x14ac:dyDescent="0.25"/>
    <row r="529" ht="12.9" customHeight="1" x14ac:dyDescent="0.25"/>
    <row r="530" ht="12.9" customHeight="1" x14ac:dyDescent="0.25"/>
    <row r="531" ht="12.9" customHeight="1" x14ac:dyDescent="0.25"/>
    <row r="532" ht="12.9" customHeight="1" x14ac:dyDescent="0.25"/>
    <row r="533" ht="12.9" customHeight="1" x14ac:dyDescent="0.25"/>
    <row r="534" ht="12.9" customHeight="1" x14ac:dyDescent="0.25"/>
    <row r="535" ht="12.9" customHeight="1" x14ac:dyDescent="0.25"/>
    <row r="536" ht="12.9" customHeight="1" x14ac:dyDescent="0.25"/>
    <row r="537" ht="12.9" customHeight="1" x14ac:dyDescent="0.25"/>
    <row r="538" ht="12.9" customHeight="1" x14ac:dyDescent="0.25"/>
    <row r="539" ht="12.9" customHeight="1" x14ac:dyDescent="0.25"/>
    <row r="540" ht="12.9" customHeight="1" x14ac:dyDescent="0.25"/>
    <row r="541" ht="12.9" customHeight="1" x14ac:dyDescent="0.25"/>
    <row r="542" ht="12.9" customHeight="1" x14ac:dyDescent="0.25"/>
    <row r="543" ht="12.9" customHeight="1" x14ac:dyDescent="0.25"/>
    <row r="544" ht="12.9" customHeight="1" x14ac:dyDescent="0.25"/>
    <row r="545" ht="12.9" customHeight="1" x14ac:dyDescent="0.25"/>
    <row r="546" ht="12.9" customHeight="1" x14ac:dyDescent="0.25"/>
    <row r="547" ht="12.9" customHeight="1" x14ac:dyDescent="0.25"/>
    <row r="548" ht="12.9" customHeight="1" x14ac:dyDescent="0.25"/>
    <row r="549" ht="12.9" customHeight="1" x14ac:dyDescent="0.25"/>
    <row r="550" ht="12.9" customHeight="1" x14ac:dyDescent="0.25"/>
    <row r="551" ht="12.9" customHeight="1" x14ac:dyDescent="0.25"/>
    <row r="552" ht="12.9" customHeight="1" x14ac:dyDescent="0.25"/>
    <row r="553" ht="12.9" customHeight="1" x14ac:dyDescent="0.25"/>
    <row r="554" ht="12.9" customHeight="1" x14ac:dyDescent="0.25"/>
    <row r="555" ht="12.9" customHeight="1" x14ac:dyDescent="0.25"/>
    <row r="556" ht="12.9" customHeight="1" x14ac:dyDescent="0.25"/>
    <row r="557" ht="12.9" customHeight="1" x14ac:dyDescent="0.25"/>
    <row r="558" ht="12.9" customHeight="1" x14ac:dyDescent="0.25"/>
    <row r="559" ht="12.9" customHeight="1" x14ac:dyDescent="0.25"/>
    <row r="560" ht="12.9" customHeight="1" x14ac:dyDescent="0.25"/>
    <row r="561" ht="12.9" customHeight="1" x14ac:dyDescent="0.25"/>
    <row r="562" ht="12.9" customHeight="1" x14ac:dyDescent="0.25"/>
    <row r="563" ht="12.9" customHeight="1" x14ac:dyDescent="0.25"/>
    <row r="564" ht="12.9" customHeight="1" x14ac:dyDescent="0.25"/>
    <row r="565" ht="12.9" customHeight="1" x14ac:dyDescent="0.25"/>
    <row r="566" ht="12.9" customHeight="1" x14ac:dyDescent="0.25"/>
    <row r="567" ht="12.9" customHeight="1" x14ac:dyDescent="0.25"/>
    <row r="568" ht="12.9" customHeight="1" x14ac:dyDescent="0.25"/>
    <row r="569" ht="12.9" customHeight="1" x14ac:dyDescent="0.25"/>
    <row r="570" ht="12.9" customHeight="1" x14ac:dyDescent="0.25"/>
    <row r="571" ht="12.9" customHeight="1" x14ac:dyDescent="0.25"/>
    <row r="572" ht="12.9" customHeight="1" x14ac:dyDescent="0.25"/>
    <row r="573" ht="12.9" customHeight="1" x14ac:dyDescent="0.25"/>
    <row r="574" ht="12.9" customHeight="1" x14ac:dyDescent="0.25"/>
    <row r="575" ht="12.9" customHeight="1" x14ac:dyDescent="0.25"/>
    <row r="576" ht="12.9" customHeight="1" x14ac:dyDescent="0.25"/>
    <row r="577" ht="12.9" customHeight="1" x14ac:dyDescent="0.25"/>
    <row r="578" ht="12.9" customHeight="1" x14ac:dyDescent="0.25"/>
    <row r="579" ht="12.9" customHeight="1" x14ac:dyDescent="0.25"/>
    <row r="580" ht="12.9" customHeight="1" x14ac:dyDescent="0.25"/>
    <row r="581" ht="12.9" customHeight="1" x14ac:dyDescent="0.25"/>
    <row r="582" ht="12.9" customHeight="1" x14ac:dyDescent="0.25"/>
    <row r="583" ht="12.9" customHeight="1" x14ac:dyDescent="0.25"/>
    <row r="584" ht="12.9" customHeight="1" x14ac:dyDescent="0.25"/>
    <row r="585" ht="12.9" customHeight="1" x14ac:dyDescent="0.25"/>
    <row r="586" ht="12.9" customHeight="1" x14ac:dyDescent="0.25"/>
    <row r="587" ht="12.9" customHeight="1" x14ac:dyDescent="0.25"/>
    <row r="588" ht="12.9" customHeight="1" x14ac:dyDescent="0.25"/>
    <row r="589" ht="12.9" customHeight="1" x14ac:dyDescent="0.25"/>
    <row r="590" ht="12.9" customHeight="1" x14ac:dyDescent="0.25"/>
    <row r="591" ht="12.9" customHeight="1" x14ac:dyDescent="0.25"/>
    <row r="592" ht="12.9" customHeight="1" x14ac:dyDescent="0.25"/>
    <row r="593" ht="12.9" customHeight="1" x14ac:dyDescent="0.25"/>
    <row r="594" ht="12.9" customHeight="1" x14ac:dyDescent="0.25"/>
    <row r="595" ht="12.9" customHeight="1" x14ac:dyDescent="0.25"/>
    <row r="596" ht="12.9" customHeight="1" x14ac:dyDescent="0.25"/>
    <row r="597" ht="12.9" customHeight="1" x14ac:dyDescent="0.25"/>
    <row r="598" ht="12.9" customHeight="1" x14ac:dyDescent="0.25"/>
    <row r="599" ht="12.9" customHeight="1" x14ac:dyDescent="0.25"/>
    <row r="600" ht="12.9" customHeight="1" x14ac:dyDescent="0.25"/>
    <row r="601" ht="12.9" customHeight="1" x14ac:dyDescent="0.25"/>
    <row r="602" ht="12.9" customHeight="1" x14ac:dyDescent="0.25"/>
    <row r="603" ht="12.9" customHeight="1" x14ac:dyDescent="0.25"/>
    <row r="604" ht="12.9" customHeight="1" x14ac:dyDescent="0.25"/>
    <row r="605" ht="12.9" customHeight="1" x14ac:dyDescent="0.25"/>
    <row r="606" ht="12.9" customHeight="1" x14ac:dyDescent="0.25"/>
    <row r="607" ht="12.9" customHeight="1" x14ac:dyDescent="0.25"/>
    <row r="608" ht="12.9" customHeight="1" x14ac:dyDescent="0.25"/>
    <row r="609" ht="12.9" customHeight="1" x14ac:dyDescent="0.25"/>
    <row r="610" ht="12.9" customHeight="1" x14ac:dyDescent="0.25"/>
    <row r="611" ht="12.9" customHeight="1" x14ac:dyDescent="0.25"/>
    <row r="612" ht="12.9" customHeight="1" x14ac:dyDescent="0.25"/>
    <row r="613" ht="12.9" customHeight="1" x14ac:dyDescent="0.25"/>
    <row r="614" ht="12.9" customHeight="1" x14ac:dyDescent="0.25"/>
    <row r="615" ht="12.9" customHeight="1" x14ac:dyDescent="0.25"/>
    <row r="616" ht="12.9" customHeight="1" x14ac:dyDescent="0.25"/>
    <row r="617" ht="12.9" customHeight="1" x14ac:dyDescent="0.25"/>
    <row r="618" ht="12.9" customHeight="1" x14ac:dyDescent="0.25"/>
    <row r="619" ht="12.9" customHeight="1" x14ac:dyDescent="0.25"/>
    <row r="620" ht="12.9" customHeight="1" x14ac:dyDescent="0.25"/>
    <row r="621" ht="12.9" customHeight="1" x14ac:dyDescent="0.25"/>
    <row r="622" ht="12.9" customHeight="1" x14ac:dyDescent="0.25"/>
    <row r="623" ht="12.9" customHeight="1" x14ac:dyDescent="0.25"/>
    <row r="624" ht="12.9" customHeight="1" x14ac:dyDescent="0.25"/>
    <row r="625" ht="12.9" customHeight="1" x14ac:dyDescent="0.25"/>
    <row r="626" ht="12.9" customHeight="1" x14ac:dyDescent="0.25"/>
    <row r="627" ht="12.9" customHeight="1" x14ac:dyDescent="0.25"/>
    <row r="628" ht="12.9" customHeight="1" x14ac:dyDescent="0.25"/>
    <row r="629" ht="12.9" customHeight="1" x14ac:dyDescent="0.25"/>
    <row r="630" ht="12.9" customHeight="1" x14ac:dyDescent="0.25"/>
    <row r="631" ht="12.9" customHeight="1" x14ac:dyDescent="0.25"/>
    <row r="632" ht="12.9" customHeight="1" x14ac:dyDescent="0.25"/>
    <row r="633" ht="12.9" customHeight="1" x14ac:dyDescent="0.25"/>
    <row r="634" ht="12.9" customHeight="1" x14ac:dyDescent="0.25"/>
    <row r="635" ht="12.9" customHeight="1" x14ac:dyDescent="0.25"/>
    <row r="636" ht="12.9" customHeight="1" x14ac:dyDescent="0.25"/>
    <row r="637" ht="12.9" customHeight="1" x14ac:dyDescent="0.25"/>
    <row r="638" ht="12.9" customHeight="1" x14ac:dyDescent="0.25"/>
    <row r="639" ht="12.9" customHeight="1" x14ac:dyDescent="0.25"/>
    <row r="640" ht="12.9" customHeight="1" x14ac:dyDescent="0.25"/>
    <row r="641" ht="12.9" customHeight="1" x14ac:dyDescent="0.25"/>
    <row r="642" ht="12.9" customHeight="1" x14ac:dyDescent="0.25"/>
    <row r="643" ht="12.9" customHeight="1" x14ac:dyDescent="0.25"/>
    <row r="644" ht="12.9" customHeight="1" x14ac:dyDescent="0.25"/>
    <row r="645" ht="12.9" customHeight="1" x14ac:dyDescent="0.25"/>
    <row r="646" ht="12.9" customHeight="1" x14ac:dyDescent="0.25"/>
    <row r="647" ht="12.9" customHeight="1" x14ac:dyDescent="0.25"/>
    <row r="648" ht="12.9" customHeight="1" x14ac:dyDescent="0.25"/>
    <row r="649" ht="12.9" customHeight="1" x14ac:dyDescent="0.25"/>
    <row r="650" ht="12.9" customHeight="1" x14ac:dyDescent="0.25"/>
    <row r="651" ht="12.9" customHeight="1" x14ac:dyDescent="0.25"/>
    <row r="652" ht="12.9" customHeight="1" x14ac:dyDescent="0.25"/>
    <row r="653" ht="12.9" customHeight="1" x14ac:dyDescent="0.25"/>
    <row r="654" ht="12.9" customHeight="1" x14ac:dyDescent="0.25"/>
    <row r="655" ht="12.9" customHeight="1" x14ac:dyDescent="0.25"/>
    <row r="656" ht="12.9" customHeight="1" x14ac:dyDescent="0.25"/>
    <row r="657" ht="12.9" customHeight="1" x14ac:dyDescent="0.25"/>
    <row r="658" ht="12.9" customHeight="1" x14ac:dyDescent="0.25"/>
    <row r="659" ht="12.9" customHeight="1" x14ac:dyDescent="0.25"/>
    <row r="660" ht="12.9" customHeight="1" x14ac:dyDescent="0.25"/>
    <row r="661" ht="12.9" customHeight="1" x14ac:dyDescent="0.25"/>
    <row r="662" ht="12.9" customHeight="1" x14ac:dyDescent="0.25"/>
    <row r="663" ht="12.9" customHeight="1" x14ac:dyDescent="0.25"/>
    <row r="664" ht="12.9" customHeight="1" x14ac:dyDescent="0.25"/>
    <row r="665" ht="12.9" customHeight="1" x14ac:dyDescent="0.25"/>
    <row r="666" ht="12.9" customHeight="1" x14ac:dyDescent="0.25"/>
    <row r="667" ht="12.9" customHeight="1" x14ac:dyDescent="0.25"/>
    <row r="668" ht="12.9" customHeight="1" x14ac:dyDescent="0.25"/>
    <row r="669" ht="12.9" customHeight="1" x14ac:dyDescent="0.25"/>
    <row r="670" ht="12.9" customHeight="1" x14ac:dyDescent="0.25"/>
    <row r="671" ht="12.9" customHeight="1" x14ac:dyDescent="0.25"/>
    <row r="672" ht="12.9" customHeight="1" x14ac:dyDescent="0.25"/>
    <row r="673" ht="12.9" customHeight="1" x14ac:dyDescent="0.25"/>
    <row r="674" ht="12.9" customHeight="1" x14ac:dyDescent="0.25"/>
    <row r="675" ht="12.9" customHeight="1" x14ac:dyDescent="0.25"/>
    <row r="676" ht="12.9" customHeight="1" x14ac:dyDescent="0.25"/>
    <row r="677" ht="12.9" customHeight="1" x14ac:dyDescent="0.25"/>
    <row r="678" ht="12.9" customHeight="1" x14ac:dyDescent="0.25"/>
    <row r="679" ht="12.9" customHeight="1" x14ac:dyDescent="0.25"/>
    <row r="680" ht="12.9" customHeight="1" x14ac:dyDescent="0.25"/>
    <row r="681" ht="12.9" customHeight="1" x14ac:dyDescent="0.25"/>
    <row r="682" ht="12.9" customHeight="1" x14ac:dyDescent="0.25"/>
    <row r="683" ht="12.9" customHeight="1" x14ac:dyDescent="0.25"/>
    <row r="684" ht="12.9" customHeight="1" x14ac:dyDescent="0.25"/>
    <row r="685" ht="12.9" customHeight="1" x14ac:dyDescent="0.25"/>
    <row r="686" ht="12.9" customHeight="1" x14ac:dyDescent="0.25"/>
    <row r="687" ht="12.9" customHeight="1" x14ac:dyDescent="0.25"/>
    <row r="688" ht="12.9" customHeight="1" x14ac:dyDescent="0.25"/>
    <row r="689" ht="12.9" customHeight="1" x14ac:dyDescent="0.25"/>
    <row r="690" ht="12.9" customHeight="1" x14ac:dyDescent="0.25"/>
    <row r="691" ht="12.9" customHeight="1" x14ac:dyDescent="0.25"/>
    <row r="692" ht="12.9" customHeight="1" x14ac:dyDescent="0.25"/>
    <row r="693" ht="12.9" customHeight="1" x14ac:dyDescent="0.25"/>
    <row r="694" ht="12.9" customHeight="1" x14ac:dyDescent="0.25"/>
    <row r="695" ht="12.9" customHeight="1" x14ac:dyDescent="0.25"/>
    <row r="696" ht="12.9" customHeight="1" x14ac:dyDescent="0.25"/>
    <row r="697" ht="12.9" customHeight="1" x14ac:dyDescent="0.25"/>
    <row r="698" ht="12.9" customHeight="1" x14ac:dyDescent="0.25"/>
    <row r="699" ht="12.9" customHeight="1" x14ac:dyDescent="0.25"/>
    <row r="700" ht="12.9" customHeight="1" x14ac:dyDescent="0.25"/>
    <row r="701" ht="12.9" customHeight="1" x14ac:dyDescent="0.25"/>
    <row r="702" ht="12.9" customHeight="1" x14ac:dyDescent="0.25"/>
    <row r="703" ht="12.9" customHeight="1" x14ac:dyDescent="0.25"/>
    <row r="704" ht="12.9" customHeight="1" x14ac:dyDescent="0.25"/>
    <row r="705" ht="12.9" customHeight="1" x14ac:dyDescent="0.25"/>
    <row r="706" ht="12.9" customHeight="1" x14ac:dyDescent="0.25"/>
    <row r="707" ht="12.9" customHeight="1" x14ac:dyDescent="0.25"/>
    <row r="708" ht="12.9" customHeight="1" x14ac:dyDescent="0.25"/>
    <row r="709" ht="12.9" customHeight="1" x14ac:dyDescent="0.25"/>
    <row r="710" ht="12.9" customHeight="1" x14ac:dyDescent="0.25"/>
    <row r="711" ht="12.9" customHeight="1" x14ac:dyDescent="0.25"/>
    <row r="712" ht="12.9" customHeight="1" x14ac:dyDescent="0.25"/>
    <row r="713" ht="12.9" customHeight="1" x14ac:dyDescent="0.25"/>
    <row r="714" ht="12.9" customHeight="1" x14ac:dyDescent="0.25"/>
    <row r="715" ht="12.9" customHeight="1" x14ac:dyDescent="0.25"/>
    <row r="716" ht="12.9" customHeight="1" x14ac:dyDescent="0.25"/>
    <row r="717" ht="12.9" customHeight="1" x14ac:dyDescent="0.25"/>
    <row r="718" ht="12.9" customHeight="1" x14ac:dyDescent="0.25"/>
    <row r="719" ht="12.9" customHeight="1" x14ac:dyDescent="0.25"/>
    <row r="720" ht="12.9" customHeight="1" x14ac:dyDescent="0.25"/>
    <row r="721" ht="12.9" customHeight="1" x14ac:dyDescent="0.25"/>
    <row r="722" ht="12.9" customHeight="1" x14ac:dyDescent="0.25"/>
    <row r="723" ht="12.9" customHeight="1" x14ac:dyDescent="0.25"/>
    <row r="724" ht="12.9" customHeight="1" x14ac:dyDescent="0.25"/>
    <row r="725" ht="12.9" customHeight="1" x14ac:dyDescent="0.25"/>
    <row r="726" ht="12.9" customHeight="1" x14ac:dyDescent="0.25"/>
    <row r="727" ht="12.9" customHeight="1" x14ac:dyDescent="0.25"/>
    <row r="728" ht="12.9" customHeight="1" x14ac:dyDescent="0.25"/>
    <row r="729" ht="12.9" customHeight="1" x14ac:dyDescent="0.25"/>
    <row r="730" ht="12.9" customHeight="1" x14ac:dyDescent="0.25"/>
    <row r="731" ht="12.9" customHeight="1" x14ac:dyDescent="0.25"/>
    <row r="732" ht="12.9" customHeight="1" x14ac:dyDescent="0.25"/>
    <row r="733" ht="12.9" customHeight="1" x14ac:dyDescent="0.25"/>
    <row r="734" ht="12.9" customHeight="1" x14ac:dyDescent="0.25"/>
    <row r="735" ht="12.9" customHeight="1" x14ac:dyDescent="0.25"/>
    <row r="736" ht="12.9" customHeight="1" x14ac:dyDescent="0.25"/>
    <row r="737" ht="12.9" customHeight="1" x14ac:dyDescent="0.25"/>
    <row r="738" ht="12.9" customHeight="1" x14ac:dyDescent="0.25"/>
    <row r="739" ht="12.9" customHeight="1" x14ac:dyDescent="0.25"/>
    <row r="740" ht="12.9" customHeight="1" x14ac:dyDescent="0.25"/>
    <row r="741" ht="12.9" customHeight="1" x14ac:dyDescent="0.25"/>
    <row r="742" ht="12.9" customHeight="1" x14ac:dyDescent="0.25"/>
    <row r="743" ht="12.9" customHeight="1" x14ac:dyDescent="0.25"/>
    <row r="744" ht="12.9" customHeight="1" x14ac:dyDescent="0.25"/>
    <row r="745" ht="12.9" customHeight="1" x14ac:dyDescent="0.25"/>
    <row r="746" ht="12.9" customHeight="1" x14ac:dyDescent="0.25"/>
    <row r="747" ht="12.9" customHeight="1" x14ac:dyDescent="0.25"/>
    <row r="748" ht="12.9" customHeight="1" x14ac:dyDescent="0.25"/>
    <row r="749" ht="12.9" customHeight="1" x14ac:dyDescent="0.25"/>
    <row r="750" ht="12.9" customHeight="1" x14ac:dyDescent="0.25"/>
    <row r="751" ht="12.9" customHeight="1" x14ac:dyDescent="0.25"/>
    <row r="752" ht="12.9" customHeight="1" x14ac:dyDescent="0.25"/>
    <row r="753" ht="12.9" customHeight="1" x14ac:dyDescent="0.25"/>
    <row r="754" ht="12.9" customHeight="1" x14ac:dyDescent="0.25"/>
    <row r="755" ht="12.9" customHeight="1" x14ac:dyDescent="0.25"/>
    <row r="756" ht="12.9" customHeight="1" x14ac:dyDescent="0.25"/>
    <row r="757" ht="12.9" customHeight="1" x14ac:dyDescent="0.25"/>
    <row r="758" ht="12.9" customHeight="1" x14ac:dyDescent="0.25"/>
    <row r="759" ht="12.9" customHeight="1" x14ac:dyDescent="0.25"/>
    <row r="760" ht="12.9" customHeight="1" x14ac:dyDescent="0.25"/>
    <row r="761" ht="12.9" customHeight="1" x14ac:dyDescent="0.25"/>
    <row r="762" ht="12.9" customHeight="1" x14ac:dyDescent="0.25"/>
    <row r="763" ht="12.9" customHeight="1" x14ac:dyDescent="0.25"/>
    <row r="764" ht="12.9" customHeight="1" x14ac:dyDescent="0.25"/>
    <row r="765" ht="12.9" customHeight="1" x14ac:dyDescent="0.25"/>
    <row r="766" ht="12.9" customHeight="1" x14ac:dyDescent="0.25"/>
    <row r="767" ht="12.9" customHeight="1" x14ac:dyDescent="0.25"/>
    <row r="768" ht="12.9" customHeight="1" x14ac:dyDescent="0.25"/>
    <row r="769" ht="12.9" customHeight="1" x14ac:dyDescent="0.25"/>
    <row r="770" ht="12.9" customHeight="1" x14ac:dyDescent="0.25"/>
    <row r="771" ht="12.9" customHeight="1" x14ac:dyDescent="0.25"/>
    <row r="772" ht="12.9" customHeight="1" x14ac:dyDescent="0.25"/>
    <row r="773" ht="12.9" customHeight="1" x14ac:dyDescent="0.25"/>
    <row r="774" ht="12.9" customHeight="1" x14ac:dyDescent="0.25"/>
    <row r="775" ht="12.9" customHeight="1" x14ac:dyDescent="0.25"/>
    <row r="776" ht="12.9" customHeight="1" x14ac:dyDescent="0.25"/>
    <row r="777" ht="12.9" customHeight="1" x14ac:dyDescent="0.25"/>
    <row r="778" ht="12.9" customHeight="1" x14ac:dyDescent="0.25"/>
    <row r="779" ht="12.9" customHeight="1" x14ac:dyDescent="0.25"/>
    <row r="780" ht="12.9" customHeight="1" x14ac:dyDescent="0.25"/>
    <row r="781" ht="12.9" customHeight="1" x14ac:dyDescent="0.25"/>
    <row r="782" ht="12.9" customHeight="1" x14ac:dyDescent="0.25"/>
    <row r="783" ht="12.9" customHeight="1" x14ac:dyDescent="0.25"/>
    <row r="784" ht="12.9" customHeight="1" x14ac:dyDescent="0.25"/>
    <row r="785" ht="12.9" customHeight="1" x14ac:dyDescent="0.25"/>
    <row r="786" ht="12.9" customHeight="1" x14ac:dyDescent="0.25"/>
    <row r="787" ht="12.9" customHeight="1" x14ac:dyDescent="0.25"/>
    <row r="788" ht="12.9" customHeight="1" x14ac:dyDescent="0.25"/>
    <row r="789" ht="12.9" customHeight="1" x14ac:dyDescent="0.25"/>
    <row r="790" ht="12.9" customHeight="1" x14ac:dyDescent="0.25"/>
    <row r="791" ht="12.9" customHeight="1" x14ac:dyDescent="0.25"/>
    <row r="792" ht="12.9" customHeight="1" x14ac:dyDescent="0.25"/>
    <row r="793" ht="12.9" customHeight="1" x14ac:dyDescent="0.25"/>
    <row r="794" ht="12.9" customHeight="1" x14ac:dyDescent="0.25"/>
    <row r="795" ht="12.9" customHeight="1" x14ac:dyDescent="0.25"/>
    <row r="796" ht="12.9" customHeight="1" x14ac:dyDescent="0.25"/>
    <row r="797" ht="12.9" customHeight="1" x14ac:dyDescent="0.25"/>
    <row r="798" ht="12.9" customHeight="1" x14ac:dyDescent="0.25"/>
    <row r="799" ht="12.9" customHeight="1" x14ac:dyDescent="0.25"/>
    <row r="800" ht="12.9" customHeight="1" x14ac:dyDescent="0.25"/>
    <row r="801" ht="12.9" customHeight="1" x14ac:dyDescent="0.25"/>
    <row r="802" ht="12.9" customHeight="1" x14ac:dyDescent="0.25"/>
    <row r="803" ht="12.9" customHeight="1" x14ac:dyDescent="0.25"/>
    <row r="804" ht="12.9" customHeight="1" x14ac:dyDescent="0.25"/>
    <row r="805" ht="12.9" customHeight="1" x14ac:dyDescent="0.25"/>
    <row r="806" ht="12.9" customHeight="1" x14ac:dyDescent="0.25"/>
    <row r="807" ht="12.9" customHeight="1" x14ac:dyDescent="0.25"/>
    <row r="808" ht="12.9" customHeight="1" x14ac:dyDescent="0.25"/>
    <row r="809" ht="12.9" customHeight="1" x14ac:dyDescent="0.25"/>
    <row r="810" ht="12.9" customHeight="1" x14ac:dyDescent="0.25"/>
    <row r="811" ht="12.9" customHeight="1" x14ac:dyDescent="0.25"/>
    <row r="812" ht="12.9" customHeight="1" x14ac:dyDescent="0.25"/>
    <row r="813" ht="12.9" customHeight="1" x14ac:dyDescent="0.25"/>
    <row r="814" ht="12.9" customHeight="1" x14ac:dyDescent="0.25"/>
    <row r="815" ht="12.9" customHeight="1" x14ac:dyDescent="0.25"/>
    <row r="816" ht="12.9" customHeight="1" x14ac:dyDescent="0.25"/>
    <row r="817" ht="12.9" customHeight="1" x14ac:dyDescent="0.25"/>
    <row r="818" ht="12.9" customHeight="1" x14ac:dyDescent="0.25"/>
    <row r="819" ht="12.9" customHeight="1" x14ac:dyDescent="0.25"/>
    <row r="820" ht="12.9" customHeight="1" x14ac:dyDescent="0.25"/>
    <row r="821" ht="12.9" customHeight="1" x14ac:dyDescent="0.25"/>
    <row r="822" ht="12.9" customHeight="1" x14ac:dyDescent="0.25"/>
    <row r="823" ht="12.9" customHeight="1" x14ac:dyDescent="0.25"/>
    <row r="824" ht="12.9" customHeight="1" x14ac:dyDescent="0.25"/>
    <row r="825" ht="12.9" customHeight="1" x14ac:dyDescent="0.25"/>
    <row r="826" ht="12.9" customHeight="1" x14ac:dyDescent="0.25"/>
    <row r="827" ht="12.9" customHeight="1" x14ac:dyDescent="0.25"/>
    <row r="828" ht="12.9" customHeight="1" x14ac:dyDescent="0.25"/>
    <row r="829" ht="12.9" customHeight="1" x14ac:dyDescent="0.25"/>
    <row r="830" ht="12.9" customHeight="1" x14ac:dyDescent="0.25"/>
    <row r="831" ht="12.9" customHeight="1" x14ac:dyDescent="0.25"/>
    <row r="832" ht="12.9" customHeight="1" x14ac:dyDescent="0.25"/>
    <row r="833" ht="12.9" customHeight="1" x14ac:dyDescent="0.25"/>
    <row r="834" ht="12.9" customHeight="1" x14ac:dyDescent="0.25"/>
    <row r="835" ht="12.9" customHeight="1" x14ac:dyDescent="0.25"/>
    <row r="836" ht="12.9" customHeight="1" x14ac:dyDescent="0.25"/>
    <row r="837" ht="12.9" customHeight="1" x14ac:dyDescent="0.25"/>
    <row r="838" ht="12.9" customHeight="1" x14ac:dyDescent="0.25"/>
    <row r="839" ht="12.9" customHeight="1" x14ac:dyDescent="0.25"/>
    <row r="840" ht="12.9" customHeight="1" x14ac:dyDescent="0.25"/>
    <row r="841" ht="12.9" customHeight="1" x14ac:dyDescent="0.25"/>
    <row r="842" ht="12.9" customHeight="1" x14ac:dyDescent="0.25"/>
    <row r="843" ht="12.9" customHeight="1" x14ac:dyDescent="0.25"/>
    <row r="844" ht="12.9" customHeight="1" x14ac:dyDescent="0.25"/>
    <row r="845" ht="12.9" customHeight="1" x14ac:dyDescent="0.25"/>
    <row r="846" ht="12.9" customHeight="1" x14ac:dyDescent="0.25"/>
    <row r="847" ht="12.9" customHeight="1" x14ac:dyDescent="0.25"/>
    <row r="848" ht="12.9" customHeight="1" x14ac:dyDescent="0.25"/>
    <row r="849" ht="12.9" customHeight="1" x14ac:dyDescent="0.25"/>
    <row r="850" ht="12.9" customHeight="1" x14ac:dyDescent="0.25"/>
    <row r="851" ht="12.9" customHeight="1" x14ac:dyDescent="0.25"/>
    <row r="852" ht="12.9" customHeight="1" x14ac:dyDescent="0.25"/>
    <row r="853" ht="12.9" customHeight="1" x14ac:dyDescent="0.25"/>
    <row r="854" ht="12.9" customHeight="1" x14ac:dyDescent="0.25"/>
    <row r="855" ht="12.9" customHeight="1" x14ac:dyDescent="0.25"/>
    <row r="856" ht="12.9" customHeight="1" x14ac:dyDescent="0.25"/>
    <row r="857" ht="12.9" customHeight="1" x14ac:dyDescent="0.25"/>
    <row r="858" ht="12.9" customHeight="1" x14ac:dyDescent="0.25"/>
    <row r="859" ht="12.9" customHeight="1" x14ac:dyDescent="0.25"/>
    <row r="860" ht="12.9" customHeight="1" x14ac:dyDescent="0.25"/>
    <row r="861" ht="12.9" customHeight="1" x14ac:dyDescent="0.25"/>
    <row r="862" ht="12.9" customHeight="1" x14ac:dyDescent="0.25"/>
    <row r="863" ht="12.9" customHeight="1" x14ac:dyDescent="0.25"/>
    <row r="864" ht="12.9" customHeight="1" x14ac:dyDescent="0.25"/>
    <row r="865" ht="12.9" customHeight="1" x14ac:dyDescent="0.25"/>
    <row r="866" ht="12.9" customHeight="1" x14ac:dyDescent="0.25"/>
    <row r="867" ht="12.9" customHeight="1" x14ac:dyDescent="0.25"/>
    <row r="868" ht="12.9" customHeight="1" x14ac:dyDescent="0.25"/>
    <row r="869" ht="12.9" customHeight="1" x14ac:dyDescent="0.25"/>
    <row r="870" ht="12.9" customHeight="1" x14ac:dyDescent="0.25"/>
    <row r="871" ht="12.9" customHeight="1" x14ac:dyDescent="0.25"/>
    <row r="872" ht="12.9" customHeight="1" x14ac:dyDescent="0.25"/>
    <row r="873" ht="12.9" customHeight="1" x14ac:dyDescent="0.25"/>
    <row r="874" ht="12.9" customHeight="1" x14ac:dyDescent="0.25"/>
    <row r="875" ht="12.9" customHeight="1" x14ac:dyDescent="0.25"/>
    <row r="876" ht="12.9" customHeight="1" x14ac:dyDescent="0.25"/>
    <row r="877" ht="12.9" customHeight="1" x14ac:dyDescent="0.25"/>
    <row r="878" ht="12.9" customHeight="1" x14ac:dyDescent="0.25"/>
    <row r="879" ht="12.9" customHeight="1" x14ac:dyDescent="0.25"/>
    <row r="880" ht="12.9" customHeight="1" x14ac:dyDescent="0.25"/>
    <row r="881" ht="12.9" customHeight="1" x14ac:dyDescent="0.25"/>
    <row r="882" ht="12.9" customHeight="1" x14ac:dyDescent="0.25"/>
    <row r="883" ht="12.9" customHeight="1" x14ac:dyDescent="0.25"/>
    <row r="884" ht="12.9" customHeight="1" x14ac:dyDescent="0.25"/>
    <row r="885" ht="12.9" customHeight="1" x14ac:dyDescent="0.25"/>
    <row r="886" ht="12.9" customHeight="1" x14ac:dyDescent="0.25"/>
    <row r="887" ht="12.9" customHeight="1" x14ac:dyDescent="0.25"/>
    <row r="888" ht="12.9" customHeight="1" x14ac:dyDescent="0.25"/>
    <row r="889" ht="12.9" customHeight="1" x14ac:dyDescent="0.25"/>
    <row r="890" ht="12.9" customHeight="1" x14ac:dyDescent="0.25"/>
    <row r="891" ht="12.9" customHeight="1" x14ac:dyDescent="0.25"/>
    <row r="892" ht="12.9" customHeight="1" x14ac:dyDescent="0.25"/>
    <row r="893" ht="12.9" customHeight="1" x14ac:dyDescent="0.25"/>
    <row r="894" ht="12.9" customHeight="1" x14ac:dyDescent="0.25"/>
    <row r="895" ht="12.9" customHeight="1" x14ac:dyDescent="0.25"/>
    <row r="896" ht="12.9" customHeight="1" x14ac:dyDescent="0.25"/>
    <row r="897" ht="12.9" customHeight="1" x14ac:dyDescent="0.25"/>
    <row r="898" ht="12.9" customHeight="1" x14ac:dyDescent="0.25"/>
    <row r="899" ht="12.9" customHeight="1" x14ac:dyDescent="0.25"/>
    <row r="900" ht="12.9" customHeight="1" x14ac:dyDescent="0.25"/>
    <row r="901" ht="12.9" customHeight="1" x14ac:dyDescent="0.25"/>
    <row r="902" ht="12.9" customHeight="1" x14ac:dyDescent="0.25"/>
    <row r="903" ht="12.9" customHeight="1" x14ac:dyDescent="0.25"/>
    <row r="904" ht="12.9" customHeight="1" x14ac:dyDescent="0.25"/>
    <row r="905" ht="12.9" customHeight="1" x14ac:dyDescent="0.25"/>
    <row r="906" ht="12.9" customHeight="1" x14ac:dyDescent="0.25"/>
    <row r="907" ht="12.9" customHeight="1" x14ac:dyDescent="0.25"/>
    <row r="908" ht="12.9" customHeight="1" x14ac:dyDescent="0.25"/>
    <row r="909" ht="12.9" customHeight="1" x14ac:dyDescent="0.25"/>
    <row r="910" ht="12.9" customHeight="1" x14ac:dyDescent="0.25"/>
    <row r="911" ht="12.9" customHeight="1" x14ac:dyDescent="0.25"/>
    <row r="912" ht="12.9" customHeight="1" x14ac:dyDescent="0.25"/>
    <row r="913" ht="12.9" customHeight="1" x14ac:dyDescent="0.25"/>
    <row r="914" ht="12.9" customHeight="1" x14ac:dyDescent="0.25"/>
    <row r="915" ht="12.9" customHeight="1" x14ac:dyDescent="0.25"/>
    <row r="916" ht="12.9" customHeight="1" x14ac:dyDescent="0.25"/>
    <row r="917" ht="12.9" customHeight="1" x14ac:dyDescent="0.25"/>
    <row r="918" ht="12.9" customHeight="1" x14ac:dyDescent="0.25"/>
    <row r="919" ht="12.9" customHeight="1" x14ac:dyDescent="0.25"/>
    <row r="920" ht="12.9" customHeight="1" x14ac:dyDescent="0.25"/>
    <row r="921" ht="12.9" customHeight="1" x14ac:dyDescent="0.25"/>
    <row r="922" ht="12.9" customHeight="1" x14ac:dyDescent="0.25"/>
    <row r="923" ht="12.9" customHeight="1" x14ac:dyDescent="0.25"/>
    <row r="924" ht="12.9" customHeight="1" x14ac:dyDescent="0.25"/>
    <row r="925" ht="12.9" customHeight="1" x14ac:dyDescent="0.25"/>
    <row r="926" ht="12.9" customHeight="1" x14ac:dyDescent="0.25"/>
    <row r="927" ht="12.9" customHeight="1" x14ac:dyDescent="0.25"/>
    <row r="928" ht="12.9" customHeight="1" x14ac:dyDescent="0.25"/>
    <row r="929" ht="12.9" customHeight="1" x14ac:dyDescent="0.25"/>
    <row r="930" ht="12.9" customHeight="1" x14ac:dyDescent="0.25"/>
    <row r="931" ht="12.9" customHeight="1" x14ac:dyDescent="0.25"/>
    <row r="932" ht="12.9" customHeight="1" x14ac:dyDescent="0.25"/>
    <row r="933" ht="12.9" customHeight="1" x14ac:dyDescent="0.25"/>
    <row r="934" ht="12.9" customHeight="1" x14ac:dyDescent="0.25"/>
    <row r="935" ht="12.9" customHeight="1" x14ac:dyDescent="0.25"/>
    <row r="936" ht="12.9" customHeight="1" x14ac:dyDescent="0.25"/>
    <row r="937" ht="12.9" customHeight="1" x14ac:dyDescent="0.25"/>
    <row r="938" ht="12.9" customHeight="1" x14ac:dyDescent="0.25"/>
    <row r="939" ht="12.9" customHeight="1" x14ac:dyDescent="0.25"/>
    <row r="940" ht="12.9" customHeight="1" x14ac:dyDescent="0.25"/>
    <row r="941" ht="12.9" customHeight="1" x14ac:dyDescent="0.25"/>
    <row r="942" ht="12.9" customHeight="1" x14ac:dyDescent="0.25"/>
    <row r="943" ht="12.9" customHeight="1" x14ac:dyDescent="0.25"/>
    <row r="944" ht="12.9" customHeight="1" x14ac:dyDescent="0.25"/>
    <row r="945" ht="12.9" customHeight="1" x14ac:dyDescent="0.25"/>
    <row r="946" ht="12.9" customHeight="1" x14ac:dyDescent="0.25"/>
    <row r="947" ht="12.9" customHeight="1" x14ac:dyDescent="0.25"/>
    <row r="948" ht="12.9" customHeight="1" x14ac:dyDescent="0.25"/>
    <row r="949" ht="12.9" customHeight="1" x14ac:dyDescent="0.25"/>
    <row r="950" ht="12.9" customHeight="1" x14ac:dyDescent="0.25"/>
    <row r="951" ht="12.9" customHeight="1" x14ac:dyDescent="0.25"/>
    <row r="952" ht="12.9" customHeight="1" x14ac:dyDescent="0.25"/>
    <row r="953" ht="12.9" customHeight="1" x14ac:dyDescent="0.25"/>
    <row r="954" ht="12.9" customHeight="1" x14ac:dyDescent="0.25"/>
    <row r="955" ht="12.9" customHeight="1" x14ac:dyDescent="0.25"/>
    <row r="956" ht="12.9" customHeight="1" x14ac:dyDescent="0.25"/>
    <row r="957" ht="12.9" customHeight="1" x14ac:dyDescent="0.25"/>
    <row r="958" ht="12.9" customHeight="1" x14ac:dyDescent="0.25"/>
    <row r="959" ht="12.9" customHeight="1" x14ac:dyDescent="0.25"/>
    <row r="960" ht="12.9" customHeight="1" x14ac:dyDescent="0.25"/>
    <row r="961" ht="12.9" customHeight="1" x14ac:dyDescent="0.25"/>
    <row r="962" ht="12.9" customHeight="1" x14ac:dyDescent="0.25"/>
    <row r="963" ht="12.9" customHeight="1" x14ac:dyDescent="0.25"/>
    <row r="964" ht="12.9" customHeight="1" x14ac:dyDescent="0.25"/>
    <row r="965" ht="12.9" customHeight="1" x14ac:dyDescent="0.25"/>
    <row r="966" ht="12.9" customHeight="1" x14ac:dyDescent="0.25"/>
    <row r="967" ht="12.9" customHeight="1" x14ac:dyDescent="0.25"/>
    <row r="968" ht="12.9" customHeight="1" x14ac:dyDescent="0.25"/>
    <row r="969" ht="12.9" customHeight="1" x14ac:dyDescent="0.25"/>
    <row r="970" ht="12.9" customHeight="1" x14ac:dyDescent="0.25"/>
    <row r="971" ht="12.9" customHeight="1" x14ac:dyDescent="0.25"/>
    <row r="972" ht="12.9" customHeight="1" x14ac:dyDescent="0.25"/>
    <row r="973" ht="12.9" customHeight="1" x14ac:dyDescent="0.25"/>
    <row r="974" ht="12.9" customHeight="1" x14ac:dyDescent="0.25"/>
    <row r="975" ht="12.9" customHeight="1" x14ac:dyDescent="0.25"/>
    <row r="976" ht="12.9" customHeight="1" x14ac:dyDescent="0.25"/>
    <row r="977" ht="12.9" customHeight="1" x14ac:dyDescent="0.25"/>
    <row r="978" ht="12.9" customHeight="1" x14ac:dyDescent="0.25"/>
    <row r="979" ht="12.9" customHeight="1" x14ac:dyDescent="0.25"/>
    <row r="980" ht="12.9" customHeight="1" x14ac:dyDescent="0.25"/>
    <row r="981" ht="12.9" customHeight="1" x14ac:dyDescent="0.25"/>
    <row r="982" ht="12.9" customHeight="1" x14ac:dyDescent="0.25"/>
    <row r="983" ht="12.9" customHeight="1" x14ac:dyDescent="0.25"/>
    <row r="984" ht="12.9" customHeight="1" x14ac:dyDescent="0.25"/>
    <row r="985" ht="12.9" customHeight="1" x14ac:dyDescent="0.25"/>
    <row r="986" ht="12.9" customHeight="1" x14ac:dyDescent="0.25"/>
    <row r="987" ht="12.9" customHeight="1" x14ac:dyDescent="0.25"/>
    <row r="988" ht="12.9" customHeight="1" x14ac:dyDescent="0.25"/>
    <row r="989" ht="12.9" customHeight="1" x14ac:dyDescent="0.25"/>
    <row r="990" ht="12.9" customHeight="1" x14ac:dyDescent="0.25"/>
    <row r="991" ht="12.9" customHeight="1" x14ac:dyDescent="0.25"/>
    <row r="992" ht="12.9" customHeight="1" x14ac:dyDescent="0.25"/>
    <row r="993" ht="12.9" customHeight="1" x14ac:dyDescent="0.25"/>
    <row r="994" ht="12.9" customHeight="1" x14ac:dyDescent="0.25"/>
    <row r="995" ht="12.9" customHeight="1" x14ac:dyDescent="0.25"/>
    <row r="996" ht="12.9" customHeight="1" x14ac:dyDescent="0.25"/>
    <row r="997" ht="12.9" customHeight="1" x14ac:dyDescent="0.25"/>
    <row r="998" ht="12.9" customHeight="1" x14ac:dyDescent="0.25"/>
    <row r="999" ht="12.9" customHeight="1" x14ac:dyDescent="0.25"/>
    <row r="1000" ht="12.9" customHeight="1" x14ac:dyDescent="0.25"/>
    <row r="1001" ht="12.9" customHeight="1" x14ac:dyDescent="0.25"/>
    <row r="1002" ht="12.9" customHeight="1" x14ac:dyDescent="0.25"/>
    <row r="1003" ht="12.9" customHeight="1" x14ac:dyDescent="0.25"/>
    <row r="1004" ht="12.9" customHeight="1" x14ac:dyDescent="0.25"/>
    <row r="1005" ht="12.9" customHeight="1" x14ac:dyDescent="0.25"/>
    <row r="1006" ht="12.9" customHeight="1" x14ac:dyDescent="0.25"/>
    <row r="1007" ht="12.9" customHeight="1" x14ac:dyDescent="0.25"/>
    <row r="1008" ht="12.9" customHeight="1" x14ac:dyDescent="0.25"/>
    <row r="1009" ht="12.9" customHeight="1" x14ac:dyDescent="0.25"/>
    <row r="1010" ht="12.9" customHeight="1" x14ac:dyDescent="0.25"/>
    <row r="1011" ht="12.9" customHeight="1" x14ac:dyDescent="0.25"/>
    <row r="1012" ht="12.9" customHeight="1" x14ac:dyDescent="0.25"/>
    <row r="1013" ht="12.9" customHeight="1" x14ac:dyDescent="0.25"/>
    <row r="1014" ht="12.9" customHeight="1" x14ac:dyDescent="0.25"/>
    <row r="1015" ht="12.9" customHeight="1" x14ac:dyDescent="0.25"/>
    <row r="1016" ht="12.9" customHeight="1" x14ac:dyDescent="0.25"/>
    <row r="1017" ht="12.9" customHeight="1" x14ac:dyDescent="0.25"/>
    <row r="1018" ht="12.9" customHeight="1" x14ac:dyDescent="0.25"/>
    <row r="1019" ht="12.9" customHeight="1" x14ac:dyDescent="0.25"/>
    <row r="1020" ht="12.9" customHeight="1" x14ac:dyDescent="0.25"/>
    <row r="1021" ht="12.9" customHeight="1" x14ac:dyDescent="0.25"/>
    <row r="1022" ht="12.9" customHeight="1" x14ac:dyDescent="0.25"/>
    <row r="1023" ht="12.9" customHeight="1" x14ac:dyDescent="0.25"/>
    <row r="1024" ht="12.9" customHeight="1" x14ac:dyDescent="0.25"/>
    <row r="1025" ht="12.9" customHeight="1" x14ac:dyDescent="0.25"/>
    <row r="1026" ht="12.9" customHeight="1" x14ac:dyDescent="0.25"/>
    <row r="1027" ht="12.9" customHeight="1" x14ac:dyDescent="0.25"/>
    <row r="1028" ht="12.9" customHeight="1" x14ac:dyDescent="0.25"/>
    <row r="1029" ht="12.9" customHeight="1" x14ac:dyDescent="0.25"/>
    <row r="1030" ht="12.9" customHeight="1" x14ac:dyDescent="0.25"/>
    <row r="1031" ht="12.9" customHeight="1" x14ac:dyDescent="0.25"/>
    <row r="1032" ht="12.9" customHeight="1" x14ac:dyDescent="0.25"/>
    <row r="1033" ht="12.9" customHeight="1" x14ac:dyDescent="0.25"/>
    <row r="1034" ht="12.9" customHeight="1" x14ac:dyDescent="0.25"/>
    <row r="1035" ht="12.9" customHeight="1" x14ac:dyDescent="0.25"/>
    <row r="1036" ht="12.9" customHeight="1" x14ac:dyDescent="0.25"/>
    <row r="1037" ht="12.9" customHeight="1" x14ac:dyDescent="0.25"/>
    <row r="1038" ht="12.9" customHeight="1" x14ac:dyDescent="0.25"/>
    <row r="1039" ht="12.9" customHeight="1" x14ac:dyDescent="0.25"/>
    <row r="1040" ht="12.9" customHeight="1" x14ac:dyDescent="0.25"/>
    <row r="1041" ht="12.9" customHeight="1" x14ac:dyDescent="0.25"/>
    <row r="1042" ht="12.9" customHeight="1" x14ac:dyDescent="0.25"/>
    <row r="1043" ht="12.9" customHeight="1" x14ac:dyDescent="0.25"/>
    <row r="1044" ht="12.9" customHeight="1" x14ac:dyDescent="0.25"/>
    <row r="1045" ht="12.9" customHeight="1" x14ac:dyDescent="0.25"/>
    <row r="1046" ht="12.9" customHeight="1" x14ac:dyDescent="0.25"/>
    <row r="1047" ht="12.9" customHeight="1" x14ac:dyDescent="0.25"/>
    <row r="1048" ht="12.9" customHeight="1" x14ac:dyDescent="0.25"/>
    <row r="1049" ht="12.9" customHeight="1" x14ac:dyDescent="0.25"/>
    <row r="1050" ht="12.9" customHeight="1" x14ac:dyDescent="0.25"/>
    <row r="1051" ht="12.9" customHeight="1" x14ac:dyDescent="0.25"/>
    <row r="1052" ht="12.9" customHeight="1" x14ac:dyDescent="0.25"/>
    <row r="1053" ht="12.9" customHeight="1" x14ac:dyDescent="0.25"/>
    <row r="1054" ht="12.9" customHeight="1" x14ac:dyDescent="0.25"/>
    <row r="1055" ht="12.9" customHeight="1" x14ac:dyDescent="0.25"/>
    <row r="1056" ht="12.9" customHeight="1" x14ac:dyDescent="0.25"/>
    <row r="1057" ht="12.9" customHeight="1" x14ac:dyDescent="0.25"/>
    <row r="1058" ht="12.9" customHeight="1" x14ac:dyDescent="0.25"/>
    <row r="1059" ht="12.9" customHeight="1" x14ac:dyDescent="0.25"/>
    <row r="1060" ht="12.9" customHeight="1" x14ac:dyDescent="0.25"/>
    <row r="1061" ht="12.9" customHeight="1" x14ac:dyDescent="0.25"/>
    <row r="1062" ht="12.9" customHeight="1" x14ac:dyDescent="0.25"/>
    <row r="1063" ht="12.9" customHeight="1" x14ac:dyDescent="0.25"/>
    <row r="1064" ht="12.9" customHeight="1" x14ac:dyDescent="0.25"/>
    <row r="1065" ht="12.9" customHeight="1" x14ac:dyDescent="0.25"/>
    <row r="1066" ht="12.9" customHeight="1" x14ac:dyDescent="0.25"/>
    <row r="1067" ht="12.9" customHeight="1" x14ac:dyDescent="0.25"/>
    <row r="1068" ht="12.9" customHeight="1" x14ac:dyDescent="0.25"/>
    <row r="1069" ht="12.9" customHeight="1" x14ac:dyDescent="0.25"/>
    <row r="1070" ht="12.9" customHeight="1" x14ac:dyDescent="0.25"/>
    <row r="1071" ht="12.9" customHeight="1" x14ac:dyDescent="0.25"/>
    <row r="1072" ht="12.9" customHeight="1" x14ac:dyDescent="0.25"/>
    <row r="1073" ht="12.9" customHeight="1" x14ac:dyDescent="0.25"/>
    <row r="1074" ht="12.9" customHeight="1" x14ac:dyDescent="0.25"/>
    <row r="1075" ht="12.9" customHeight="1" x14ac:dyDescent="0.25"/>
    <row r="1076" ht="12.9" customHeight="1" x14ac:dyDescent="0.25"/>
    <row r="1077" ht="12.9" customHeight="1" x14ac:dyDescent="0.25"/>
    <row r="1078" ht="12.9" customHeight="1" x14ac:dyDescent="0.25"/>
    <row r="1079" ht="12.9" customHeight="1" x14ac:dyDescent="0.25"/>
    <row r="1080" ht="12.9" customHeight="1" x14ac:dyDescent="0.25"/>
    <row r="1081" ht="12.9" customHeight="1" x14ac:dyDescent="0.25"/>
    <row r="1082" ht="12.9" customHeight="1" x14ac:dyDescent="0.25"/>
    <row r="1083" ht="12.9" customHeight="1" x14ac:dyDescent="0.25"/>
    <row r="1084" ht="12.9" customHeight="1" x14ac:dyDescent="0.25"/>
    <row r="1085" ht="12.9" customHeight="1" x14ac:dyDescent="0.25"/>
    <row r="1086" ht="12.9" customHeight="1" x14ac:dyDescent="0.25"/>
    <row r="1087" ht="12.9" customHeight="1" x14ac:dyDescent="0.25"/>
    <row r="1088" ht="12.9" customHeight="1" x14ac:dyDescent="0.25"/>
    <row r="1089" ht="12.9" customHeight="1" x14ac:dyDescent="0.25"/>
    <row r="1090" ht="12.9" customHeight="1" x14ac:dyDescent="0.25"/>
    <row r="1091" ht="12.9" customHeight="1" x14ac:dyDescent="0.25"/>
    <row r="1092" ht="12.9" customHeight="1" x14ac:dyDescent="0.25"/>
    <row r="1093" ht="12.9" customHeight="1" x14ac:dyDescent="0.25"/>
    <row r="1094" ht="12.9" customHeight="1" x14ac:dyDescent="0.25"/>
    <row r="1095" ht="12.9" customHeight="1" x14ac:dyDescent="0.25"/>
    <row r="1096" ht="12.9" customHeight="1" x14ac:dyDescent="0.25"/>
    <row r="1097" ht="12.9" customHeight="1" x14ac:dyDescent="0.25"/>
    <row r="1098" ht="12.9" customHeight="1" x14ac:dyDescent="0.25"/>
    <row r="1099" ht="12.9" customHeight="1" x14ac:dyDescent="0.25"/>
    <row r="1100" ht="12.9" customHeight="1" x14ac:dyDescent="0.25"/>
    <row r="1101" ht="12.9" customHeight="1" x14ac:dyDescent="0.25"/>
    <row r="1102" ht="12.9" customHeight="1" x14ac:dyDescent="0.25"/>
    <row r="1103" ht="12.9" customHeight="1" x14ac:dyDescent="0.25"/>
    <row r="1104" ht="12.9" customHeight="1" x14ac:dyDescent="0.25"/>
    <row r="1105" ht="12.9" customHeight="1" x14ac:dyDescent="0.25"/>
    <row r="1106" ht="12.9" customHeight="1" x14ac:dyDescent="0.25"/>
    <row r="1107" ht="12.9" customHeight="1" x14ac:dyDescent="0.25"/>
    <row r="1108" ht="12.9" customHeight="1" x14ac:dyDescent="0.25"/>
    <row r="1109" ht="12.9" customHeight="1" x14ac:dyDescent="0.25"/>
    <row r="1110" ht="12.9" customHeight="1" x14ac:dyDescent="0.25"/>
    <row r="1111" ht="12.9" customHeight="1" x14ac:dyDescent="0.25"/>
    <row r="1112" ht="12.9" customHeight="1" x14ac:dyDescent="0.25"/>
    <row r="1113" ht="12.9" customHeight="1" x14ac:dyDescent="0.25"/>
    <row r="1114" ht="12.9" customHeight="1" x14ac:dyDescent="0.25"/>
    <row r="1115" ht="12.9" customHeight="1" x14ac:dyDescent="0.25"/>
    <row r="1116" ht="12.9" customHeight="1" x14ac:dyDescent="0.25"/>
    <row r="1117" ht="12.9" customHeight="1" x14ac:dyDescent="0.25"/>
    <row r="1118" ht="12.9" customHeight="1" x14ac:dyDescent="0.25"/>
    <row r="1119" ht="12.9" customHeight="1" x14ac:dyDescent="0.25"/>
    <row r="1120" ht="12.9" customHeight="1" x14ac:dyDescent="0.25"/>
    <row r="1121" ht="12.9" customHeight="1" x14ac:dyDescent="0.25"/>
    <row r="1122" ht="12.9" customHeight="1" x14ac:dyDescent="0.25"/>
    <row r="1123" ht="12.9" customHeight="1" x14ac:dyDescent="0.25"/>
    <row r="1124" ht="12.9" customHeight="1" x14ac:dyDescent="0.25"/>
    <row r="1125" ht="12.9" customHeight="1" x14ac:dyDescent="0.25"/>
    <row r="1126" ht="12.9" customHeight="1" x14ac:dyDescent="0.25"/>
    <row r="1127" ht="12.9" customHeight="1" x14ac:dyDescent="0.25"/>
    <row r="1128" ht="12.9" customHeight="1" x14ac:dyDescent="0.25"/>
    <row r="1129" ht="12.9" customHeight="1" x14ac:dyDescent="0.25"/>
    <row r="1130" ht="12.9" customHeight="1" x14ac:dyDescent="0.25"/>
    <row r="1131" ht="12.9" customHeight="1" x14ac:dyDescent="0.25"/>
    <row r="1132" ht="12.9" customHeight="1" x14ac:dyDescent="0.25"/>
    <row r="1133" ht="12.9" customHeight="1" x14ac:dyDescent="0.25"/>
    <row r="1134" ht="12.9" customHeight="1" x14ac:dyDescent="0.25"/>
    <row r="1135" ht="12.9" customHeight="1" x14ac:dyDescent="0.25"/>
    <row r="1136" ht="12.9" customHeight="1" x14ac:dyDescent="0.25"/>
    <row r="1137" ht="12.9" customHeight="1" x14ac:dyDescent="0.25"/>
    <row r="1138" ht="12.9" customHeight="1" x14ac:dyDescent="0.25"/>
    <row r="1139" ht="12.9" customHeight="1" x14ac:dyDescent="0.25"/>
    <row r="1140" ht="12.9" customHeight="1" x14ac:dyDescent="0.25"/>
    <row r="1141" ht="12.9" customHeight="1" x14ac:dyDescent="0.25"/>
    <row r="1142" ht="12.9" customHeight="1" x14ac:dyDescent="0.25"/>
    <row r="1143" ht="12.9" customHeight="1" x14ac:dyDescent="0.25"/>
    <row r="1144" ht="12.9" customHeight="1" x14ac:dyDescent="0.25"/>
    <row r="1145" ht="12.9" customHeight="1" x14ac:dyDescent="0.25"/>
    <row r="1146" ht="12.9" customHeight="1" x14ac:dyDescent="0.25"/>
    <row r="1147" ht="12.9" customHeight="1" x14ac:dyDescent="0.25"/>
    <row r="1148" ht="12.9" customHeight="1" x14ac:dyDescent="0.25"/>
    <row r="1149" ht="12.9" customHeight="1" x14ac:dyDescent="0.25"/>
    <row r="1150" ht="12.9" customHeight="1" x14ac:dyDescent="0.25"/>
    <row r="1151" ht="12.9" customHeight="1" x14ac:dyDescent="0.25"/>
    <row r="1152" ht="12.9" customHeight="1" x14ac:dyDescent="0.25"/>
    <row r="1153" ht="12.9" customHeight="1" x14ac:dyDescent="0.25"/>
    <row r="1154" ht="12.9" customHeight="1" x14ac:dyDescent="0.25"/>
    <row r="1155" ht="12.9" customHeight="1" x14ac:dyDescent="0.25"/>
    <row r="1156" ht="12.9" customHeight="1" x14ac:dyDescent="0.25"/>
    <row r="1157" ht="12.9" customHeight="1" x14ac:dyDescent="0.25"/>
    <row r="1158" ht="12.9" customHeight="1" x14ac:dyDescent="0.25"/>
    <row r="1159" ht="12.9" customHeight="1" x14ac:dyDescent="0.25"/>
    <row r="1160" ht="12.9" customHeight="1" x14ac:dyDescent="0.25"/>
    <row r="1161" ht="12.9" customHeight="1" x14ac:dyDescent="0.25"/>
    <row r="1162" ht="12.9" customHeight="1" x14ac:dyDescent="0.25"/>
    <row r="1163" ht="12.9" customHeight="1" x14ac:dyDescent="0.25"/>
    <row r="1164" ht="12.9" customHeight="1" x14ac:dyDescent="0.25"/>
    <row r="1165" ht="12.9" customHeight="1" x14ac:dyDescent="0.25"/>
    <row r="1166" ht="12.9" customHeight="1" x14ac:dyDescent="0.25"/>
    <row r="1167" ht="12.9" customHeight="1" x14ac:dyDescent="0.25"/>
    <row r="1168" ht="12.9" customHeight="1" x14ac:dyDescent="0.25"/>
    <row r="1169" ht="12.9" customHeight="1" x14ac:dyDescent="0.25"/>
    <row r="1170" ht="12.9" customHeight="1" x14ac:dyDescent="0.25"/>
    <row r="1171" ht="12.9" customHeight="1" x14ac:dyDescent="0.25"/>
    <row r="1172" ht="12.9" customHeight="1" x14ac:dyDescent="0.25"/>
    <row r="1173" ht="12.9" customHeight="1" x14ac:dyDescent="0.25"/>
    <row r="1174" ht="12.9" customHeight="1" x14ac:dyDescent="0.25"/>
    <row r="1175" ht="12.9" customHeight="1" x14ac:dyDescent="0.25"/>
    <row r="1176" ht="12.9" customHeight="1" x14ac:dyDescent="0.25"/>
    <row r="1177" ht="12.9" customHeight="1" x14ac:dyDescent="0.25"/>
    <row r="1178" ht="12.9" customHeight="1" x14ac:dyDescent="0.25"/>
    <row r="1179" ht="12.9" customHeight="1" x14ac:dyDescent="0.25"/>
    <row r="1180" ht="12.9" customHeight="1" x14ac:dyDescent="0.25"/>
    <row r="1181" ht="12.9" customHeight="1" x14ac:dyDescent="0.25"/>
    <row r="1182" ht="12.9" customHeight="1" x14ac:dyDescent="0.25"/>
    <row r="1183" ht="12.9" customHeight="1" x14ac:dyDescent="0.25"/>
    <row r="1184" ht="12.9" customHeight="1" x14ac:dyDescent="0.25"/>
    <row r="1185" ht="12.9" customHeight="1" x14ac:dyDescent="0.25"/>
    <row r="1186" ht="12.9" customHeight="1" x14ac:dyDescent="0.25"/>
    <row r="1187" ht="12.9" customHeight="1" x14ac:dyDescent="0.25"/>
    <row r="1188" ht="12.9" customHeight="1" x14ac:dyDescent="0.25"/>
    <row r="1189" ht="12.9" customHeight="1" x14ac:dyDescent="0.25"/>
    <row r="1190" ht="12.9" customHeight="1" x14ac:dyDescent="0.25"/>
    <row r="1191" ht="12.9" customHeight="1" x14ac:dyDescent="0.25"/>
    <row r="1192" ht="12.9" customHeight="1" x14ac:dyDescent="0.25"/>
    <row r="1193" ht="12.9" customHeight="1" x14ac:dyDescent="0.25"/>
    <row r="1194" ht="12.9" customHeight="1" x14ac:dyDescent="0.25"/>
    <row r="1195" ht="12.9" customHeight="1" x14ac:dyDescent="0.25"/>
    <row r="1196" ht="12.9" customHeight="1" x14ac:dyDescent="0.25"/>
    <row r="1197" ht="12.9" customHeight="1" x14ac:dyDescent="0.25"/>
    <row r="1198" ht="12.9" customHeight="1" x14ac:dyDescent="0.25"/>
    <row r="1199" ht="12.9" customHeight="1" x14ac:dyDescent="0.25"/>
    <row r="1200" ht="12.9" customHeight="1" x14ac:dyDescent="0.25"/>
    <row r="1201" ht="12.9" customHeight="1" x14ac:dyDescent="0.25"/>
    <row r="1202" ht="12.9" customHeight="1" x14ac:dyDescent="0.25"/>
    <row r="1203" ht="12.9" customHeight="1" x14ac:dyDescent="0.25"/>
    <row r="1204" ht="12.9" customHeight="1" x14ac:dyDescent="0.25"/>
    <row r="1205" ht="12.9" customHeight="1" x14ac:dyDescent="0.25"/>
    <row r="1206" ht="12.9" customHeight="1" x14ac:dyDescent="0.25"/>
    <row r="1207" ht="12.9" customHeight="1" x14ac:dyDescent="0.25"/>
    <row r="1208" ht="12.9" customHeight="1" x14ac:dyDescent="0.25"/>
    <row r="1209" ht="12.9" customHeight="1" x14ac:dyDescent="0.25"/>
    <row r="1210" ht="12.9" customHeight="1" x14ac:dyDescent="0.25"/>
    <row r="1211" ht="12.9" customHeight="1" x14ac:dyDescent="0.25"/>
    <row r="1212" ht="12.9" customHeight="1" x14ac:dyDescent="0.25"/>
    <row r="1213" ht="12.9" customHeight="1" x14ac:dyDescent="0.25"/>
    <row r="1214" ht="12.9" customHeight="1" x14ac:dyDescent="0.25"/>
    <row r="1215" ht="12.9" customHeight="1" x14ac:dyDescent="0.25"/>
    <row r="1216" ht="12.9" customHeight="1" x14ac:dyDescent="0.25"/>
    <row r="1217" ht="12.9" customHeight="1" x14ac:dyDescent="0.25"/>
    <row r="1218" ht="12.9" customHeight="1" x14ac:dyDescent="0.25"/>
    <row r="1219" ht="12.9" customHeight="1" x14ac:dyDescent="0.25"/>
    <row r="1220" ht="12.9" customHeight="1" x14ac:dyDescent="0.25"/>
    <row r="1221" ht="12.9" customHeight="1" x14ac:dyDescent="0.25"/>
    <row r="1222" ht="12.9" customHeight="1" x14ac:dyDescent="0.25"/>
    <row r="1223" ht="12.9" customHeight="1" x14ac:dyDescent="0.25"/>
    <row r="1224" ht="12.9" customHeight="1" x14ac:dyDescent="0.25"/>
    <row r="1225" ht="12.9" customHeight="1" x14ac:dyDescent="0.25"/>
    <row r="1226" ht="12.9" customHeight="1" x14ac:dyDescent="0.25"/>
    <row r="1227" ht="12.9" customHeight="1" x14ac:dyDescent="0.25"/>
    <row r="1228" ht="12.9" customHeight="1" x14ac:dyDescent="0.25"/>
    <row r="1229" ht="12.9" customHeight="1" x14ac:dyDescent="0.25"/>
    <row r="1230" ht="12.9" customHeight="1" x14ac:dyDescent="0.25"/>
    <row r="1231" ht="12.9" customHeight="1" x14ac:dyDescent="0.25"/>
    <row r="1232" ht="12.9" customHeight="1" x14ac:dyDescent="0.25"/>
    <row r="1233" ht="12.9" customHeight="1" x14ac:dyDescent="0.25"/>
    <row r="1234" ht="12.9" customHeight="1" x14ac:dyDescent="0.25"/>
    <row r="1235" ht="12.9" customHeight="1" x14ac:dyDescent="0.25"/>
    <row r="1236" ht="12.9" customHeight="1" x14ac:dyDescent="0.25"/>
    <row r="1237" ht="12.9" customHeight="1" x14ac:dyDescent="0.25"/>
    <row r="1238" ht="12.9" customHeight="1" x14ac:dyDescent="0.25"/>
    <row r="1239" ht="12.9" customHeight="1" x14ac:dyDescent="0.25"/>
    <row r="1240" ht="12.9" customHeight="1" x14ac:dyDescent="0.25"/>
    <row r="1241" ht="12.9" customHeight="1" x14ac:dyDescent="0.25"/>
    <row r="1242" ht="12.9" customHeight="1" x14ac:dyDescent="0.25"/>
    <row r="1243" ht="12.9" customHeight="1" x14ac:dyDescent="0.25"/>
    <row r="1244" ht="12.9" customHeight="1" x14ac:dyDescent="0.25"/>
    <row r="1245" ht="12.9" customHeight="1" x14ac:dyDescent="0.25"/>
    <row r="1246" ht="12.9" customHeight="1" x14ac:dyDescent="0.25"/>
    <row r="1247" ht="12.9" customHeight="1" x14ac:dyDescent="0.25"/>
    <row r="1248" ht="12.9" customHeight="1" x14ac:dyDescent="0.25"/>
    <row r="1249" ht="12.9" customHeight="1" x14ac:dyDescent="0.25"/>
    <row r="1250" ht="12.9" customHeight="1" x14ac:dyDescent="0.25"/>
    <row r="1251" ht="12.9" customHeight="1" x14ac:dyDescent="0.25"/>
    <row r="1252" ht="12.9" customHeight="1" x14ac:dyDescent="0.25"/>
    <row r="1253" ht="12.9" customHeight="1" x14ac:dyDescent="0.25"/>
    <row r="1254" ht="12.9" customHeight="1" x14ac:dyDescent="0.25"/>
    <row r="1255" ht="12.9" customHeight="1" x14ac:dyDescent="0.25"/>
    <row r="1256" ht="12.9" customHeight="1" x14ac:dyDescent="0.25"/>
    <row r="1257" ht="12.9" customHeight="1" x14ac:dyDescent="0.25"/>
    <row r="1258" ht="12.9" customHeight="1" x14ac:dyDescent="0.25"/>
    <row r="1259" ht="12.9" customHeight="1" x14ac:dyDescent="0.25"/>
    <row r="1260" ht="12.9" customHeight="1" x14ac:dyDescent="0.25"/>
    <row r="1261" ht="12.9" customHeight="1" x14ac:dyDescent="0.25"/>
    <row r="1262" ht="12.9" customHeight="1" x14ac:dyDescent="0.25"/>
    <row r="1263" ht="12.9" customHeight="1" x14ac:dyDescent="0.25"/>
    <row r="1264" ht="12.9" customHeight="1" x14ac:dyDescent="0.25"/>
    <row r="1265" ht="12.9" customHeight="1" x14ac:dyDescent="0.25"/>
    <row r="1266" ht="12.9" customHeight="1" x14ac:dyDescent="0.25"/>
    <row r="1267" ht="12.9" customHeight="1" x14ac:dyDescent="0.25"/>
    <row r="1268" ht="12.9" customHeight="1" x14ac:dyDescent="0.25"/>
    <row r="1269" ht="12.9" customHeight="1" x14ac:dyDescent="0.25"/>
    <row r="1270" ht="12.9" customHeight="1" x14ac:dyDescent="0.25"/>
    <row r="1271" ht="12.9" customHeight="1" x14ac:dyDescent="0.25"/>
    <row r="1272" ht="12.9" customHeight="1" x14ac:dyDescent="0.25"/>
    <row r="1273" ht="12.9" customHeight="1" x14ac:dyDescent="0.25"/>
    <row r="1274" ht="12.9" customHeight="1" x14ac:dyDescent="0.25"/>
    <row r="1275" ht="12.9" customHeight="1" x14ac:dyDescent="0.25"/>
    <row r="1276" ht="12.9" customHeight="1" x14ac:dyDescent="0.25"/>
    <row r="1277" ht="12.9" customHeight="1" x14ac:dyDescent="0.25"/>
    <row r="1278" ht="12.9" customHeight="1" x14ac:dyDescent="0.25"/>
    <row r="1279" ht="12.9" customHeight="1" x14ac:dyDescent="0.25"/>
    <row r="1280" ht="12.9" customHeight="1" x14ac:dyDescent="0.25"/>
    <row r="1281" ht="12.9" customHeight="1" x14ac:dyDescent="0.25"/>
    <row r="1282" ht="12.9" customHeight="1" x14ac:dyDescent="0.25"/>
    <row r="1283" ht="12.9" customHeight="1" x14ac:dyDescent="0.25"/>
    <row r="1284" ht="12.9" customHeight="1" x14ac:dyDescent="0.25"/>
    <row r="1285" ht="12.9" customHeight="1" x14ac:dyDescent="0.25"/>
    <row r="1286" ht="12.9" customHeight="1" x14ac:dyDescent="0.25"/>
    <row r="1287" ht="12.9" customHeight="1" x14ac:dyDescent="0.25"/>
    <row r="1288" ht="12.9" customHeight="1" x14ac:dyDescent="0.25"/>
    <row r="1289" ht="12.9" customHeight="1" x14ac:dyDescent="0.25"/>
    <row r="1290" ht="12.9" customHeight="1" x14ac:dyDescent="0.25"/>
    <row r="1291" ht="12.9" customHeight="1" x14ac:dyDescent="0.25"/>
    <row r="1292" ht="12.9" customHeight="1" x14ac:dyDescent="0.25"/>
    <row r="1293" ht="12.9" customHeight="1" x14ac:dyDescent="0.25"/>
    <row r="1294" ht="12.9" customHeight="1" x14ac:dyDescent="0.25"/>
    <row r="1295" ht="12.9" customHeight="1" x14ac:dyDescent="0.25"/>
    <row r="1296" ht="12.9" customHeight="1" x14ac:dyDescent="0.25"/>
    <row r="1297" ht="12.9" customHeight="1" x14ac:dyDescent="0.25"/>
    <row r="1298" ht="12.9" customHeight="1" x14ac:dyDescent="0.25"/>
    <row r="1299" ht="12.9" customHeight="1" x14ac:dyDescent="0.25"/>
    <row r="1300" ht="12.9" customHeight="1" x14ac:dyDescent="0.25"/>
    <row r="1301" ht="12.9" customHeight="1" x14ac:dyDescent="0.25"/>
    <row r="1302" ht="12.9" customHeight="1" x14ac:dyDescent="0.25"/>
    <row r="1303" ht="12.9" customHeight="1" x14ac:dyDescent="0.25"/>
    <row r="1304" ht="12.9" customHeight="1" x14ac:dyDescent="0.25"/>
    <row r="1305" ht="12.9" customHeight="1" x14ac:dyDescent="0.25"/>
    <row r="1306" ht="12.9" customHeight="1" x14ac:dyDescent="0.25"/>
    <row r="1307" ht="12.9" customHeight="1" x14ac:dyDescent="0.25"/>
    <row r="1308" ht="12.9" customHeight="1" x14ac:dyDescent="0.25"/>
    <row r="1309" ht="12.9" customHeight="1" x14ac:dyDescent="0.25"/>
    <row r="1310" ht="12.9" customHeight="1" x14ac:dyDescent="0.25"/>
    <row r="1311" ht="12.9" customHeight="1" x14ac:dyDescent="0.25"/>
    <row r="1312" ht="12.9" customHeight="1" x14ac:dyDescent="0.25"/>
    <row r="1313" ht="12.9" customHeight="1" x14ac:dyDescent="0.25"/>
    <row r="1314" ht="12.9" customHeight="1" x14ac:dyDescent="0.25"/>
    <row r="1315" ht="12.9" customHeight="1" x14ac:dyDescent="0.25"/>
    <row r="1316" ht="12.9" customHeight="1" x14ac:dyDescent="0.25"/>
    <row r="1317" ht="12.9" customHeight="1" x14ac:dyDescent="0.25"/>
    <row r="1318" ht="12.9" customHeight="1" x14ac:dyDescent="0.25"/>
    <row r="1319" ht="12.9" customHeight="1" x14ac:dyDescent="0.25"/>
    <row r="1320" ht="12.9" customHeight="1" x14ac:dyDescent="0.25"/>
    <row r="1321" ht="12.9" customHeight="1" x14ac:dyDescent="0.25"/>
    <row r="1322" ht="12.9" customHeight="1" x14ac:dyDescent="0.25"/>
    <row r="1323" ht="12.9" customHeight="1" x14ac:dyDescent="0.25"/>
    <row r="1324" ht="12.9" customHeight="1" x14ac:dyDescent="0.25"/>
    <row r="1325" ht="12.9" customHeight="1" x14ac:dyDescent="0.25"/>
    <row r="1326" ht="12.9" customHeight="1" x14ac:dyDescent="0.25"/>
    <row r="1327" ht="12.9" customHeight="1" x14ac:dyDescent="0.25"/>
    <row r="1328" ht="12.9" customHeight="1" x14ac:dyDescent="0.25"/>
    <row r="1329" ht="12.9" customHeight="1" x14ac:dyDescent="0.25"/>
    <row r="1330" ht="12.9" customHeight="1" x14ac:dyDescent="0.25"/>
    <row r="1331" ht="12.9" customHeight="1" x14ac:dyDescent="0.25"/>
    <row r="1332" ht="12.9" customHeight="1" x14ac:dyDescent="0.25"/>
    <row r="1333" ht="12.9" customHeight="1" x14ac:dyDescent="0.25"/>
    <row r="1334" ht="12.9" customHeight="1" x14ac:dyDescent="0.25"/>
    <row r="1335" ht="12.9" customHeight="1" x14ac:dyDescent="0.25"/>
    <row r="1336" ht="12.9" customHeight="1" x14ac:dyDescent="0.25"/>
    <row r="1337" ht="12.9" customHeight="1" x14ac:dyDescent="0.25"/>
    <row r="1338" ht="12.9" customHeight="1" x14ac:dyDescent="0.25"/>
    <row r="1339" ht="12.9" customHeight="1" x14ac:dyDescent="0.25"/>
    <row r="1340" ht="12.9" customHeight="1" x14ac:dyDescent="0.25"/>
    <row r="1341" ht="12.9" customHeight="1" x14ac:dyDescent="0.25"/>
    <row r="1342" ht="12.9" customHeight="1" x14ac:dyDescent="0.25"/>
    <row r="1343" ht="12.9" customHeight="1" x14ac:dyDescent="0.25"/>
    <row r="1344" ht="12.9" customHeight="1" x14ac:dyDescent="0.25"/>
    <row r="1345" ht="12.9" customHeight="1" x14ac:dyDescent="0.25"/>
    <row r="1346" ht="12.9" customHeight="1" x14ac:dyDescent="0.25"/>
    <row r="1347" ht="12.9" customHeight="1" x14ac:dyDescent="0.25"/>
    <row r="1348" ht="12.9" customHeight="1" x14ac:dyDescent="0.25"/>
    <row r="1349" ht="12.9" customHeight="1" x14ac:dyDescent="0.25"/>
    <row r="1350" ht="12.9" customHeight="1" x14ac:dyDescent="0.25"/>
    <row r="1351" ht="12.9" customHeight="1" x14ac:dyDescent="0.25"/>
    <row r="1352" ht="12.9" customHeight="1" x14ac:dyDescent="0.25"/>
    <row r="1353" ht="12.9" customHeight="1" x14ac:dyDescent="0.25"/>
    <row r="1354" ht="12.9" customHeight="1" x14ac:dyDescent="0.25"/>
    <row r="1355" ht="12.9" customHeight="1" x14ac:dyDescent="0.25"/>
    <row r="1356" ht="12.9" customHeight="1" x14ac:dyDescent="0.25"/>
    <row r="1357" ht="12.9" customHeight="1" x14ac:dyDescent="0.25"/>
    <row r="1358" ht="12.9" customHeight="1" x14ac:dyDescent="0.25"/>
    <row r="1359" ht="12.9" customHeight="1" x14ac:dyDescent="0.25"/>
    <row r="1360" ht="12.9" customHeight="1" x14ac:dyDescent="0.25"/>
    <row r="1361" ht="12.9" customHeight="1" x14ac:dyDescent="0.25"/>
    <row r="1362" ht="12.9" customHeight="1" x14ac:dyDescent="0.25"/>
    <row r="1363" ht="12.9" customHeight="1" x14ac:dyDescent="0.25"/>
    <row r="1364" ht="12.9" customHeight="1" x14ac:dyDescent="0.25"/>
    <row r="1365" ht="12.9" customHeight="1" x14ac:dyDescent="0.25"/>
    <row r="1366" ht="12.9" customHeight="1" x14ac:dyDescent="0.25"/>
    <row r="1367" ht="12.9" customHeight="1" x14ac:dyDescent="0.25"/>
    <row r="1368" ht="12.9" customHeight="1" x14ac:dyDescent="0.25"/>
    <row r="1369" ht="12.9" customHeight="1" x14ac:dyDescent="0.25"/>
    <row r="1370" ht="12.9" customHeight="1" x14ac:dyDescent="0.25"/>
    <row r="1371" ht="12.9" customHeight="1" x14ac:dyDescent="0.25"/>
    <row r="1372" ht="12.9" customHeight="1" x14ac:dyDescent="0.25"/>
    <row r="1373" ht="12.9" customHeight="1" x14ac:dyDescent="0.25"/>
    <row r="1374" ht="12.9" customHeight="1" x14ac:dyDescent="0.25"/>
    <row r="1375" ht="12.9" customHeight="1" x14ac:dyDescent="0.25"/>
    <row r="1376" ht="12.9" customHeight="1" x14ac:dyDescent="0.25"/>
    <row r="1377" ht="12.9" customHeight="1" x14ac:dyDescent="0.25"/>
    <row r="1378" ht="12.9" customHeight="1" x14ac:dyDescent="0.25"/>
    <row r="1379" ht="12.9" customHeight="1" x14ac:dyDescent="0.25"/>
    <row r="1380" ht="12.9" customHeight="1" x14ac:dyDescent="0.25"/>
    <row r="1381" ht="12.9" customHeight="1" x14ac:dyDescent="0.25"/>
    <row r="1382" ht="12.9" customHeight="1" x14ac:dyDescent="0.25"/>
    <row r="1383" ht="12.9" customHeight="1" x14ac:dyDescent="0.25"/>
    <row r="1384" ht="12.9" customHeight="1" x14ac:dyDescent="0.25"/>
    <row r="1385" ht="12.9" customHeight="1" x14ac:dyDescent="0.25"/>
    <row r="1386" ht="12.9" customHeight="1" x14ac:dyDescent="0.25"/>
    <row r="1387" ht="12.9" customHeight="1" x14ac:dyDescent="0.25"/>
    <row r="1388" ht="12.9" customHeight="1" x14ac:dyDescent="0.25"/>
    <row r="1389" ht="12.9" customHeight="1" x14ac:dyDescent="0.25"/>
    <row r="1390" ht="12.9" customHeight="1" x14ac:dyDescent="0.25"/>
    <row r="1391" ht="12.9" customHeight="1" x14ac:dyDescent="0.25"/>
    <row r="1392" ht="12.9" customHeight="1" x14ac:dyDescent="0.25"/>
    <row r="1393" ht="12.9" customHeight="1" x14ac:dyDescent="0.25"/>
    <row r="1394" ht="12.9" customHeight="1" x14ac:dyDescent="0.25"/>
    <row r="1395" ht="12.9" customHeight="1" x14ac:dyDescent="0.25"/>
    <row r="1396" ht="12.9" customHeight="1" x14ac:dyDescent="0.25"/>
    <row r="1397" ht="12.9" customHeight="1" x14ac:dyDescent="0.25"/>
    <row r="1398" ht="12.9" customHeight="1" x14ac:dyDescent="0.25"/>
    <row r="1399" ht="12.9" customHeight="1" x14ac:dyDescent="0.25"/>
    <row r="1400" ht="12.9" customHeight="1" x14ac:dyDescent="0.25"/>
    <row r="1401" ht="12.9" customHeight="1" x14ac:dyDescent="0.25"/>
    <row r="1402" ht="12.9" customHeight="1" x14ac:dyDescent="0.25"/>
    <row r="1403" ht="12.9" customHeight="1" x14ac:dyDescent="0.25"/>
    <row r="1404" ht="12.9" customHeight="1" x14ac:dyDescent="0.25"/>
    <row r="1405" ht="12.9" customHeight="1" x14ac:dyDescent="0.25"/>
    <row r="1406" ht="12.9" customHeight="1" x14ac:dyDescent="0.25"/>
    <row r="1407" ht="12.9" customHeight="1" x14ac:dyDescent="0.25"/>
    <row r="1408" ht="12.9" customHeight="1" x14ac:dyDescent="0.25"/>
    <row r="1409" ht="12.9" customHeight="1" x14ac:dyDescent="0.25"/>
    <row r="1410" ht="12.9" customHeight="1" x14ac:dyDescent="0.25"/>
    <row r="1411" ht="12.9" customHeight="1" x14ac:dyDescent="0.25"/>
    <row r="1412" ht="12.9" customHeight="1" x14ac:dyDescent="0.25"/>
    <row r="1413" ht="12.9" customHeight="1" x14ac:dyDescent="0.25"/>
    <row r="1414" ht="12.9" customHeight="1" x14ac:dyDescent="0.25"/>
    <row r="1415" ht="12.9" customHeight="1" x14ac:dyDescent="0.25"/>
    <row r="1416" ht="12.9" customHeight="1" x14ac:dyDescent="0.25"/>
    <row r="1417" ht="12.9" customHeight="1" x14ac:dyDescent="0.25"/>
    <row r="1418" ht="12.9" customHeight="1" x14ac:dyDescent="0.25"/>
    <row r="1419" ht="12.9" customHeight="1" x14ac:dyDescent="0.25"/>
    <row r="1420" ht="12.9" customHeight="1" x14ac:dyDescent="0.25"/>
    <row r="1421" ht="12.9" customHeight="1" x14ac:dyDescent="0.25"/>
    <row r="1422" ht="12.9" customHeight="1" x14ac:dyDescent="0.25"/>
    <row r="1423" ht="12.9" customHeight="1" x14ac:dyDescent="0.25"/>
    <row r="1424" ht="12.9" customHeight="1" x14ac:dyDescent="0.25"/>
    <row r="1425" ht="12.9" customHeight="1" x14ac:dyDescent="0.25"/>
    <row r="1426" ht="12.9" customHeight="1" x14ac:dyDescent="0.25"/>
    <row r="1427" ht="12.9" customHeight="1" x14ac:dyDescent="0.25"/>
    <row r="1428" ht="12.9" customHeight="1" x14ac:dyDescent="0.25"/>
    <row r="1429" ht="12.9" customHeight="1" x14ac:dyDescent="0.25"/>
    <row r="1430" ht="12.9" customHeight="1" x14ac:dyDescent="0.25"/>
    <row r="1431" ht="12.9" customHeight="1" x14ac:dyDescent="0.25"/>
    <row r="1432" ht="12.9" customHeight="1" x14ac:dyDescent="0.25"/>
    <row r="1433" ht="12.9" customHeight="1" x14ac:dyDescent="0.25"/>
    <row r="1434" ht="12.9" customHeight="1" x14ac:dyDescent="0.25"/>
    <row r="1435" ht="12.9" customHeight="1" x14ac:dyDescent="0.25"/>
    <row r="1436" ht="12.9" customHeight="1" x14ac:dyDescent="0.25"/>
    <row r="1437" ht="12.9" customHeight="1" x14ac:dyDescent="0.25"/>
    <row r="1438" ht="12.9" customHeight="1" x14ac:dyDescent="0.25"/>
    <row r="1439" ht="12.9" customHeight="1" x14ac:dyDescent="0.25"/>
    <row r="1440" ht="12.9" customHeight="1" x14ac:dyDescent="0.25"/>
    <row r="1441" ht="12.9" customHeight="1" x14ac:dyDescent="0.25"/>
    <row r="1442" ht="12.9" customHeight="1" x14ac:dyDescent="0.25"/>
    <row r="1443" ht="12.9" customHeight="1" x14ac:dyDescent="0.25"/>
    <row r="1444" ht="12.9" customHeight="1" x14ac:dyDescent="0.25"/>
    <row r="1445" ht="12.9" customHeight="1" x14ac:dyDescent="0.25"/>
    <row r="1446" ht="12.9" customHeight="1" x14ac:dyDescent="0.25"/>
    <row r="1447" ht="12.9" customHeight="1" x14ac:dyDescent="0.25"/>
    <row r="1448" ht="12.9" customHeight="1" x14ac:dyDescent="0.25"/>
    <row r="1449" ht="12.9" customHeight="1" x14ac:dyDescent="0.25"/>
    <row r="1450" ht="12.9" customHeight="1" x14ac:dyDescent="0.25"/>
    <row r="1451" ht="12.9" customHeight="1" x14ac:dyDescent="0.25"/>
    <row r="1452" ht="12.9" customHeight="1" x14ac:dyDescent="0.25"/>
    <row r="1453" ht="12.9" customHeight="1" x14ac:dyDescent="0.25"/>
    <row r="1454" ht="12.9" customHeight="1" x14ac:dyDescent="0.25"/>
    <row r="1455" ht="12.9" customHeight="1" x14ac:dyDescent="0.25"/>
    <row r="1456" ht="12.9" customHeight="1" x14ac:dyDescent="0.25"/>
    <row r="1457" ht="12.9" customHeight="1" x14ac:dyDescent="0.25"/>
    <row r="1458" ht="12.9" customHeight="1" x14ac:dyDescent="0.25"/>
    <row r="1459" ht="12.9" customHeight="1" x14ac:dyDescent="0.25"/>
    <row r="1460" ht="12.9" customHeight="1" x14ac:dyDescent="0.25"/>
    <row r="1461" ht="12.9" customHeight="1" x14ac:dyDescent="0.25"/>
    <row r="1462" ht="12.9" customHeight="1" x14ac:dyDescent="0.25"/>
    <row r="1463" ht="12.9" customHeight="1" x14ac:dyDescent="0.25"/>
    <row r="1464" ht="12.9" customHeight="1" x14ac:dyDescent="0.25"/>
    <row r="1465" ht="12.9" customHeight="1" x14ac:dyDescent="0.25"/>
    <row r="1466" ht="12.9" customHeight="1" x14ac:dyDescent="0.25"/>
    <row r="1467" ht="12.9" customHeight="1" x14ac:dyDescent="0.25"/>
    <row r="1468" ht="12.9" customHeight="1" x14ac:dyDescent="0.25"/>
    <row r="1469" ht="12.9" customHeight="1" x14ac:dyDescent="0.25"/>
    <row r="1470" ht="12.9" customHeight="1" x14ac:dyDescent="0.25"/>
    <row r="1471" ht="12.9" customHeight="1" x14ac:dyDescent="0.25"/>
    <row r="1472" ht="12.9" customHeight="1" x14ac:dyDescent="0.25"/>
    <row r="1473" ht="12.9" customHeight="1" x14ac:dyDescent="0.25"/>
    <row r="1474" ht="12.9" customHeight="1" x14ac:dyDescent="0.25"/>
    <row r="1475" ht="12.9" customHeight="1" x14ac:dyDescent="0.25"/>
    <row r="1476" ht="12.9" customHeight="1" x14ac:dyDescent="0.25"/>
    <row r="1477" ht="12.9" customHeight="1" x14ac:dyDescent="0.25"/>
    <row r="1478" ht="12.9" customHeight="1" x14ac:dyDescent="0.25"/>
    <row r="1479" ht="12.9" customHeight="1" x14ac:dyDescent="0.25"/>
    <row r="1480" ht="12.9" customHeight="1" x14ac:dyDescent="0.25"/>
    <row r="1481" ht="12.9" customHeight="1" x14ac:dyDescent="0.25"/>
    <row r="1482" ht="12.9" customHeight="1" x14ac:dyDescent="0.25"/>
    <row r="1483" ht="12.9" customHeight="1" x14ac:dyDescent="0.25"/>
    <row r="1484" ht="12.9" customHeight="1" x14ac:dyDescent="0.25"/>
    <row r="1485" ht="12.9" customHeight="1" x14ac:dyDescent="0.25"/>
    <row r="1486" ht="12.9" customHeight="1" x14ac:dyDescent="0.25"/>
    <row r="1487" ht="12.9" customHeight="1" x14ac:dyDescent="0.25"/>
    <row r="1488" ht="12.9" customHeight="1" x14ac:dyDescent="0.25"/>
    <row r="1489" ht="12.9" customHeight="1" x14ac:dyDescent="0.25"/>
    <row r="1490" ht="12.9" customHeight="1" x14ac:dyDescent="0.25"/>
    <row r="1491" ht="12.9" customHeight="1" x14ac:dyDescent="0.25"/>
    <row r="1492" ht="12.9" customHeight="1" x14ac:dyDescent="0.25"/>
    <row r="1493" ht="12.9" customHeight="1" x14ac:dyDescent="0.25"/>
    <row r="1494" ht="12.9" customHeight="1" x14ac:dyDescent="0.25"/>
    <row r="1495" ht="12.9" customHeight="1" x14ac:dyDescent="0.25"/>
    <row r="1496" ht="12.9" customHeight="1" x14ac:dyDescent="0.25"/>
    <row r="1497" ht="12.9" customHeight="1" x14ac:dyDescent="0.25"/>
    <row r="1498" ht="12.9" customHeight="1" x14ac:dyDescent="0.25"/>
    <row r="1499" ht="12.9" customHeight="1" x14ac:dyDescent="0.25"/>
    <row r="1500" ht="12.9" customHeight="1" x14ac:dyDescent="0.25"/>
    <row r="1501" ht="12.9" customHeight="1" x14ac:dyDescent="0.25"/>
    <row r="1502" ht="12.9" customHeight="1" x14ac:dyDescent="0.25"/>
    <row r="1503" ht="12.9" customHeight="1" x14ac:dyDescent="0.25"/>
    <row r="1504" ht="12.9" customHeight="1" x14ac:dyDescent="0.25"/>
    <row r="1505" ht="12.9" customHeight="1" x14ac:dyDescent="0.25"/>
    <row r="1506" ht="12.9" customHeight="1" x14ac:dyDescent="0.25"/>
    <row r="1507" ht="12.9" customHeight="1" x14ac:dyDescent="0.25"/>
    <row r="1508" ht="12.9" customHeight="1" x14ac:dyDescent="0.25"/>
    <row r="1509" ht="12.9" customHeight="1" x14ac:dyDescent="0.25"/>
    <row r="1510" ht="12.9" customHeight="1" x14ac:dyDescent="0.25"/>
    <row r="1511" ht="12.9" customHeight="1" x14ac:dyDescent="0.25"/>
    <row r="1512" ht="12.9" customHeight="1" x14ac:dyDescent="0.25"/>
    <row r="1513" ht="12.9" customHeight="1" x14ac:dyDescent="0.25"/>
    <row r="1514" ht="12.9" customHeight="1" x14ac:dyDescent="0.25"/>
    <row r="1515" ht="12.9" customHeight="1" x14ac:dyDescent="0.25"/>
    <row r="1516" ht="12.9" customHeight="1" x14ac:dyDescent="0.25"/>
    <row r="1517" ht="12.9" customHeight="1" x14ac:dyDescent="0.25"/>
    <row r="1518" ht="12.9" customHeight="1" x14ac:dyDescent="0.25"/>
    <row r="1519" ht="12.9" customHeight="1" x14ac:dyDescent="0.25"/>
    <row r="1520" ht="12.9" customHeight="1" x14ac:dyDescent="0.25"/>
    <row r="1521" ht="12.9" customHeight="1" x14ac:dyDescent="0.25"/>
    <row r="1522" ht="12.9" customHeight="1" x14ac:dyDescent="0.25"/>
    <row r="1523" ht="12.9" customHeight="1" x14ac:dyDescent="0.25"/>
    <row r="1524" ht="12.9" customHeight="1" x14ac:dyDescent="0.25"/>
    <row r="1525" ht="12.9" customHeight="1" x14ac:dyDescent="0.25"/>
    <row r="1526" ht="12.9" customHeight="1" x14ac:dyDescent="0.25"/>
    <row r="1527" ht="12.9" customHeight="1" x14ac:dyDescent="0.25"/>
    <row r="1528" ht="12.9" customHeight="1" x14ac:dyDescent="0.25"/>
    <row r="1529" ht="12.9" customHeight="1" x14ac:dyDescent="0.25"/>
    <row r="1530" ht="12.9" customHeight="1" x14ac:dyDescent="0.25"/>
    <row r="1531" ht="12.9" customHeight="1" x14ac:dyDescent="0.25"/>
    <row r="1532" ht="12.9" customHeight="1" x14ac:dyDescent="0.25"/>
    <row r="1533" ht="12.9" customHeight="1" x14ac:dyDescent="0.25"/>
    <row r="1534" ht="12.9" customHeight="1" x14ac:dyDescent="0.25"/>
    <row r="1535" ht="12.9" customHeight="1" x14ac:dyDescent="0.25"/>
    <row r="1536" ht="12.9" customHeight="1" x14ac:dyDescent="0.25"/>
    <row r="1537" ht="12.9" customHeight="1" x14ac:dyDescent="0.25"/>
    <row r="1538" ht="12.9" customHeight="1" x14ac:dyDescent="0.25"/>
    <row r="1539" ht="12.9" customHeight="1" x14ac:dyDescent="0.25"/>
    <row r="1540" ht="12.9" customHeight="1" x14ac:dyDescent="0.25"/>
    <row r="1541" ht="12.9" customHeight="1" x14ac:dyDescent="0.25"/>
    <row r="1542" ht="12.9" customHeight="1" x14ac:dyDescent="0.25"/>
    <row r="1543" ht="12.9" customHeight="1" x14ac:dyDescent="0.25"/>
    <row r="1544" ht="12.9" customHeight="1" x14ac:dyDescent="0.25"/>
    <row r="1545" ht="12.9" customHeight="1" x14ac:dyDescent="0.25"/>
    <row r="1546" ht="12.9" customHeight="1" x14ac:dyDescent="0.25"/>
    <row r="1547" ht="12.9" customHeight="1" x14ac:dyDescent="0.25"/>
    <row r="1548" ht="12.9" customHeight="1" x14ac:dyDescent="0.25"/>
    <row r="1549" ht="12.9" customHeight="1" x14ac:dyDescent="0.25"/>
    <row r="1550" ht="12.9" customHeight="1" x14ac:dyDescent="0.25"/>
    <row r="1551" ht="12.9" customHeight="1" x14ac:dyDescent="0.25"/>
    <row r="1552" ht="12.9" customHeight="1" x14ac:dyDescent="0.25"/>
    <row r="1553" ht="12.9" customHeight="1" x14ac:dyDescent="0.25"/>
    <row r="1554" ht="12.9" customHeight="1" x14ac:dyDescent="0.25"/>
    <row r="1555" ht="12.9" customHeight="1" x14ac:dyDescent="0.25"/>
    <row r="1556" ht="12.9" customHeight="1" x14ac:dyDescent="0.25"/>
    <row r="1557" ht="12.9" customHeight="1" x14ac:dyDescent="0.25"/>
    <row r="1558" ht="12.9" customHeight="1" x14ac:dyDescent="0.25"/>
    <row r="1559" ht="12.9" customHeight="1" x14ac:dyDescent="0.25"/>
    <row r="1560" ht="12.9" customHeight="1" x14ac:dyDescent="0.25"/>
    <row r="1561" ht="12.9" customHeight="1" x14ac:dyDescent="0.25"/>
    <row r="1562" ht="12.9" customHeight="1" x14ac:dyDescent="0.25"/>
    <row r="1563" ht="12.9" customHeight="1" x14ac:dyDescent="0.25"/>
    <row r="1564" ht="12.9" customHeight="1" x14ac:dyDescent="0.25"/>
    <row r="1565" ht="12.9" customHeight="1" x14ac:dyDescent="0.25"/>
    <row r="1566" ht="12.9" customHeight="1" x14ac:dyDescent="0.25"/>
    <row r="1567" ht="12.9" customHeight="1" x14ac:dyDescent="0.25"/>
    <row r="1568" ht="12.9" customHeight="1" x14ac:dyDescent="0.25"/>
    <row r="1569" ht="12.9" customHeight="1" x14ac:dyDescent="0.25"/>
    <row r="1570" ht="12.9" customHeight="1" x14ac:dyDescent="0.25"/>
    <row r="1571" ht="12.9" customHeight="1" x14ac:dyDescent="0.25"/>
    <row r="1572" ht="12.9" customHeight="1" x14ac:dyDescent="0.25"/>
    <row r="1573" ht="12.9" customHeight="1" x14ac:dyDescent="0.25"/>
    <row r="1574" ht="12.9" customHeight="1" x14ac:dyDescent="0.25"/>
    <row r="1575" ht="12.9" customHeight="1" x14ac:dyDescent="0.25"/>
    <row r="1576" ht="12.9" customHeight="1" x14ac:dyDescent="0.25"/>
    <row r="1577" ht="12.9" customHeight="1" x14ac:dyDescent="0.25"/>
    <row r="1578" ht="12.9" customHeight="1" x14ac:dyDescent="0.25"/>
    <row r="1579" ht="12.9" customHeight="1" x14ac:dyDescent="0.25"/>
    <row r="1580" ht="12.9" customHeight="1" x14ac:dyDescent="0.25"/>
    <row r="1581" ht="12.9" customHeight="1" x14ac:dyDescent="0.25"/>
    <row r="1582" ht="12.9" customHeight="1" x14ac:dyDescent="0.25"/>
    <row r="1583" ht="12.9" customHeight="1" x14ac:dyDescent="0.25"/>
    <row r="1584" ht="12.9" customHeight="1" x14ac:dyDescent="0.25"/>
    <row r="1585" ht="12.9" customHeight="1" x14ac:dyDescent="0.25"/>
    <row r="1586" ht="12.9" customHeight="1" x14ac:dyDescent="0.25"/>
    <row r="1587" ht="12.9" customHeight="1" x14ac:dyDescent="0.25"/>
    <row r="1588" ht="12.9" customHeight="1" x14ac:dyDescent="0.25"/>
    <row r="1589" ht="12.9" customHeight="1" x14ac:dyDescent="0.25"/>
    <row r="1590" ht="12.9" customHeight="1" x14ac:dyDescent="0.25"/>
    <row r="1591" ht="12.9" customHeight="1" x14ac:dyDescent="0.25"/>
    <row r="1592" ht="12.9" customHeight="1" x14ac:dyDescent="0.25"/>
    <row r="1593" ht="12.9" customHeight="1" x14ac:dyDescent="0.25"/>
    <row r="1594" ht="12.9" customHeight="1" x14ac:dyDescent="0.25"/>
    <row r="1595" ht="12.9" customHeight="1" x14ac:dyDescent="0.25"/>
    <row r="1596" ht="12.9" customHeight="1" x14ac:dyDescent="0.25"/>
    <row r="1597" ht="12.9" customHeight="1" x14ac:dyDescent="0.25"/>
    <row r="1598" ht="12.9" customHeight="1" x14ac:dyDescent="0.25"/>
    <row r="1599" ht="12.9" customHeight="1" x14ac:dyDescent="0.25"/>
    <row r="1600" ht="12.9" customHeight="1" x14ac:dyDescent="0.25"/>
    <row r="1601" ht="12.9" customHeight="1" x14ac:dyDescent="0.25"/>
    <row r="1602" ht="12.9" customHeight="1" x14ac:dyDescent="0.25"/>
    <row r="1603" ht="12.9" customHeight="1" x14ac:dyDescent="0.25"/>
    <row r="1604" ht="12.9" customHeight="1" x14ac:dyDescent="0.25"/>
    <row r="1605" ht="12.9" customHeight="1" x14ac:dyDescent="0.25"/>
    <row r="1606" ht="12.9" customHeight="1" x14ac:dyDescent="0.25"/>
    <row r="1607" ht="12.9" customHeight="1" x14ac:dyDescent="0.25"/>
    <row r="1608" ht="12.9" customHeight="1" x14ac:dyDescent="0.25"/>
    <row r="1609" ht="12.9" customHeight="1" x14ac:dyDescent="0.25"/>
    <row r="1610" ht="12.9" customHeight="1" x14ac:dyDescent="0.25"/>
    <row r="1611" ht="12.9" customHeight="1" x14ac:dyDescent="0.25"/>
    <row r="1612" ht="12.9" customHeight="1" x14ac:dyDescent="0.25"/>
    <row r="1613" ht="12.9" customHeight="1" x14ac:dyDescent="0.25"/>
    <row r="1614" ht="12.9" customHeight="1" x14ac:dyDescent="0.25"/>
    <row r="1615" ht="12.9" customHeight="1" x14ac:dyDescent="0.25"/>
    <row r="1616" ht="12.9" customHeight="1" x14ac:dyDescent="0.25"/>
    <row r="1617" ht="12.9" customHeight="1" x14ac:dyDescent="0.25"/>
    <row r="1618" ht="12.9" customHeight="1" x14ac:dyDescent="0.25"/>
    <row r="1619" ht="12.9" customHeight="1" x14ac:dyDescent="0.25"/>
    <row r="1620" ht="12.9" customHeight="1" x14ac:dyDescent="0.25"/>
    <row r="1621" ht="12.9" customHeight="1" x14ac:dyDescent="0.25"/>
    <row r="1622" ht="12.9" customHeight="1" x14ac:dyDescent="0.25"/>
    <row r="1623" ht="12.9" customHeight="1" x14ac:dyDescent="0.25"/>
    <row r="1624" ht="12.9" customHeight="1" x14ac:dyDescent="0.25"/>
    <row r="1625" ht="12.9" customHeight="1" x14ac:dyDescent="0.25"/>
    <row r="1626" ht="12.9" customHeight="1" x14ac:dyDescent="0.25"/>
    <row r="1627" ht="12.9" customHeight="1" x14ac:dyDescent="0.25"/>
    <row r="1628" ht="12.9" customHeight="1" x14ac:dyDescent="0.25"/>
    <row r="1629" ht="12.9" customHeight="1" x14ac:dyDescent="0.25"/>
    <row r="1630" ht="12.9" customHeight="1" x14ac:dyDescent="0.25"/>
    <row r="1631" ht="12.9" customHeight="1" x14ac:dyDescent="0.25"/>
    <row r="1632" ht="12.9" customHeight="1" x14ac:dyDescent="0.25"/>
    <row r="1633" ht="12.9" customHeight="1" x14ac:dyDescent="0.25"/>
    <row r="1634" ht="12.9" customHeight="1" x14ac:dyDescent="0.25"/>
    <row r="1635" ht="12.9" customHeight="1" x14ac:dyDescent="0.25"/>
    <row r="1636" ht="12.9" customHeight="1" x14ac:dyDescent="0.25"/>
    <row r="1637" ht="12.9" customHeight="1" x14ac:dyDescent="0.25"/>
    <row r="1638" ht="12.9" customHeight="1" x14ac:dyDescent="0.25"/>
    <row r="1639" ht="12.9" customHeight="1" x14ac:dyDescent="0.25"/>
    <row r="1640" ht="12.9" customHeight="1" x14ac:dyDescent="0.25"/>
    <row r="1641" ht="12.9" customHeight="1" x14ac:dyDescent="0.25"/>
    <row r="1642" ht="12.9" customHeight="1" x14ac:dyDescent="0.25"/>
    <row r="1643" ht="12.9" customHeight="1" x14ac:dyDescent="0.25"/>
    <row r="1644" ht="12.9" customHeight="1" x14ac:dyDescent="0.25"/>
    <row r="1645" ht="12.9" customHeight="1" x14ac:dyDescent="0.25"/>
    <row r="1646" ht="12.9" customHeight="1" x14ac:dyDescent="0.25"/>
    <row r="1647" ht="12.9" customHeight="1" x14ac:dyDescent="0.25"/>
    <row r="1648" ht="12.9" customHeight="1" x14ac:dyDescent="0.25"/>
    <row r="1649" ht="12.9" customHeight="1" x14ac:dyDescent="0.25"/>
    <row r="1650" ht="12.9" customHeight="1" x14ac:dyDescent="0.25"/>
    <row r="1651" ht="12.9" customHeight="1" x14ac:dyDescent="0.25"/>
    <row r="1652" ht="12.9" customHeight="1" x14ac:dyDescent="0.25"/>
    <row r="1653" ht="12.9" customHeight="1" x14ac:dyDescent="0.25"/>
    <row r="1654" ht="12.9" customHeight="1" x14ac:dyDescent="0.25"/>
    <row r="1655" ht="12.9" customHeight="1" x14ac:dyDescent="0.25"/>
    <row r="1656" ht="12.9" customHeight="1" x14ac:dyDescent="0.25"/>
    <row r="1657" ht="12.9" customHeight="1" x14ac:dyDescent="0.25"/>
    <row r="1658" ht="12.9" customHeight="1" x14ac:dyDescent="0.25"/>
    <row r="1659" ht="12.9" customHeight="1" x14ac:dyDescent="0.25"/>
    <row r="1660" ht="12.9" customHeight="1" x14ac:dyDescent="0.25"/>
    <row r="1661" ht="12.9" customHeight="1" x14ac:dyDescent="0.25"/>
    <row r="1662" ht="12.9" customHeight="1" x14ac:dyDescent="0.25"/>
    <row r="1663" ht="12.9" customHeight="1" x14ac:dyDescent="0.25"/>
    <row r="1664" ht="12.9" customHeight="1" x14ac:dyDescent="0.25"/>
    <row r="1665" ht="12.9" customHeight="1" x14ac:dyDescent="0.25"/>
    <row r="1666" ht="12.9" customHeight="1" x14ac:dyDescent="0.25"/>
    <row r="1667" ht="12.9" customHeight="1" x14ac:dyDescent="0.25"/>
    <row r="1668" ht="12.9" customHeight="1" x14ac:dyDescent="0.25"/>
    <row r="1669" ht="12.9" customHeight="1" x14ac:dyDescent="0.25"/>
    <row r="1670" ht="12.9" customHeight="1" x14ac:dyDescent="0.25"/>
    <row r="1671" ht="12.9" customHeight="1" x14ac:dyDescent="0.25"/>
    <row r="1672" ht="12.9" customHeight="1" x14ac:dyDescent="0.25"/>
    <row r="1673" ht="12.9" customHeight="1" x14ac:dyDescent="0.25"/>
    <row r="1674" ht="12.9" customHeight="1" x14ac:dyDescent="0.25"/>
    <row r="1675" ht="12.9" customHeight="1" x14ac:dyDescent="0.25"/>
    <row r="1676" ht="12.9" customHeight="1" x14ac:dyDescent="0.25"/>
    <row r="1677" ht="12.9" customHeight="1" x14ac:dyDescent="0.25"/>
    <row r="1678" ht="12.9" customHeight="1" x14ac:dyDescent="0.25"/>
    <row r="1679" ht="12.9" customHeight="1" x14ac:dyDescent="0.25"/>
    <row r="1680" ht="12.9" customHeight="1" x14ac:dyDescent="0.25"/>
    <row r="1681" ht="12.9" customHeight="1" x14ac:dyDescent="0.25"/>
    <row r="1682" ht="12.9" customHeight="1" x14ac:dyDescent="0.25"/>
    <row r="1683" ht="12.9" customHeight="1" x14ac:dyDescent="0.25"/>
    <row r="1684" ht="12.9" customHeight="1" x14ac:dyDescent="0.25"/>
    <row r="1685" ht="12.9" customHeight="1" x14ac:dyDescent="0.25"/>
    <row r="1686" ht="12.9" customHeight="1" x14ac:dyDescent="0.25"/>
    <row r="1687" ht="12.9" customHeight="1" x14ac:dyDescent="0.25"/>
    <row r="1688" ht="12.9" customHeight="1" x14ac:dyDescent="0.25"/>
    <row r="1689" ht="12.9" customHeight="1" x14ac:dyDescent="0.25"/>
    <row r="1690" ht="12.9" customHeight="1" x14ac:dyDescent="0.25"/>
    <row r="1691" ht="12.9" customHeight="1" x14ac:dyDescent="0.25"/>
    <row r="1692" ht="12.9" customHeight="1" x14ac:dyDescent="0.25"/>
    <row r="1693" ht="12.9" customHeight="1" x14ac:dyDescent="0.25"/>
    <row r="1694" ht="12.9" customHeight="1" x14ac:dyDescent="0.25"/>
    <row r="1695" ht="12.9" customHeight="1" x14ac:dyDescent="0.25"/>
    <row r="1696" ht="12.9" customHeight="1" x14ac:dyDescent="0.25"/>
    <row r="1697" ht="12.9" customHeight="1" x14ac:dyDescent="0.25"/>
    <row r="1698" ht="12.9" customHeight="1" x14ac:dyDescent="0.25"/>
    <row r="1699" ht="12.9" customHeight="1" x14ac:dyDescent="0.25"/>
    <row r="1700" ht="12.9" customHeight="1" x14ac:dyDescent="0.25"/>
    <row r="1701" ht="12.9" customHeight="1" x14ac:dyDescent="0.25"/>
    <row r="1702" ht="12.9" customHeight="1" x14ac:dyDescent="0.25"/>
    <row r="1703" ht="12.9" customHeight="1" x14ac:dyDescent="0.25"/>
    <row r="1704" ht="12.9" customHeight="1" x14ac:dyDescent="0.25"/>
    <row r="1705" ht="12.9" customHeight="1" x14ac:dyDescent="0.25"/>
    <row r="1706" ht="12.9" customHeight="1" x14ac:dyDescent="0.25"/>
    <row r="1707" ht="12.9" customHeight="1" x14ac:dyDescent="0.25"/>
    <row r="1708" ht="12.9" customHeight="1" x14ac:dyDescent="0.25"/>
    <row r="1709" ht="12.9" customHeight="1" x14ac:dyDescent="0.25"/>
    <row r="1710" ht="12.9" customHeight="1" x14ac:dyDescent="0.25"/>
    <row r="1711" ht="12.9" customHeight="1" x14ac:dyDescent="0.25"/>
    <row r="1712" ht="12.9" customHeight="1" x14ac:dyDescent="0.25"/>
    <row r="1713" ht="12.9" customHeight="1" x14ac:dyDescent="0.25"/>
    <row r="1714" ht="12.9" customHeight="1" x14ac:dyDescent="0.25"/>
    <row r="1715" ht="12.9" customHeight="1" x14ac:dyDescent="0.25"/>
    <row r="1716" ht="12.9" customHeight="1" x14ac:dyDescent="0.25"/>
    <row r="1717" ht="12.9" customHeight="1" x14ac:dyDescent="0.25"/>
    <row r="1718" ht="12.9" customHeight="1" x14ac:dyDescent="0.25"/>
    <row r="1719" ht="12.9" customHeight="1" x14ac:dyDescent="0.25"/>
    <row r="1720" ht="12.9" customHeight="1" x14ac:dyDescent="0.25"/>
    <row r="1721" ht="12.9" customHeight="1" x14ac:dyDescent="0.25"/>
    <row r="1722" ht="12.9" customHeight="1" x14ac:dyDescent="0.25"/>
    <row r="1723" ht="12.9" customHeight="1" x14ac:dyDescent="0.25"/>
    <row r="1724" ht="12.9" customHeight="1" x14ac:dyDescent="0.25"/>
    <row r="1725" ht="12.9" customHeight="1" x14ac:dyDescent="0.25"/>
    <row r="1726" ht="12.9" customHeight="1" x14ac:dyDescent="0.25"/>
    <row r="1727" ht="12.9" customHeight="1" x14ac:dyDescent="0.25"/>
    <row r="1728" ht="12.9" customHeight="1" x14ac:dyDescent="0.25"/>
    <row r="1729" ht="12.9" customHeight="1" x14ac:dyDescent="0.25"/>
    <row r="1730" ht="12.9" customHeight="1" x14ac:dyDescent="0.25"/>
    <row r="1731" ht="12.9" customHeight="1" x14ac:dyDescent="0.25"/>
    <row r="1732" ht="12.9" customHeight="1" x14ac:dyDescent="0.25"/>
    <row r="1733" ht="12.9" customHeight="1" x14ac:dyDescent="0.25"/>
    <row r="1734" ht="12.9" customHeight="1" x14ac:dyDescent="0.25"/>
    <row r="1735" ht="12.9" customHeight="1" x14ac:dyDescent="0.25"/>
    <row r="1736" ht="12.9" customHeight="1" x14ac:dyDescent="0.25"/>
    <row r="1737" ht="12.9" customHeight="1" x14ac:dyDescent="0.25"/>
    <row r="1738" ht="12.9" customHeight="1" x14ac:dyDescent="0.25"/>
    <row r="1739" ht="12.9" customHeight="1" x14ac:dyDescent="0.25"/>
    <row r="1740" ht="12.9" customHeight="1" x14ac:dyDescent="0.25"/>
    <row r="1741" ht="12.9" customHeight="1" x14ac:dyDescent="0.25"/>
    <row r="1742" ht="12.9" customHeight="1" x14ac:dyDescent="0.25"/>
    <row r="1743" ht="12.9" customHeight="1" x14ac:dyDescent="0.25"/>
    <row r="1744" ht="12.9" customHeight="1" x14ac:dyDescent="0.25"/>
    <row r="1745" ht="12.9" customHeight="1" x14ac:dyDescent="0.25"/>
    <row r="1746" ht="12.9" customHeight="1" x14ac:dyDescent="0.25"/>
    <row r="1747" ht="12.9" customHeight="1" x14ac:dyDescent="0.25"/>
    <row r="1748" ht="12.9" customHeight="1" x14ac:dyDescent="0.25"/>
    <row r="1749" ht="12.9" customHeight="1" x14ac:dyDescent="0.25"/>
    <row r="1750" ht="12.9" customHeight="1" x14ac:dyDescent="0.25"/>
    <row r="1751" ht="12.9" customHeight="1" x14ac:dyDescent="0.25"/>
    <row r="1752" ht="12.9" customHeight="1" x14ac:dyDescent="0.25"/>
    <row r="1753" ht="12.9" customHeight="1" x14ac:dyDescent="0.25"/>
    <row r="1754" ht="12.9" customHeight="1" x14ac:dyDescent="0.25"/>
    <row r="1755" ht="12.9" customHeight="1" x14ac:dyDescent="0.25"/>
    <row r="1756" ht="12.9" customHeight="1" x14ac:dyDescent="0.25"/>
    <row r="1757" ht="12.9" customHeight="1" x14ac:dyDescent="0.25"/>
    <row r="1758" ht="12.9" customHeight="1" x14ac:dyDescent="0.25"/>
    <row r="1759" ht="12.9" customHeight="1" x14ac:dyDescent="0.25"/>
    <row r="1760" ht="12.9" customHeight="1" x14ac:dyDescent="0.25"/>
    <row r="1761" ht="12.9" customHeight="1" x14ac:dyDescent="0.25"/>
    <row r="1762" ht="12.9" customHeight="1" x14ac:dyDescent="0.25"/>
    <row r="1763" ht="12.9" customHeight="1" x14ac:dyDescent="0.25"/>
    <row r="1764" ht="12.9" customHeight="1" x14ac:dyDescent="0.25"/>
    <row r="1765" ht="12.9" customHeight="1" x14ac:dyDescent="0.25"/>
    <row r="1766" ht="12.9" customHeight="1" x14ac:dyDescent="0.25"/>
    <row r="1767" ht="12.9" customHeight="1" x14ac:dyDescent="0.25"/>
    <row r="1768" ht="12.9" customHeight="1" x14ac:dyDescent="0.25"/>
    <row r="1769" ht="12.9" customHeight="1" x14ac:dyDescent="0.25"/>
    <row r="1770" ht="12.9" customHeight="1" x14ac:dyDescent="0.25"/>
    <row r="1771" ht="12.9" customHeight="1" x14ac:dyDescent="0.25"/>
    <row r="1772" ht="12.9" customHeight="1" x14ac:dyDescent="0.25"/>
    <row r="1773" ht="12.9" customHeight="1" x14ac:dyDescent="0.25"/>
    <row r="1774" ht="12.9" customHeight="1" x14ac:dyDescent="0.25"/>
    <row r="1775" ht="12.9" customHeight="1" x14ac:dyDescent="0.25"/>
    <row r="1776" ht="12.9" customHeight="1" x14ac:dyDescent="0.25"/>
    <row r="1777" ht="12.9" customHeight="1" x14ac:dyDescent="0.25"/>
    <row r="1778" ht="12.9" customHeight="1" x14ac:dyDescent="0.25"/>
    <row r="1779" ht="12.9" customHeight="1" x14ac:dyDescent="0.25"/>
    <row r="1780" ht="12.9" customHeight="1" x14ac:dyDescent="0.25"/>
    <row r="1781" ht="12.9" customHeight="1" x14ac:dyDescent="0.25"/>
    <row r="1782" ht="12.9" customHeight="1" x14ac:dyDescent="0.25"/>
    <row r="1783" ht="12.9" customHeight="1" x14ac:dyDescent="0.25"/>
    <row r="1784" ht="12.9" customHeight="1" x14ac:dyDescent="0.25"/>
    <row r="1785" ht="12.9" customHeight="1" x14ac:dyDescent="0.25"/>
    <row r="1786" ht="12.9" customHeight="1" x14ac:dyDescent="0.25"/>
    <row r="1787" ht="12.9" customHeight="1" x14ac:dyDescent="0.25"/>
    <row r="1788" ht="12.9" customHeight="1" x14ac:dyDescent="0.25"/>
    <row r="1789" ht="12.9" customHeight="1" x14ac:dyDescent="0.25"/>
    <row r="1790" ht="12.9" customHeight="1" x14ac:dyDescent="0.25"/>
    <row r="1791" ht="12.9" customHeight="1" x14ac:dyDescent="0.25"/>
    <row r="1792" ht="12.9" customHeight="1" x14ac:dyDescent="0.25"/>
    <row r="1793" ht="12.9" customHeight="1" x14ac:dyDescent="0.25"/>
    <row r="1794" ht="12.9" customHeight="1" x14ac:dyDescent="0.25"/>
    <row r="1795" ht="12.9" customHeight="1" x14ac:dyDescent="0.25"/>
    <row r="1796" ht="12.9" customHeight="1" x14ac:dyDescent="0.25"/>
    <row r="1797" ht="12.9" customHeight="1" x14ac:dyDescent="0.25"/>
    <row r="1798" ht="12.9" customHeight="1" x14ac:dyDescent="0.25"/>
    <row r="1799" ht="12.9" customHeight="1" x14ac:dyDescent="0.25"/>
    <row r="1800" ht="12.9" customHeight="1" x14ac:dyDescent="0.25"/>
    <row r="1801" ht="12.9" customHeight="1" x14ac:dyDescent="0.25"/>
    <row r="1802" ht="12.9" customHeight="1" x14ac:dyDescent="0.25"/>
    <row r="1803" ht="12.9" customHeight="1" x14ac:dyDescent="0.25"/>
    <row r="1804" ht="12.9" customHeight="1" x14ac:dyDescent="0.25"/>
    <row r="1805" ht="12.9" customHeight="1" x14ac:dyDescent="0.25"/>
    <row r="1806" ht="12.9" customHeight="1" x14ac:dyDescent="0.25"/>
    <row r="1807" ht="12.9" customHeight="1" x14ac:dyDescent="0.25"/>
    <row r="1808" ht="12.9" customHeight="1" x14ac:dyDescent="0.25"/>
    <row r="1809" ht="12.9" customHeight="1" x14ac:dyDescent="0.25"/>
    <row r="1810" ht="12.9" customHeight="1" x14ac:dyDescent="0.25"/>
    <row r="1811" ht="12.9" customHeight="1" x14ac:dyDescent="0.25"/>
    <row r="1812" ht="12.9" customHeight="1" x14ac:dyDescent="0.25"/>
    <row r="1813" ht="12.9" customHeight="1" x14ac:dyDescent="0.25"/>
    <row r="1814" ht="12.9" customHeight="1" x14ac:dyDescent="0.25"/>
    <row r="1815" ht="12.9" customHeight="1" x14ac:dyDescent="0.25"/>
    <row r="1816" ht="12.9" customHeight="1" x14ac:dyDescent="0.25"/>
    <row r="1817" ht="12.9" customHeight="1" x14ac:dyDescent="0.25"/>
    <row r="1818" ht="12.9" customHeight="1" x14ac:dyDescent="0.25"/>
    <row r="1819" ht="12.9" customHeight="1" x14ac:dyDescent="0.25"/>
    <row r="1820" ht="12.9" customHeight="1" x14ac:dyDescent="0.25"/>
    <row r="1821" ht="12.9" customHeight="1" x14ac:dyDescent="0.25"/>
    <row r="1822" ht="12.9" customHeight="1" x14ac:dyDescent="0.25"/>
    <row r="1823" ht="12.9" customHeight="1" x14ac:dyDescent="0.25"/>
    <row r="1824" ht="12.9" customHeight="1" x14ac:dyDescent="0.25"/>
    <row r="1825" ht="12.9" customHeight="1" x14ac:dyDescent="0.25"/>
    <row r="1826" ht="12.9" customHeight="1" x14ac:dyDescent="0.25"/>
    <row r="1827" ht="12.9" customHeight="1" x14ac:dyDescent="0.25"/>
    <row r="1828" ht="12.9" customHeight="1" x14ac:dyDescent="0.25"/>
    <row r="1829" ht="12.9" customHeight="1" x14ac:dyDescent="0.25"/>
    <row r="1830" ht="12.9" customHeight="1" x14ac:dyDescent="0.25"/>
    <row r="1831" ht="12.9" customHeight="1" x14ac:dyDescent="0.25"/>
    <row r="1832" ht="12.9" customHeight="1" x14ac:dyDescent="0.25"/>
    <row r="1833" ht="12.9" customHeight="1" x14ac:dyDescent="0.25"/>
    <row r="1834" ht="12.9" customHeight="1" x14ac:dyDescent="0.25"/>
    <row r="1835" ht="12.9" customHeight="1" x14ac:dyDescent="0.25"/>
    <row r="1836" ht="12.9" customHeight="1" x14ac:dyDescent="0.25"/>
    <row r="1837" ht="12.9" customHeight="1" x14ac:dyDescent="0.25"/>
    <row r="1838" ht="12.9" customHeight="1" x14ac:dyDescent="0.25"/>
    <row r="1839" ht="12.9" customHeight="1" x14ac:dyDescent="0.25"/>
    <row r="1840" ht="12.9" customHeight="1" x14ac:dyDescent="0.25"/>
    <row r="1841" ht="12.9" customHeight="1" x14ac:dyDescent="0.25"/>
    <row r="1842" ht="12.9" customHeight="1" x14ac:dyDescent="0.25"/>
    <row r="1843" ht="12.9" customHeight="1" x14ac:dyDescent="0.25"/>
    <row r="1844" ht="12.9" customHeight="1" x14ac:dyDescent="0.25"/>
    <row r="1845" ht="12.9" customHeight="1" x14ac:dyDescent="0.25"/>
    <row r="1846" ht="12.9" customHeight="1" x14ac:dyDescent="0.25"/>
    <row r="1847" ht="12.9" customHeight="1" x14ac:dyDescent="0.25"/>
    <row r="1848" ht="12.9" customHeight="1" x14ac:dyDescent="0.25"/>
    <row r="1849" ht="12.9" customHeight="1" x14ac:dyDescent="0.25"/>
    <row r="1850" ht="12.9" customHeight="1" x14ac:dyDescent="0.25"/>
    <row r="1851" ht="12.9" customHeight="1" x14ac:dyDescent="0.25"/>
    <row r="1852" ht="12.9" customHeight="1" x14ac:dyDescent="0.25"/>
    <row r="1853" ht="12.9" customHeight="1" x14ac:dyDescent="0.25"/>
    <row r="1854" ht="12.9" customHeight="1" x14ac:dyDescent="0.25"/>
    <row r="1855" ht="12.9" customHeight="1" x14ac:dyDescent="0.25"/>
    <row r="1856" ht="12.9" customHeight="1" x14ac:dyDescent="0.25"/>
    <row r="1857" ht="12.9" customHeight="1" x14ac:dyDescent="0.25"/>
    <row r="1858" ht="12.9" customHeight="1" x14ac:dyDescent="0.25"/>
    <row r="1859" ht="12.9" customHeight="1" x14ac:dyDescent="0.25"/>
    <row r="1860" ht="12.9" customHeight="1" x14ac:dyDescent="0.25"/>
    <row r="1861" ht="12.9" customHeight="1" x14ac:dyDescent="0.25"/>
    <row r="1862" ht="12.9" customHeight="1" x14ac:dyDescent="0.25"/>
    <row r="1863" ht="12.9" customHeight="1" x14ac:dyDescent="0.25"/>
    <row r="1864" ht="12.9" customHeight="1" x14ac:dyDescent="0.25"/>
    <row r="1865" ht="12.9" customHeight="1" x14ac:dyDescent="0.25"/>
    <row r="1866" ht="12.9" customHeight="1" x14ac:dyDescent="0.25"/>
    <row r="1867" ht="12.9" customHeight="1" x14ac:dyDescent="0.25"/>
    <row r="1868" ht="12.9" customHeight="1" x14ac:dyDescent="0.25"/>
    <row r="1869" ht="12.9" customHeight="1" x14ac:dyDescent="0.25"/>
    <row r="1870" ht="12.9" customHeight="1" x14ac:dyDescent="0.25"/>
    <row r="1871" ht="12.9" customHeight="1" x14ac:dyDescent="0.25"/>
    <row r="1872" ht="12.9" customHeight="1" x14ac:dyDescent="0.25"/>
    <row r="1873" ht="12.9" customHeight="1" x14ac:dyDescent="0.25"/>
    <row r="1874" ht="12.9" customHeight="1" x14ac:dyDescent="0.25"/>
    <row r="1875" ht="12.9" customHeight="1" x14ac:dyDescent="0.25"/>
    <row r="1876" ht="12.9" customHeight="1" x14ac:dyDescent="0.25"/>
    <row r="1877" ht="12.9" customHeight="1" x14ac:dyDescent="0.25"/>
    <row r="1878" ht="12.9" customHeight="1" x14ac:dyDescent="0.25"/>
    <row r="1879" ht="12.9" customHeight="1" x14ac:dyDescent="0.25"/>
    <row r="1880" ht="12.9" customHeight="1" x14ac:dyDescent="0.25"/>
    <row r="1881" ht="12.9" customHeight="1" x14ac:dyDescent="0.25"/>
    <row r="1882" ht="12.9" customHeight="1" x14ac:dyDescent="0.25"/>
    <row r="1883" ht="12.9" customHeight="1" x14ac:dyDescent="0.25"/>
    <row r="1884" ht="12.9" customHeight="1" x14ac:dyDescent="0.25"/>
    <row r="1885" ht="12.9" customHeight="1" x14ac:dyDescent="0.25"/>
    <row r="1886" ht="12.9" customHeight="1" x14ac:dyDescent="0.25"/>
    <row r="1887" ht="12.9" customHeight="1" x14ac:dyDescent="0.25"/>
    <row r="1888" ht="12.9" customHeight="1" x14ac:dyDescent="0.25"/>
    <row r="1889" ht="12.9" customHeight="1" x14ac:dyDescent="0.25"/>
    <row r="1890" ht="12.9" customHeight="1" x14ac:dyDescent="0.25"/>
    <row r="1891" ht="12.9" customHeight="1" x14ac:dyDescent="0.25"/>
    <row r="1892" ht="12.9" customHeight="1" x14ac:dyDescent="0.25"/>
    <row r="1893" ht="12.9" customHeight="1" x14ac:dyDescent="0.25"/>
    <row r="1894" ht="12.9" customHeight="1" x14ac:dyDescent="0.25"/>
    <row r="1895" ht="12.9" customHeight="1" x14ac:dyDescent="0.25"/>
    <row r="1896" ht="12.9" customHeight="1" x14ac:dyDescent="0.25"/>
    <row r="1897" ht="12.9" customHeight="1" x14ac:dyDescent="0.25"/>
    <row r="1898" ht="12.9" customHeight="1" x14ac:dyDescent="0.25"/>
    <row r="1899" ht="12.9" customHeight="1" x14ac:dyDescent="0.25"/>
    <row r="1900" ht="12.9" customHeight="1" x14ac:dyDescent="0.25"/>
    <row r="1901" ht="12.9" customHeight="1" x14ac:dyDescent="0.25"/>
    <row r="1902" ht="12.9" customHeight="1" x14ac:dyDescent="0.25"/>
    <row r="1903" ht="12.9" customHeight="1" x14ac:dyDescent="0.25"/>
    <row r="1904" ht="12.9" customHeight="1" x14ac:dyDescent="0.25"/>
    <row r="1905" ht="12.9" customHeight="1" x14ac:dyDescent="0.25"/>
    <row r="1906" ht="12.9" customHeight="1" x14ac:dyDescent="0.25"/>
  </sheetData>
  <pageMargins left="0.75" right="0.75" top="1" bottom="1" header="0.5" footer="0.5"/>
  <pageSetup orientation="landscape" r:id="rId1"/>
  <headerFooter alignWithMargins="0">
    <oddFooter>&amp;L&amp;D&amp;T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65"/>
  <sheetViews>
    <sheetView zoomScale="75" workbookViewId="0">
      <selection activeCell="AD10" sqref="AD10"/>
    </sheetView>
  </sheetViews>
  <sheetFormatPr defaultColWidth="9.28515625" defaultRowHeight="15.6" x14ac:dyDescent="0.3"/>
  <cols>
    <col min="1" max="1" width="9.28515625" style="6"/>
    <col min="2" max="2" width="3.85546875" style="6" customWidth="1"/>
    <col min="3" max="3" width="4.85546875" style="6" customWidth="1"/>
    <col min="4" max="4" width="13.85546875" style="6" customWidth="1"/>
    <col min="5" max="5" width="17.85546875" style="6" customWidth="1"/>
    <col min="6" max="6" width="15.7109375" style="49" customWidth="1"/>
    <col min="7" max="7" width="3.85546875" style="6" customWidth="1"/>
    <col min="8" max="8" width="15.7109375" style="50" customWidth="1"/>
    <col min="9" max="9" width="3.85546875" style="6" customWidth="1"/>
    <col min="10" max="10" width="15.7109375" style="50" customWidth="1"/>
    <col min="11" max="11" width="3.85546875" style="6" customWidth="1"/>
    <col min="12" max="12" width="15.7109375" style="50" customWidth="1"/>
    <col min="13" max="13" width="2.85546875" style="6" customWidth="1"/>
    <col min="14" max="14" width="15.7109375" style="49" hidden="1" customWidth="1"/>
    <col min="15" max="15" width="3.85546875" style="6" hidden="1" customWidth="1"/>
    <col min="16" max="16" width="15.7109375" style="50" hidden="1" customWidth="1"/>
    <col min="17" max="17" width="3.85546875" style="6" hidden="1" customWidth="1"/>
    <col min="18" max="18" width="15.7109375" style="50" hidden="1" customWidth="1"/>
    <col min="19" max="19" width="3.85546875" style="6" hidden="1" customWidth="1"/>
    <col min="20" max="20" width="15.7109375" style="50" customWidth="1"/>
    <col min="21" max="21" width="2.85546875" style="6" customWidth="1"/>
    <col min="22" max="22" width="15.7109375" style="49" hidden="1" customWidth="1"/>
    <col min="23" max="23" width="3.85546875" style="6" hidden="1" customWidth="1"/>
    <col min="24" max="24" width="15.7109375" style="50" hidden="1" customWidth="1"/>
    <col min="25" max="25" width="3.85546875" style="6" hidden="1" customWidth="1"/>
    <col min="26" max="26" width="15.7109375" style="50" hidden="1" customWidth="1"/>
    <col min="27" max="27" width="3.85546875" style="6" hidden="1" customWidth="1"/>
    <col min="28" max="28" width="15.7109375" style="50" customWidth="1"/>
    <col min="29" max="29" width="2.85546875" style="6" customWidth="1"/>
    <col min="30" max="30" width="15.7109375" style="49" customWidth="1"/>
    <col min="31" max="31" width="2.85546875" style="6" customWidth="1"/>
    <col min="32" max="32" width="15.7109375" style="50" customWidth="1"/>
    <col min="33" max="33" width="2.85546875" style="6" customWidth="1"/>
    <col min="34" max="34" width="15.7109375" style="50" customWidth="1"/>
    <col min="35" max="35" width="3.85546875" style="6" customWidth="1"/>
    <col min="36" max="36" width="15.7109375" style="50" customWidth="1"/>
    <col min="37" max="37" width="3.85546875" style="6" customWidth="1"/>
    <col min="38" max="38" width="15.7109375" style="50" customWidth="1"/>
    <col min="39" max="16384" width="9.28515625" style="6"/>
  </cols>
  <sheetData>
    <row r="1" spans="2:38" ht="17.399999999999999" x14ac:dyDescent="0.3">
      <c r="B1" s="1" t="s">
        <v>0</v>
      </c>
      <c r="C1" s="2"/>
      <c r="D1" s="2"/>
      <c r="E1" s="2"/>
      <c r="F1" s="3"/>
      <c r="G1" s="2"/>
      <c r="H1" s="4"/>
      <c r="I1" s="2"/>
      <c r="J1" s="4"/>
      <c r="K1" s="2"/>
      <c r="L1" s="5"/>
      <c r="M1" s="2"/>
      <c r="N1" s="3"/>
      <c r="O1" s="2"/>
      <c r="P1" s="4"/>
      <c r="Q1" s="2"/>
      <c r="R1" s="4"/>
      <c r="S1" s="2"/>
      <c r="T1" s="5"/>
      <c r="U1" s="2"/>
      <c r="V1" s="3"/>
      <c r="W1" s="2"/>
      <c r="X1" s="4"/>
      <c r="Y1" s="2"/>
      <c r="Z1" s="4"/>
      <c r="AA1" s="2"/>
      <c r="AB1" s="5"/>
      <c r="AC1" s="2"/>
      <c r="AD1" s="3"/>
      <c r="AE1" s="2"/>
      <c r="AF1" s="4"/>
      <c r="AG1" s="2"/>
      <c r="AH1" s="4"/>
      <c r="AI1" s="2"/>
      <c r="AJ1" s="5"/>
      <c r="AK1" s="2"/>
      <c r="AL1" s="5"/>
    </row>
    <row r="2" spans="2:38" x14ac:dyDescent="0.3">
      <c r="B2" s="4" t="s">
        <v>53</v>
      </c>
      <c r="C2" s="7"/>
      <c r="D2" s="2"/>
      <c r="E2" s="2"/>
      <c r="F2" s="3"/>
      <c r="G2" s="2"/>
      <c r="H2" s="4"/>
      <c r="I2" s="2"/>
      <c r="J2" s="4"/>
      <c r="K2" s="2"/>
      <c r="L2" s="8"/>
      <c r="M2" s="2"/>
      <c r="N2" s="3"/>
      <c r="O2" s="2"/>
      <c r="P2" s="4"/>
      <c r="Q2" s="2"/>
      <c r="R2" s="4"/>
      <c r="S2" s="2"/>
      <c r="T2" s="8"/>
      <c r="U2" s="2"/>
      <c r="V2" s="3"/>
      <c r="W2" s="2"/>
      <c r="X2" s="4"/>
      <c r="Y2" s="2"/>
      <c r="Z2" s="4"/>
      <c r="AA2" s="2"/>
      <c r="AB2" s="8"/>
      <c r="AC2" s="2"/>
      <c r="AD2" s="3"/>
      <c r="AE2" s="2"/>
      <c r="AF2" s="4"/>
      <c r="AG2" s="2"/>
      <c r="AH2" s="4"/>
      <c r="AI2" s="2"/>
      <c r="AJ2" s="8"/>
      <c r="AK2" s="2"/>
      <c r="AL2" s="8"/>
    </row>
    <row r="3" spans="2:38" x14ac:dyDescent="0.3">
      <c r="B3" s="9" t="s">
        <v>1</v>
      </c>
      <c r="C3" s="2"/>
      <c r="D3" s="2"/>
      <c r="E3" s="2"/>
      <c r="F3" s="3"/>
      <c r="G3" s="2"/>
      <c r="H3" s="4"/>
      <c r="I3" s="2"/>
      <c r="J3" s="4"/>
      <c r="K3" s="2"/>
      <c r="L3" s="4"/>
      <c r="M3" s="2"/>
      <c r="N3" s="3"/>
      <c r="O3" s="2"/>
      <c r="P3" s="4"/>
      <c r="Q3" s="2"/>
      <c r="R3" s="4"/>
      <c r="S3" s="2"/>
      <c r="T3" s="4"/>
      <c r="U3" s="2"/>
      <c r="V3" s="3"/>
      <c r="W3" s="2"/>
      <c r="X3" s="4"/>
      <c r="Y3" s="2"/>
      <c r="Z3" s="4"/>
      <c r="AA3" s="2"/>
      <c r="AB3" s="4"/>
      <c r="AC3" s="2"/>
      <c r="AD3" s="3"/>
      <c r="AE3" s="2"/>
      <c r="AF3" s="4"/>
      <c r="AG3" s="2"/>
      <c r="AH3" s="4"/>
      <c r="AI3" s="2"/>
      <c r="AJ3" s="4"/>
      <c r="AK3" s="2"/>
      <c r="AL3" s="4"/>
    </row>
    <row r="4" spans="2:38" x14ac:dyDescent="0.3">
      <c r="B4" s="10"/>
      <c r="D4" s="68"/>
      <c r="E4" s="10"/>
      <c r="F4" s="11"/>
      <c r="G4" s="10"/>
      <c r="H4" s="12"/>
      <c r="I4" s="10"/>
      <c r="J4" s="12"/>
      <c r="K4" s="10"/>
      <c r="L4" s="6"/>
      <c r="M4" s="10"/>
      <c r="N4" s="11"/>
      <c r="O4" s="10"/>
      <c r="P4" s="12"/>
      <c r="Q4" s="10"/>
      <c r="R4" s="12"/>
      <c r="S4" s="10"/>
      <c r="T4" s="68"/>
      <c r="U4" s="10"/>
      <c r="V4" s="11"/>
      <c r="W4" s="10"/>
      <c r="X4" s="12"/>
      <c r="Y4" s="10"/>
      <c r="Z4" s="12"/>
      <c r="AA4" s="10"/>
      <c r="AB4" s="68"/>
      <c r="AC4" s="10"/>
      <c r="AD4" s="11"/>
      <c r="AE4" s="10"/>
      <c r="AF4" s="12"/>
      <c r="AG4" s="10"/>
      <c r="AH4" s="12"/>
      <c r="AI4" s="10"/>
      <c r="AJ4" s="68"/>
      <c r="AK4" s="10"/>
      <c r="AL4" s="68">
        <f ca="1">NOW()</f>
        <v>37243.429749305556</v>
      </c>
    </row>
    <row r="5" spans="2:38" x14ac:dyDescent="0.3">
      <c r="B5" s="10"/>
      <c r="D5" s="69"/>
      <c r="E5" s="10"/>
      <c r="F5" s="11"/>
      <c r="G5" s="13"/>
      <c r="H5" s="12"/>
      <c r="I5" s="13"/>
      <c r="J5" s="12"/>
      <c r="K5" s="13"/>
      <c r="L5" s="6"/>
      <c r="M5" s="10"/>
      <c r="N5" s="11"/>
      <c r="O5" s="88"/>
      <c r="P5" s="12"/>
      <c r="Q5" s="88"/>
      <c r="R5" s="12"/>
      <c r="S5" s="88"/>
      <c r="T5" s="69"/>
      <c r="U5" s="10"/>
      <c r="V5" s="11"/>
      <c r="W5" s="88"/>
      <c r="X5" s="12"/>
      <c r="Y5" s="88"/>
      <c r="Z5" s="12"/>
      <c r="AA5" s="88"/>
      <c r="AB5" s="69"/>
      <c r="AC5" s="10"/>
      <c r="AD5" s="11"/>
      <c r="AE5" s="88"/>
      <c r="AF5" s="12"/>
      <c r="AG5" s="13"/>
      <c r="AH5" s="12"/>
      <c r="AI5" s="13"/>
      <c r="AJ5" s="69"/>
      <c r="AK5" s="88"/>
      <c r="AL5" s="69">
        <f ca="1">NOW()</f>
        <v>37243.429749305556</v>
      </c>
    </row>
    <row r="6" spans="2:38" x14ac:dyDescent="0.3">
      <c r="B6" s="14"/>
      <c r="C6" s="15"/>
      <c r="D6" s="15"/>
      <c r="E6" s="15"/>
      <c r="F6" s="16"/>
      <c r="G6" s="17"/>
      <c r="H6" s="18"/>
      <c r="I6" s="17"/>
      <c r="J6" s="18"/>
      <c r="K6" s="17"/>
      <c r="L6" s="97"/>
      <c r="M6" s="98"/>
      <c r="N6" s="99"/>
      <c r="O6" s="100"/>
      <c r="P6" s="97"/>
      <c r="Q6" s="100"/>
      <c r="R6" s="97"/>
      <c r="S6" s="100"/>
      <c r="T6" s="97"/>
      <c r="U6" s="98"/>
      <c r="V6" s="99"/>
      <c r="W6" s="100"/>
      <c r="X6" s="97"/>
      <c r="Y6" s="100"/>
      <c r="Z6" s="97"/>
      <c r="AA6" s="100"/>
      <c r="AB6" s="97"/>
      <c r="AC6" s="98"/>
      <c r="AD6" s="99"/>
      <c r="AE6" s="100"/>
      <c r="AF6" s="97"/>
      <c r="AG6" s="17"/>
      <c r="AH6" s="18"/>
      <c r="AI6" s="17"/>
      <c r="AJ6" s="97"/>
      <c r="AK6" s="100"/>
      <c r="AL6" s="19"/>
    </row>
    <row r="7" spans="2:38" ht="13.95" customHeight="1" x14ac:dyDescent="0.3">
      <c r="B7" s="21" t="s">
        <v>2</v>
      </c>
      <c r="C7" s="86"/>
      <c r="D7" s="87"/>
      <c r="E7" s="87"/>
      <c r="F7" s="58" t="s">
        <v>34</v>
      </c>
      <c r="G7" s="25"/>
      <c r="H7" s="58" t="s">
        <v>35</v>
      </c>
      <c r="I7" s="25"/>
      <c r="J7" s="70" t="s">
        <v>36</v>
      </c>
      <c r="K7" s="25"/>
      <c r="L7" s="70" t="s">
        <v>37</v>
      </c>
      <c r="M7" s="85"/>
      <c r="N7" s="58" t="s">
        <v>38</v>
      </c>
      <c r="O7" s="25"/>
      <c r="P7" s="58" t="s">
        <v>26</v>
      </c>
      <c r="Q7" s="25"/>
      <c r="R7" s="70" t="s">
        <v>39</v>
      </c>
      <c r="S7" s="25"/>
      <c r="T7" s="70" t="s">
        <v>40</v>
      </c>
      <c r="U7" s="85"/>
      <c r="V7" s="58" t="s">
        <v>42</v>
      </c>
      <c r="W7" s="25"/>
      <c r="X7" s="58" t="s">
        <v>30</v>
      </c>
      <c r="Y7" s="25"/>
      <c r="Z7" s="70" t="s">
        <v>31</v>
      </c>
      <c r="AA7" s="25"/>
      <c r="AB7" s="70" t="s">
        <v>43</v>
      </c>
      <c r="AC7" s="85"/>
      <c r="AD7" s="58" t="s">
        <v>54</v>
      </c>
      <c r="AE7" s="25"/>
      <c r="AF7" s="58" t="s">
        <v>55</v>
      </c>
      <c r="AG7" s="25"/>
      <c r="AH7" s="70" t="s">
        <v>56</v>
      </c>
      <c r="AI7" s="25"/>
      <c r="AJ7" s="70" t="s">
        <v>57</v>
      </c>
      <c r="AK7" s="25"/>
      <c r="AL7" s="71" t="s">
        <v>41</v>
      </c>
    </row>
    <row r="8" spans="2:38" ht="13.95" hidden="1" customHeight="1" x14ac:dyDescent="0.3">
      <c r="B8" s="21" t="s">
        <v>2</v>
      </c>
      <c r="C8" s="22"/>
      <c r="D8" s="23"/>
      <c r="E8" s="22"/>
      <c r="F8" s="48" t="s">
        <v>3</v>
      </c>
      <c r="G8" s="25"/>
      <c r="H8" s="24" t="s">
        <v>3</v>
      </c>
      <c r="I8" s="25"/>
      <c r="J8" s="24" t="s">
        <v>3</v>
      </c>
      <c r="K8" s="25"/>
      <c r="L8" s="66" t="s">
        <v>3</v>
      </c>
      <c r="M8" s="22"/>
      <c r="N8" s="48" t="s">
        <v>3</v>
      </c>
      <c r="O8" s="25"/>
      <c r="P8" s="24" t="s">
        <v>3</v>
      </c>
      <c r="Q8" s="25"/>
      <c r="R8" s="24" t="s">
        <v>3</v>
      </c>
      <c r="S8" s="25"/>
      <c r="T8" s="66" t="s">
        <v>3</v>
      </c>
      <c r="U8" s="22"/>
      <c r="V8" s="48" t="s">
        <v>3</v>
      </c>
      <c r="W8" s="25"/>
      <c r="X8" s="24" t="s">
        <v>3</v>
      </c>
      <c r="Y8" s="25"/>
      <c r="Z8" s="24" t="s">
        <v>3</v>
      </c>
      <c r="AA8" s="25"/>
      <c r="AB8" s="66" t="s">
        <v>3</v>
      </c>
      <c r="AC8" s="22"/>
      <c r="AD8" s="48" t="s">
        <v>3</v>
      </c>
      <c r="AE8" s="25"/>
      <c r="AF8" s="24" t="s">
        <v>3</v>
      </c>
      <c r="AG8" s="25"/>
      <c r="AH8" s="24" t="s">
        <v>3</v>
      </c>
      <c r="AI8" s="25"/>
      <c r="AJ8" s="66" t="s">
        <v>3</v>
      </c>
      <c r="AK8" s="67"/>
      <c r="AL8" s="66" t="s">
        <v>3</v>
      </c>
    </row>
    <row r="9" spans="2:38" x14ac:dyDescent="0.3">
      <c r="B9" s="26" t="s">
        <v>4</v>
      </c>
      <c r="C9" s="20"/>
      <c r="D9" s="20"/>
      <c r="E9" s="20"/>
      <c r="F9" s="11"/>
      <c r="H9" s="27"/>
      <c r="J9" s="27"/>
      <c r="L9" s="12"/>
      <c r="M9" s="20"/>
      <c r="N9" s="11"/>
      <c r="P9" s="27"/>
      <c r="R9" s="27"/>
      <c r="T9" s="12"/>
      <c r="U9" s="20"/>
      <c r="V9" s="11"/>
      <c r="X9" s="27"/>
      <c r="Z9" s="27"/>
      <c r="AB9" s="12"/>
      <c r="AC9" s="20"/>
      <c r="AD9" s="11"/>
      <c r="AF9" s="27"/>
      <c r="AH9" s="27"/>
      <c r="AJ9" s="12"/>
      <c r="AL9" s="12"/>
    </row>
    <row r="10" spans="2:38" x14ac:dyDescent="0.3">
      <c r="C10" s="28" t="s">
        <v>5</v>
      </c>
      <c r="D10" s="20"/>
      <c r="E10" s="29"/>
      <c r="F10" s="55">
        <f>9533+-F18</f>
        <v>9485</v>
      </c>
      <c r="G10" s="32"/>
      <c r="H10" s="57">
        <f>6058-H18</f>
        <v>5998</v>
      </c>
      <c r="I10" s="32"/>
      <c r="J10" s="57">
        <f>4165-J18</f>
        <v>4101</v>
      </c>
      <c r="K10" s="32"/>
      <c r="L10" s="55">
        <f>SUM(F10:K10)</f>
        <v>19584</v>
      </c>
      <c r="M10" s="29"/>
      <c r="N10" s="55">
        <f>4515-N18</f>
        <v>4466</v>
      </c>
      <c r="O10" s="32"/>
      <c r="P10" s="57">
        <f>8262-P18</f>
        <v>8211</v>
      </c>
      <c r="Q10" s="32"/>
      <c r="R10" s="57">
        <f>7516-R18+110</f>
        <v>7559</v>
      </c>
      <c r="S10" s="32"/>
      <c r="T10" s="55">
        <f t="shared" ref="T10:T15" si="0">SUM(N10:S10)</f>
        <v>20236</v>
      </c>
      <c r="U10" s="29"/>
      <c r="V10" s="55">
        <f>4892-V18</f>
        <v>4835</v>
      </c>
      <c r="W10" s="32"/>
      <c r="X10" s="57">
        <f>5640-X18</f>
        <v>5581</v>
      </c>
      <c r="Y10" s="32"/>
      <c r="Z10" s="57">
        <f>5933+50+300+40-Z18</f>
        <v>6264</v>
      </c>
      <c r="AA10" s="32"/>
      <c r="AB10" s="57">
        <f t="shared" ref="AB10:AB15" si="1">SUM(V10:AA10)</f>
        <v>16680</v>
      </c>
      <c r="AC10" s="29"/>
      <c r="AD10" s="55">
        <f>5159-AD18</f>
        <v>5099</v>
      </c>
      <c r="AE10" s="32"/>
      <c r="AF10" s="57">
        <f>8431-AF18</f>
        <v>8373</v>
      </c>
      <c r="AG10" s="32"/>
      <c r="AH10" s="57">
        <f>8355-AH18-1000</f>
        <v>7276</v>
      </c>
      <c r="AI10" s="52"/>
      <c r="AJ10" s="57">
        <f t="shared" ref="AJ10:AJ15" si="2">SUM(AD10:AI10)</f>
        <v>20748</v>
      </c>
      <c r="AK10" s="32"/>
      <c r="AL10" s="55">
        <f>+T10+L10+AB10+AJ10</f>
        <v>77248</v>
      </c>
    </row>
    <row r="11" spans="2:38" x14ac:dyDescent="0.3">
      <c r="C11" s="28" t="s">
        <v>21</v>
      </c>
      <c r="D11" s="20"/>
      <c r="E11" s="29"/>
      <c r="F11" s="31">
        <v>11402</v>
      </c>
      <c r="G11" s="32"/>
      <c r="H11" s="51">
        <v>10376</v>
      </c>
      <c r="I11" s="32"/>
      <c r="J11" s="51">
        <v>11863</v>
      </c>
      <c r="L11" s="60">
        <f>SUM(F11:K11)</f>
        <v>33641</v>
      </c>
      <c r="M11" s="29"/>
      <c r="N11" s="76">
        <v>10918</v>
      </c>
      <c r="O11" s="77"/>
      <c r="P11" s="78">
        <v>12397</v>
      </c>
      <c r="Q11" s="77"/>
      <c r="R11" s="78">
        <v>12117</v>
      </c>
      <c r="S11" s="74"/>
      <c r="T11" s="63">
        <f t="shared" si="0"/>
        <v>35432</v>
      </c>
      <c r="U11" s="29"/>
      <c r="V11" s="76">
        <v>11631</v>
      </c>
      <c r="W11" s="77"/>
      <c r="X11" s="78">
        <v>10154</v>
      </c>
      <c r="Y11" s="77"/>
      <c r="Z11" s="78">
        <v>13572</v>
      </c>
      <c r="AA11" s="74"/>
      <c r="AB11" s="78">
        <f t="shared" si="1"/>
        <v>35357</v>
      </c>
      <c r="AC11" s="29"/>
      <c r="AD11" s="76">
        <v>10869</v>
      </c>
      <c r="AE11" s="77"/>
      <c r="AF11" s="78">
        <v>9412</v>
      </c>
      <c r="AG11" s="77"/>
      <c r="AH11" s="78">
        <f>12992-2000+1000</f>
        <v>11992</v>
      </c>
      <c r="AI11" s="52" t="s">
        <v>20</v>
      </c>
      <c r="AJ11" s="78">
        <f t="shared" si="2"/>
        <v>32273</v>
      </c>
      <c r="AK11" s="74"/>
      <c r="AL11" s="63">
        <f>+T11+L11+AB11+AJ11</f>
        <v>136703</v>
      </c>
    </row>
    <row r="12" spans="2:38" x14ac:dyDescent="0.3">
      <c r="C12" s="28" t="s">
        <v>6</v>
      </c>
      <c r="D12" s="20"/>
      <c r="E12" s="29"/>
      <c r="F12" s="31">
        <v>254</v>
      </c>
      <c r="G12" s="32"/>
      <c r="H12" s="51">
        <v>457</v>
      </c>
      <c r="I12" s="32"/>
      <c r="J12" s="51">
        <v>406</v>
      </c>
      <c r="L12" s="60">
        <f t="shared" ref="L12:L18" si="3">SUM(F12:K12)</f>
        <v>1117</v>
      </c>
      <c r="M12" s="29"/>
      <c r="N12" s="76">
        <f>387+18</f>
        <v>405</v>
      </c>
      <c r="O12" s="77"/>
      <c r="P12" s="78">
        <v>413</v>
      </c>
      <c r="Q12" s="77"/>
      <c r="R12" s="78">
        <v>554</v>
      </c>
      <c r="S12" s="74"/>
      <c r="T12" s="63">
        <f t="shared" si="0"/>
        <v>1372</v>
      </c>
      <c r="U12" s="29"/>
      <c r="V12" s="76">
        <v>496</v>
      </c>
      <c r="W12" s="77"/>
      <c r="X12" s="78">
        <v>402</v>
      </c>
      <c r="Y12" s="77"/>
      <c r="Z12" s="78">
        <v>476</v>
      </c>
      <c r="AA12" s="74"/>
      <c r="AB12" s="78">
        <f t="shared" si="1"/>
        <v>1374</v>
      </c>
      <c r="AC12" s="29"/>
      <c r="AD12" s="76">
        <v>684</v>
      </c>
      <c r="AE12" s="77"/>
      <c r="AF12" s="78">
        <f>1054-310</f>
        <v>744</v>
      </c>
      <c r="AG12" s="77"/>
      <c r="AH12" s="78">
        <v>754</v>
      </c>
      <c r="AI12" s="52" t="s">
        <v>20</v>
      </c>
      <c r="AJ12" s="78">
        <f t="shared" si="2"/>
        <v>2182</v>
      </c>
      <c r="AK12" s="74"/>
      <c r="AL12" s="63">
        <f t="shared" ref="AL12:AL18" si="4">+T12+L12+AB12+AJ12</f>
        <v>6045</v>
      </c>
    </row>
    <row r="13" spans="2:38" x14ac:dyDescent="0.3">
      <c r="C13" s="36" t="s">
        <v>7</v>
      </c>
      <c r="D13" s="20"/>
      <c r="E13" s="20"/>
      <c r="F13" s="31">
        <v>289</v>
      </c>
      <c r="G13" s="32"/>
      <c r="H13" s="51">
        <v>522</v>
      </c>
      <c r="I13" s="32"/>
      <c r="J13" s="51">
        <v>553</v>
      </c>
      <c r="K13" s="32" t="s">
        <v>20</v>
      </c>
      <c r="L13" s="60">
        <f t="shared" si="3"/>
        <v>1364</v>
      </c>
      <c r="M13" s="20"/>
      <c r="N13" s="76">
        <v>-280</v>
      </c>
      <c r="O13" s="77"/>
      <c r="P13" s="78">
        <v>635</v>
      </c>
      <c r="Q13" s="77"/>
      <c r="R13" s="78">
        <v>54</v>
      </c>
      <c r="S13" s="77" t="s">
        <v>20</v>
      </c>
      <c r="T13" s="63">
        <f t="shared" si="0"/>
        <v>409</v>
      </c>
      <c r="U13" s="20"/>
      <c r="V13" s="76">
        <v>21</v>
      </c>
      <c r="W13" s="77"/>
      <c r="X13" s="78">
        <v>556</v>
      </c>
      <c r="Y13" s="77"/>
      <c r="Z13" s="78">
        <v>64</v>
      </c>
      <c r="AA13" s="77" t="s">
        <v>20</v>
      </c>
      <c r="AB13" s="78">
        <f t="shared" si="1"/>
        <v>641</v>
      </c>
      <c r="AC13" s="20"/>
      <c r="AD13" s="76">
        <v>1188</v>
      </c>
      <c r="AE13" s="77"/>
      <c r="AF13" s="78">
        <v>1261</v>
      </c>
      <c r="AG13" s="77"/>
      <c r="AH13" s="78">
        <v>550</v>
      </c>
      <c r="AI13" s="52"/>
      <c r="AJ13" s="78">
        <f t="shared" si="2"/>
        <v>2999</v>
      </c>
      <c r="AK13" s="77"/>
      <c r="AL13" s="63">
        <f t="shared" si="4"/>
        <v>5413</v>
      </c>
    </row>
    <row r="14" spans="2:38" x14ac:dyDescent="0.3">
      <c r="C14" s="36" t="s">
        <v>8</v>
      </c>
      <c r="D14" s="20"/>
      <c r="E14" s="29"/>
      <c r="F14" s="31">
        <v>626</v>
      </c>
      <c r="G14" s="32"/>
      <c r="H14" s="51">
        <v>756</v>
      </c>
      <c r="I14" s="32"/>
      <c r="J14" s="51">
        <v>852</v>
      </c>
      <c r="K14" s="32" t="s">
        <v>20</v>
      </c>
      <c r="L14" s="60">
        <f t="shared" si="3"/>
        <v>2234</v>
      </c>
      <c r="M14" s="29"/>
      <c r="N14" s="76">
        <v>593</v>
      </c>
      <c r="O14" s="77"/>
      <c r="P14" s="78">
        <v>991</v>
      </c>
      <c r="Q14" s="77"/>
      <c r="R14" s="78">
        <v>822</v>
      </c>
      <c r="S14" s="77" t="s">
        <v>20</v>
      </c>
      <c r="T14" s="63">
        <f>SUM(N14:S14)</f>
        <v>2406</v>
      </c>
      <c r="U14" s="29"/>
      <c r="V14" s="76">
        <v>1154</v>
      </c>
      <c r="W14" s="77"/>
      <c r="X14" s="78">
        <v>1126</v>
      </c>
      <c r="Y14" s="77"/>
      <c r="Z14" s="78">
        <v>1176</v>
      </c>
      <c r="AA14" s="77" t="s">
        <v>20</v>
      </c>
      <c r="AB14" s="78">
        <f t="shared" si="1"/>
        <v>3456</v>
      </c>
      <c r="AC14" s="29"/>
      <c r="AD14" s="76">
        <v>1132</v>
      </c>
      <c r="AE14" s="77"/>
      <c r="AF14" s="78">
        <v>963</v>
      </c>
      <c r="AG14" s="77"/>
      <c r="AH14" s="78">
        <f>1904-400</f>
        <v>1504</v>
      </c>
      <c r="AI14" s="77" t="s">
        <v>20</v>
      </c>
      <c r="AJ14" s="78">
        <f t="shared" si="2"/>
        <v>3599</v>
      </c>
      <c r="AK14" s="77"/>
      <c r="AL14" s="63">
        <f t="shared" si="4"/>
        <v>11695</v>
      </c>
    </row>
    <row r="15" spans="2:38" x14ac:dyDescent="0.3">
      <c r="C15" s="28" t="s">
        <v>24</v>
      </c>
      <c r="D15" s="20"/>
      <c r="E15" s="29"/>
      <c r="F15" s="31">
        <v>-758</v>
      </c>
      <c r="G15" s="32"/>
      <c r="H15" s="51">
        <v>-2</v>
      </c>
      <c r="I15" s="32"/>
      <c r="J15" s="51">
        <f>-13</f>
        <v>-13</v>
      </c>
      <c r="K15" s="32"/>
      <c r="L15" s="60">
        <f t="shared" si="3"/>
        <v>-773</v>
      </c>
      <c r="M15" s="29"/>
      <c r="N15" s="76">
        <v>-2</v>
      </c>
      <c r="O15" s="77"/>
      <c r="P15" s="78">
        <v>0</v>
      </c>
      <c r="Q15" s="77"/>
      <c r="R15" s="78">
        <v>2293</v>
      </c>
      <c r="S15" s="77"/>
      <c r="T15" s="63">
        <f t="shared" si="0"/>
        <v>2291</v>
      </c>
      <c r="U15" s="29"/>
      <c r="V15" s="76">
        <v>269</v>
      </c>
      <c r="W15" s="77"/>
      <c r="X15" s="78">
        <v>0</v>
      </c>
      <c r="Y15" s="77"/>
      <c r="Z15" s="78">
        <v>0</v>
      </c>
      <c r="AA15" s="77"/>
      <c r="AB15" s="78">
        <f t="shared" si="1"/>
        <v>269</v>
      </c>
      <c r="AC15" s="29"/>
      <c r="AD15" s="76">
        <v>0</v>
      </c>
      <c r="AE15" s="77"/>
      <c r="AF15" s="78">
        <v>0</v>
      </c>
      <c r="AG15" s="77"/>
      <c r="AH15" s="78">
        <v>0</v>
      </c>
      <c r="AI15" s="77"/>
      <c r="AJ15" s="78">
        <f t="shared" si="2"/>
        <v>0</v>
      </c>
      <c r="AK15" s="77"/>
      <c r="AL15" s="63">
        <f t="shared" si="4"/>
        <v>1787</v>
      </c>
    </row>
    <row r="16" spans="2:38" x14ac:dyDescent="0.3">
      <c r="B16" s="26" t="s">
        <v>9</v>
      </c>
      <c r="C16" s="20"/>
      <c r="D16" s="20"/>
      <c r="E16" s="20"/>
      <c r="F16" s="11"/>
      <c r="G16" s="32"/>
      <c r="H16" s="52"/>
      <c r="I16" s="32"/>
      <c r="J16" s="52"/>
      <c r="L16" s="60"/>
      <c r="M16" s="20"/>
      <c r="N16" s="52"/>
      <c r="O16" s="77"/>
      <c r="P16" s="52"/>
      <c r="Q16" s="77"/>
      <c r="R16" s="52"/>
      <c r="S16" s="74"/>
      <c r="T16" s="63"/>
      <c r="U16" s="20"/>
      <c r="V16" s="52"/>
      <c r="W16" s="77"/>
      <c r="X16" s="52"/>
      <c r="Y16" s="77"/>
      <c r="Z16" s="52"/>
      <c r="AA16" s="74"/>
      <c r="AB16" s="52"/>
      <c r="AC16" s="20"/>
      <c r="AD16" s="52"/>
      <c r="AE16" s="77"/>
      <c r="AF16" s="52"/>
      <c r="AG16" s="77"/>
      <c r="AH16" s="52"/>
      <c r="AI16" s="74"/>
      <c r="AJ16" s="52"/>
      <c r="AK16" s="74"/>
      <c r="AL16" s="63"/>
    </row>
    <row r="17" spans="2:38" x14ac:dyDescent="0.3">
      <c r="C17" s="36" t="s">
        <v>10</v>
      </c>
      <c r="D17" s="20"/>
      <c r="E17" s="29"/>
      <c r="F17" s="31">
        <v>162</v>
      </c>
      <c r="G17" s="32"/>
      <c r="H17" s="51">
        <v>420</v>
      </c>
      <c r="I17" s="32"/>
      <c r="J17" s="51">
        <v>355</v>
      </c>
      <c r="K17" s="32"/>
      <c r="L17" s="60">
        <f t="shared" si="3"/>
        <v>937</v>
      </c>
      <c r="M17" s="29"/>
      <c r="N17" s="76">
        <v>-228</v>
      </c>
      <c r="O17" s="77"/>
      <c r="P17" s="78">
        <v>256</v>
      </c>
      <c r="Q17" s="77"/>
      <c r="R17" s="78">
        <v>187</v>
      </c>
      <c r="S17" s="77"/>
      <c r="T17" s="63">
        <f>SUM(N17:S17)</f>
        <v>215</v>
      </c>
      <c r="U17" s="29"/>
      <c r="V17" s="76">
        <v>574</v>
      </c>
      <c r="W17" s="77"/>
      <c r="X17" s="78">
        <v>1212</v>
      </c>
      <c r="Y17" s="77"/>
      <c r="Z17" s="78">
        <v>986</v>
      </c>
      <c r="AA17" s="77"/>
      <c r="AB17" s="78">
        <f>SUM(V17:AA17)</f>
        <v>2772</v>
      </c>
      <c r="AC17" s="29"/>
      <c r="AD17" s="76">
        <v>254</v>
      </c>
      <c r="AE17" s="77"/>
      <c r="AF17" s="78">
        <v>-122</v>
      </c>
      <c r="AG17" s="77"/>
      <c r="AH17" s="78">
        <v>-107</v>
      </c>
      <c r="AI17" s="77"/>
      <c r="AJ17" s="78">
        <f>SUM(AD17:AI17)</f>
        <v>25</v>
      </c>
      <c r="AK17" s="77"/>
      <c r="AL17" s="63">
        <f t="shared" si="4"/>
        <v>3949</v>
      </c>
    </row>
    <row r="18" spans="2:38" x14ac:dyDescent="0.3">
      <c r="B18" s="26" t="s">
        <v>11</v>
      </c>
      <c r="C18" s="20"/>
      <c r="D18" s="20"/>
      <c r="E18" s="29"/>
      <c r="F18" s="38">
        <v>48</v>
      </c>
      <c r="G18" s="32"/>
      <c r="H18" s="58">
        <v>60</v>
      </c>
      <c r="I18" s="32"/>
      <c r="J18" s="58">
        <v>64</v>
      </c>
      <c r="L18" s="62">
        <f t="shared" si="3"/>
        <v>172</v>
      </c>
      <c r="M18" s="29"/>
      <c r="N18" s="79">
        <v>49</v>
      </c>
      <c r="O18" s="77"/>
      <c r="P18" s="80">
        <v>51</v>
      </c>
      <c r="Q18" s="77"/>
      <c r="R18" s="80">
        <v>67</v>
      </c>
      <c r="S18" s="74"/>
      <c r="T18" s="73">
        <f>SUM(N18:S18)</f>
        <v>167</v>
      </c>
      <c r="U18" s="29"/>
      <c r="V18" s="79">
        <v>57</v>
      </c>
      <c r="W18" s="77"/>
      <c r="X18" s="80">
        <v>59</v>
      </c>
      <c r="Y18" s="77"/>
      <c r="Z18" s="80">
        <v>59</v>
      </c>
      <c r="AA18" s="74"/>
      <c r="AB18" s="80">
        <f>SUM(V18:AA18)</f>
        <v>175</v>
      </c>
      <c r="AC18" s="29"/>
      <c r="AD18" s="79">
        <v>60</v>
      </c>
      <c r="AE18" s="77"/>
      <c r="AF18" s="80">
        <v>58</v>
      </c>
      <c r="AG18" s="77"/>
      <c r="AH18" s="80">
        <v>79</v>
      </c>
      <c r="AI18" s="74"/>
      <c r="AJ18" s="80">
        <f>SUM(AD18:AI18)</f>
        <v>197</v>
      </c>
      <c r="AK18" s="74"/>
      <c r="AL18" s="80">
        <f t="shared" si="4"/>
        <v>711</v>
      </c>
    </row>
    <row r="19" spans="2:38" x14ac:dyDescent="0.3">
      <c r="B19" s="26" t="s">
        <v>32</v>
      </c>
      <c r="C19" s="20"/>
      <c r="D19" s="20"/>
      <c r="E19" s="30"/>
      <c r="F19" s="35">
        <f>SUM(F10:F18)</f>
        <v>21508</v>
      </c>
      <c r="H19" s="35">
        <f>SUM(H10:H18)</f>
        <v>18587</v>
      </c>
      <c r="J19" s="35">
        <f>SUM(J10:J18)</f>
        <v>18181</v>
      </c>
      <c r="L19" s="35">
        <f>SUM(L10:L18)</f>
        <v>58276</v>
      </c>
      <c r="M19" s="30"/>
      <c r="N19" s="65">
        <f>SUM(N10:N18)</f>
        <v>15921</v>
      </c>
      <c r="O19" s="74"/>
      <c r="P19" s="65">
        <f>SUM(P10:P18)</f>
        <v>22954</v>
      </c>
      <c r="Q19" s="74"/>
      <c r="R19" s="65">
        <f>SUM(R10:R18)</f>
        <v>23653</v>
      </c>
      <c r="S19" s="74"/>
      <c r="T19" s="65">
        <f>SUM(T10:T18)</f>
        <v>62528</v>
      </c>
      <c r="U19" s="30"/>
      <c r="V19" s="65">
        <f>SUM(V10:V18)</f>
        <v>19037</v>
      </c>
      <c r="W19" s="74"/>
      <c r="X19" s="65">
        <f>SUM(X10:X18)</f>
        <v>19090</v>
      </c>
      <c r="Y19" s="74"/>
      <c r="Z19" s="65">
        <f>SUM(Z10:Z18)</f>
        <v>22597</v>
      </c>
      <c r="AA19" s="74"/>
      <c r="AB19" s="65">
        <f>SUM(AB10:AB18)</f>
        <v>60724</v>
      </c>
      <c r="AC19" s="30"/>
      <c r="AD19" s="65">
        <f>SUM(AD10:AD18)</f>
        <v>19286</v>
      </c>
      <c r="AE19" s="74"/>
      <c r="AF19" s="65">
        <f>SUM(AF10:AF18)</f>
        <v>20689</v>
      </c>
      <c r="AG19" s="74"/>
      <c r="AH19" s="65">
        <f>SUM(AH10:AH18)</f>
        <v>22048</v>
      </c>
      <c r="AI19" s="74"/>
      <c r="AJ19" s="65">
        <f>SUM(AJ10:AJ18)</f>
        <v>62023</v>
      </c>
      <c r="AK19" s="74"/>
      <c r="AL19" s="65">
        <f>SUM(AL10:AL18)</f>
        <v>243551</v>
      </c>
    </row>
    <row r="20" spans="2:38" x14ac:dyDescent="0.3">
      <c r="B20" s="26"/>
      <c r="C20" s="20"/>
      <c r="D20" s="20"/>
      <c r="E20" s="30"/>
      <c r="F20" s="35"/>
      <c r="H20" s="35"/>
      <c r="J20" s="35"/>
      <c r="L20" s="35"/>
      <c r="M20" s="30"/>
      <c r="N20" s="65"/>
      <c r="O20" s="74"/>
      <c r="P20" s="65"/>
      <c r="Q20" s="74"/>
      <c r="R20" s="65"/>
      <c r="S20" s="74"/>
      <c r="T20" s="65"/>
      <c r="U20" s="30"/>
      <c r="V20" s="65"/>
      <c r="W20" s="74"/>
      <c r="X20" s="65"/>
      <c r="Y20" s="74"/>
      <c r="Z20" s="65"/>
      <c r="AA20" s="74"/>
      <c r="AB20" s="65"/>
      <c r="AC20" s="30"/>
      <c r="AD20" s="65"/>
      <c r="AE20" s="74"/>
      <c r="AF20" s="65"/>
      <c r="AG20" s="74"/>
      <c r="AH20" s="65"/>
      <c r="AI20" s="74"/>
      <c r="AJ20" s="65"/>
      <c r="AK20" s="74"/>
      <c r="AL20" s="65"/>
    </row>
    <row r="21" spans="2:38" x14ac:dyDescent="0.3">
      <c r="B21" s="26" t="s">
        <v>22</v>
      </c>
      <c r="C21" s="20"/>
      <c r="D21" s="20"/>
      <c r="E21" s="30"/>
      <c r="F21" s="35"/>
      <c r="H21" s="35"/>
      <c r="J21" s="35"/>
      <c r="L21" s="35"/>
      <c r="M21" s="30"/>
      <c r="N21" s="65"/>
      <c r="O21" s="74"/>
      <c r="P21" s="65"/>
      <c r="Q21" s="74"/>
      <c r="R21" s="65"/>
      <c r="S21" s="74"/>
      <c r="T21" s="65"/>
      <c r="U21" s="30"/>
      <c r="V21" s="65"/>
      <c r="W21" s="74"/>
      <c r="X21" s="65"/>
      <c r="Y21" s="74"/>
      <c r="Z21" s="65"/>
      <c r="AA21" s="74"/>
      <c r="AB21" s="65"/>
      <c r="AC21" s="30"/>
      <c r="AD21" s="65"/>
      <c r="AE21" s="74"/>
      <c r="AF21" s="65"/>
      <c r="AG21" s="74"/>
      <c r="AH21" s="65"/>
      <c r="AI21" s="74"/>
      <c r="AJ21" s="65"/>
      <c r="AK21" s="74"/>
      <c r="AL21" s="65"/>
    </row>
    <row r="22" spans="2:38" x14ac:dyDescent="0.3">
      <c r="B22" s="26"/>
      <c r="C22" s="28" t="s">
        <v>5</v>
      </c>
      <c r="D22" s="20"/>
      <c r="E22" s="30"/>
      <c r="F22" s="35">
        <v>-2975</v>
      </c>
      <c r="H22" s="51">
        <v>1333</v>
      </c>
      <c r="J22" s="51">
        <f>-322+140</f>
        <v>-182</v>
      </c>
      <c r="L22" s="60">
        <f>SUM(F22:K22)</f>
        <v>-1824</v>
      </c>
      <c r="M22" s="30"/>
      <c r="N22" s="65">
        <v>9</v>
      </c>
      <c r="O22" s="74"/>
      <c r="P22" s="78">
        <v>-242</v>
      </c>
      <c r="Q22" s="74"/>
      <c r="R22" s="78">
        <v>-251</v>
      </c>
      <c r="S22" s="74"/>
      <c r="T22" s="63">
        <f>SUM(N22:S22)</f>
        <v>-484</v>
      </c>
      <c r="U22" s="30"/>
      <c r="V22" s="65">
        <v>55</v>
      </c>
      <c r="W22" s="74"/>
      <c r="X22" s="78">
        <v>193</v>
      </c>
      <c r="Y22" s="74"/>
      <c r="Z22" s="78">
        <v>-353</v>
      </c>
      <c r="AA22" s="74"/>
      <c r="AB22" s="78">
        <f>SUM(V22:AA22)</f>
        <v>-105</v>
      </c>
      <c r="AC22" s="30"/>
      <c r="AD22" s="65">
        <v>416</v>
      </c>
      <c r="AE22" s="74"/>
      <c r="AF22" s="78">
        <v>-102</v>
      </c>
      <c r="AG22" s="74"/>
      <c r="AH22" s="78">
        <v>-506</v>
      </c>
      <c r="AI22" s="74"/>
      <c r="AJ22" s="78">
        <f>SUM(AD22:AI22)</f>
        <v>-192</v>
      </c>
      <c r="AK22" s="74"/>
      <c r="AL22" s="63">
        <f>+T22+L22+AB22+AJ22</f>
        <v>-2605</v>
      </c>
    </row>
    <row r="23" spans="2:38" x14ac:dyDescent="0.3">
      <c r="B23" s="26"/>
      <c r="C23" s="28" t="s">
        <v>6</v>
      </c>
      <c r="D23" s="20"/>
      <c r="E23" s="30"/>
      <c r="F23" s="35">
        <v>41</v>
      </c>
      <c r="H23" s="51">
        <v>-14</v>
      </c>
      <c r="J23" s="51">
        <v>-6</v>
      </c>
      <c r="L23" s="60">
        <f>SUM(F23:K23)</f>
        <v>21</v>
      </c>
      <c r="M23" s="30"/>
      <c r="N23" s="65">
        <v>-18</v>
      </c>
      <c r="O23" s="74"/>
      <c r="P23" s="78">
        <v>-37</v>
      </c>
      <c r="Q23" s="74"/>
      <c r="R23" s="78">
        <v>-14</v>
      </c>
      <c r="S23" s="74"/>
      <c r="T23" s="63">
        <f>SUM(N23:S23)</f>
        <v>-69</v>
      </c>
      <c r="U23" s="30"/>
      <c r="V23" s="65">
        <v>5</v>
      </c>
      <c r="W23" s="74"/>
      <c r="X23" s="78">
        <v>-22</v>
      </c>
      <c r="Y23" s="74"/>
      <c r="Z23" s="78">
        <v>18</v>
      </c>
      <c r="AA23" s="74"/>
      <c r="AB23" s="78">
        <f>SUM(V23:AA23)</f>
        <v>1</v>
      </c>
      <c r="AC23" s="30"/>
      <c r="AD23" s="65">
        <v>34</v>
      </c>
      <c r="AE23" s="74"/>
      <c r="AF23" s="78">
        <v>-16</v>
      </c>
      <c r="AG23" s="74"/>
      <c r="AH23" s="78">
        <v>-20</v>
      </c>
      <c r="AI23" s="74"/>
      <c r="AJ23" s="78">
        <f>SUM(AD23:AI23)</f>
        <v>-2</v>
      </c>
      <c r="AK23" s="74"/>
      <c r="AL23" s="63">
        <f>+T23+L23+AB23+AJ23</f>
        <v>-49</v>
      </c>
    </row>
    <row r="24" spans="2:38" x14ac:dyDescent="0.3">
      <c r="B24" s="26"/>
      <c r="C24" s="28" t="s">
        <v>24</v>
      </c>
      <c r="D24" s="20"/>
      <c r="E24" s="30"/>
      <c r="F24" s="35">
        <v>428</v>
      </c>
      <c r="H24" s="51">
        <v>-6</v>
      </c>
      <c r="J24" s="51">
        <v>1</v>
      </c>
      <c r="L24" s="60">
        <f>SUM(F24:K24)</f>
        <v>423</v>
      </c>
      <c r="M24" s="30"/>
      <c r="N24" s="65">
        <v>0</v>
      </c>
      <c r="O24" s="74"/>
      <c r="P24" s="78">
        <v>0</v>
      </c>
      <c r="Q24" s="74"/>
      <c r="R24" s="78">
        <v>0</v>
      </c>
      <c r="S24" s="74"/>
      <c r="T24" s="63">
        <f>SUM(N24:S24)</f>
        <v>0</v>
      </c>
      <c r="U24" s="30"/>
      <c r="V24" s="65">
        <v>0</v>
      </c>
      <c r="W24" s="74"/>
      <c r="X24" s="78">
        <v>0</v>
      </c>
      <c r="Y24" s="74"/>
      <c r="Z24" s="78">
        <v>-1181</v>
      </c>
      <c r="AA24" s="74"/>
      <c r="AB24" s="78">
        <f>SUM(V24:AA24)</f>
        <v>-1181</v>
      </c>
      <c r="AC24" s="30"/>
      <c r="AD24" s="65">
        <v>0</v>
      </c>
      <c r="AE24" s="74"/>
      <c r="AF24" s="78">
        <v>0</v>
      </c>
      <c r="AG24" s="74"/>
      <c r="AH24" s="78">
        <v>0</v>
      </c>
      <c r="AI24" s="74"/>
      <c r="AJ24" s="78">
        <f>SUM(AD24:AI24)</f>
        <v>0</v>
      </c>
      <c r="AK24" s="74"/>
      <c r="AL24" s="63">
        <f>+T24+L24+AB24+AJ24</f>
        <v>-758</v>
      </c>
    </row>
    <row r="25" spans="2:38" x14ac:dyDescent="0.3">
      <c r="B25" s="26"/>
      <c r="C25" s="36" t="s">
        <v>10</v>
      </c>
      <c r="D25" s="20"/>
      <c r="E25" s="30"/>
      <c r="F25" s="34">
        <v>-255</v>
      </c>
      <c r="H25" s="58">
        <v>195</v>
      </c>
      <c r="J25" s="58">
        <v>-372</v>
      </c>
      <c r="L25" s="62">
        <f>SUM(F25:K25)</f>
        <v>-432</v>
      </c>
      <c r="M25" s="30"/>
      <c r="N25" s="53">
        <v>229</v>
      </c>
      <c r="O25" s="74"/>
      <c r="P25" s="53">
        <v>-148</v>
      </c>
      <c r="Q25" s="74"/>
      <c r="R25" s="80">
        <v>543</v>
      </c>
      <c r="S25" s="74"/>
      <c r="T25" s="73">
        <f>SUM(N25:S25)</f>
        <v>624</v>
      </c>
      <c r="U25" s="30"/>
      <c r="V25" s="53">
        <v>-561</v>
      </c>
      <c r="W25" s="74"/>
      <c r="X25" s="53">
        <v>931</v>
      </c>
      <c r="Y25" s="74"/>
      <c r="Z25" s="80">
        <v>-914</v>
      </c>
      <c r="AA25" s="74"/>
      <c r="AB25" s="80">
        <f>SUM(V25:AA25)</f>
        <v>-544</v>
      </c>
      <c r="AC25" s="30"/>
      <c r="AD25" s="53">
        <v>-50</v>
      </c>
      <c r="AE25" s="74"/>
      <c r="AF25" s="53">
        <v>1</v>
      </c>
      <c r="AG25" s="74"/>
      <c r="AH25" s="80">
        <v>177</v>
      </c>
      <c r="AI25" s="74"/>
      <c r="AJ25" s="80">
        <f>SUM(AD25:AI25)</f>
        <v>128</v>
      </c>
      <c r="AK25" s="74"/>
      <c r="AL25" s="80">
        <f>+T25+L25+AB25+AJ25</f>
        <v>-224</v>
      </c>
    </row>
    <row r="26" spans="2:38" x14ac:dyDescent="0.3">
      <c r="B26" s="26" t="s">
        <v>23</v>
      </c>
      <c r="C26" s="36"/>
      <c r="D26" s="20"/>
      <c r="E26" s="30"/>
      <c r="F26" s="35">
        <f>SUM(F22:F25)</f>
        <v>-2761</v>
      </c>
      <c r="H26" s="64">
        <f>SUM(H22:H25)</f>
        <v>1508</v>
      </c>
      <c r="J26" s="64">
        <f>SUM(J22:J25)</f>
        <v>-559</v>
      </c>
      <c r="L26" s="65">
        <f>SUM(L22:L25)</f>
        <v>-1812</v>
      </c>
      <c r="M26" s="30"/>
      <c r="N26" s="65">
        <f>SUM(N22:N25)</f>
        <v>220</v>
      </c>
      <c r="O26" s="74"/>
      <c r="P26" s="81">
        <f>SUM(P22:P25)</f>
        <v>-427</v>
      </c>
      <c r="Q26" s="74"/>
      <c r="R26" s="81">
        <f>SUM(R22:R25)</f>
        <v>278</v>
      </c>
      <c r="S26" s="74"/>
      <c r="T26" s="65">
        <f>SUM(T22:T25)</f>
        <v>71</v>
      </c>
      <c r="U26" s="30"/>
      <c r="V26" s="65">
        <f>SUM(V22:V25)</f>
        <v>-501</v>
      </c>
      <c r="W26" s="74"/>
      <c r="X26" s="81">
        <f>SUM(X22:X25)</f>
        <v>1102</v>
      </c>
      <c r="Y26" s="74"/>
      <c r="Z26" s="81">
        <f>SUM(Z22:Z25)</f>
        <v>-2430</v>
      </c>
      <c r="AA26" s="74"/>
      <c r="AB26" s="81">
        <f>SUM(AB22:AB25)</f>
        <v>-1829</v>
      </c>
      <c r="AC26" s="30"/>
      <c r="AD26" s="65">
        <f>SUM(AD22:AD25)</f>
        <v>400</v>
      </c>
      <c r="AE26" s="74"/>
      <c r="AF26" s="81">
        <f>SUM(AF22:AF25)</f>
        <v>-117</v>
      </c>
      <c r="AG26" s="74"/>
      <c r="AH26" s="81">
        <f>SUM(AH22:AH25)</f>
        <v>-349</v>
      </c>
      <c r="AI26" s="74"/>
      <c r="AJ26" s="81">
        <f>SUM(AJ22:AJ25)</f>
        <v>-66</v>
      </c>
      <c r="AK26" s="74"/>
      <c r="AL26" s="65">
        <f>SUM(AL22:AL25)</f>
        <v>-3636</v>
      </c>
    </row>
    <row r="27" spans="2:38" x14ac:dyDescent="0.3">
      <c r="B27" s="26"/>
      <c r="C27" s="36"/>
      <c r="D27" s="20"/>
      <c r="E27" s="30"/>
      <c r="F27" s="35"/>
      <c r="H27" s="64"/>
      <c r="J27" s="64"/>
      <c r="L27" s="65"/>
      <c r="M27" s="30"/>
      <c r="N27" s="65"/>
      <c r="O27" s="74"/>
      <c r="P27" s="81"/>
      <c r="Q27" s="74"/>
      <c r="R27" s="81"/>
      <c r="S27" s="74"/>
      <c r="T27" s="65"/>
      <c r="U27" s="30"/>
      <c r="V27" s="65"/>
      <c r="W27" s="74"/>
      <c r="X27" s="81"/>
      <c r="Y27" s="74"/>
      <c r="Z27" s="81"/>
      <c r="AA27" s="74"/>
      <c r="AB27" s="65"/>
      <c r="AC27" s="30"/>
      <c r="AD27" s="65"/>
      <c r="AE27" s="74"/>
      <c r="AF27" s="81"/>
      <c r="AG27" s="74"/>
      <c r="AH27" s="81"/>
      <c r="AI27" s="74"/>
      <c r="AJ27" s="65"/>
      <c r="AK27" s="74"/>
      <c r="AL27" s="65"/>
    </row>
    <row r="28" spans="2:38" x14ac:dyDescent="0.3">
      <c r="B28" s="26" t="s">
        <v>12</v>
      </c>
      <c r="C28" s="20"/>
      <c r="D28" s="20"/>
      <c r="E28" s="30"/>
      <c r="F28" s="41">
        <f>+F19+F26</f>
        <v>18747</v>
      </c>
      <c r="H28" s="41">
        <f>+H19+H26</f>
        <v>20095</v>
      </c>
      <c r="J28" s="41">
        <f>+J19+J26</f>
        <v>17622</v>
      </c>
      <c r="L28" s="41">
        <f>+L19+L26</f>
        <v>56464</v>
      </c>
      <c r="N28" s="41">
        <f>+N19+N26</f>
        <v>16141</v>
      </c>
      <c r="P28" s="41">
        <f>+P19+P26</f>
        <v>22527</v>
      </c>
      <c r="R28" s="41">
        <f>+R19+R26</f>
        <v>23931</v>
      </c>
      <c r="T28" s="41">
        <f>+T19+T26</f>
        <v>62599</v>
      </c>
      <c r="V28" s="41">
        <f>+V19+V26</f>
        <v>18536</v>
      </c>
      <c r="X28" s="41">
        <f>+X19+X26</f>
        <v>20192</v>
      </c>
      <c r="Z28" s="41">
        <f>+Z19+Z26</f>
        <v>20167</v>
      </c>
      <c r="AB28" s="41">
        <f>+AB19+AB26</f>
        <v>58895</v>
      </c>
      <c r="AD28" s="41">
        <f>+AD19+AD26</f>
        <v>19686</v>
      </c>
      <c r="AF28" s="41">
        <f>+AF19+AF26</f>
        <v>20572</v>
      </c>
      <c r="AH28" s="41">
        <f>+AH19+AH26</f>
        <v>21699</v>
      </c>
      <c r="AJ28" s="41">
        <f>+AJ19+AJ26</f>
        <v>61957</v>
      </c>
      <c r="AL28" s="41">
        <f>+AL19+AL26</f>
        <v>239915</v>
      </c>
    </row>
    <row r="29" spans="2:38" x14ac:dyDescent="0.3">
      <c r="B29" s="26"/>
      <c r="C29" s="20"/>
      <c r="D29" s="20"/>
      <c r="E29" s="30"/>
      <c r="F29" s="35"/>
      <c r="H29" s="35"/>
      <c r="J29" s="35"/>
      <c r="L29" s="35"/>
      <c r="M29" s="30"/>
      <c r="N29" s="65"/>
      <c r="O29" s="74"/>
      <c r="P29" s="65"/>
      <c r="Q29" s="74"/>
      <c r="R29" s="65"/>
      <c r="S29" s="74"/>
      <c r="T29" s="65"/>
      <c r="U29" s="30"/>
      <c r="V29" s="65"/>
      <c r="W29" s="74"/>
      <c r="X29" s="65"/>
      <c r="Y29" s="74"/>
      <c r="Z29" s="65"/>
      <c r="AA29" s="74"/>
      <c r="AB29" s="65"/>
      <c r="AC29" s="30"/>
      <c r="AD29" s="65"/>
      <c r="AE29" s="74"/>
      <c r="AF29" s="65"/>
      <c r="AG29" s="74"/>
      <c r="AH29" s="65"/>
      <c r="AI29" s="74"/>
      <c r="AJ29" s="65"/>
      <c r="AK29" s="74"/>
      <c r="AL29" s="65"/>
    </row>
    <row r="30" spans="2:38" x14ac:dyDescent="0.3">
      <c r="B30" s="26" t="s">
        <v>44</v>
      </c>
      <c r="C30" s="20"/>
      <c r="D30" s="20"/>
      <c r="E30" s="30"/>
      <c r="F30" s="11"/>
      <c r="H30" s="27"/>
      <c r="J30" s="27"/>
      <c r="L30" s="27"/>
      <c r="M30" s="30"/>
      <c r="N30" s="52"/>
      <c r="O30" s="74"/>
      <c r="P30" s="52"/>
      <c r="Q30" s="74"/>
      <c r="R30" s="52"/>
      <c r="S30" s="74"/>
      <c r="T30" s="52"/>
      <c r="U30" s="30"/>
      <c r="V30" s="52"/>
      <c r="W30" s="74"/>
      <c r="X30" s="52"/>
      <c r="Y30" s="74"/>
      <c r="Z30" s="52"/>
      <c r="AA30" s="74"/>
      <c r="AB30" s="52"/>
      <c r="AC30" s="30"/>
      <c r="AD30" s="52"/>
      <c r="AE30" s="74"/>
      <c r="AF30" s="52"/>
      <c r="AG30" s="74"/>
      <c r="AH30" s="52"/>
      <c r="AI30" s="74"/>
      <c r="AJ30" s="52"/>
      <c r="AK30" s="74"/>
      <c r="AL30" s="52"/>
    </row>
    <row r="31" spans="2:38" x14ac:dyDescent="0.3">
      <c r="B31" s="20"/>
      <c r="C31" s="20" t="s">
        <v>19</v>
      </c>
      <c r="D31" s="20"/>
      <c r="E31" s="30"/>
      <c r="F31" s="60">
        <f>14408-2768</f>
        <v>11640</v>
      </c>
      <c r="G31" s="32"/>
      <c r="H31" s="60">
        <f>13244-500</f>
        <v>12744</v>
      </c>
      <c r="I31" s="32"/>
      <c r="J31" s="60">
        <f>13377-211-500+450</f>
        <v>13116</v>
      </c>
      <c r="K31" s="40"/>
      <c r="L31" s="60">
        <f>SUM(F31:K31)</f>
        <v>37500</v>
      </c>
      <c r="M31" s="30"/>
      <c r="N31" s="63">
        <v>12460</v>
      </c>
      <c r="O31" s="77"/>
      <c r="P31" s="63">
        <v>14220</v>
      </c>
      <c r="Q31" s="77"/>
      <c r="R31" s="63">
        <f>13737+750</f>
        <v>14487</v>
      </c>
      <c r="S31" s="82"/>
      <c r="T31" s="63">
        <f>SUM(N31:S31)</f>
        <v>41167</v>
      </c>
      <c r="U31" s="30"/>
      <c r="V31" s="63">
        <v>13885</v>
      </c>
      <c r="W31" s="77"/>
      <c r="X31" s="63">
        <v>14048</v>
      </c>
      <c r="Y31" s="77"/>
      <c r="Z31" s="63">
        <f>12784-500</f>
        <v>12284</v>
      </c>
      <c r="AA31" s="82"/>
      <c r="AB31" s="63">
        <f>SUM(V31:AA31)</f>
        <v>40217</v>
      </c>
      <c r="AC31" s="30"/>
      <c r="AD31" s="63">
        <f>+'IncomeSum2000-MFR'!AD38</f>
        <v>14295</v>
      </c>
      <c r="AE31" s="77"/>
      <c r="AF31" s="63">
        <f>+'IncomeSum2000-MFR'!AF38</f>
        <v>13003</v>
      </c>
      <c r="AG31" s="77"/>
      <c r="AH31" s="63">
        <f>+'IncomeSum2000-MFR'!AH38</f>
        <v>14908</v>
      </c>
      <c r="AI31" s="82"/>
      <c r="AJ31" s="63">
        <f>SUM(AD31:AI31)</f>
        <v>42206</v>
      </c>
      <c r="AK31" s="82"/>
      <c r="AL31" s="63">
        <f>+T31+L31+AB31+AJ31</f>
        <v>161090</v>
      </c>
    </row>
    <row r="32" spans="2:38" x14ac:dyDescent="0.3">
      <c r="B32" s="20"/>
      <c r="C32" s="20" t="s">
        <v>13</v>
      </c>
      <c r="D32" s="20"/>
      <c r="E32" s="30"/>
      <c r="F32" s="61">
        <v>2768</v>
      </c>
      <c r="H32" s="38">
        <v>2819</v>
      </c>
      <c r="J32" s="38">
        <v>2805</v>
      </c>
      <c r="L32" s="62">
        <f>SUM(F32:K32)</f>
        <v>8392</v>
      </c>
      <c r="M32" s="30"/>
      <c r="N32" s="83">
        <v>2810</v>
      </c>
      <c r="O32" s="74"/>
      <c r="P32" s="79">
        <v>2813</v>
      </c>
      <c r="Q32" s="74"/>
      <c r="R32" s="79">
        <v>2844</v>
      </c>
      <c r="S32" s="74"/>
      <c r="T32" s="73">
        <f>SUM(N32:S32)</f>
        <v>8467</v>
      </c>
      <c r="U32" s="30"/>
      <c r="V32" s="83">
        <v>2807</v>
      </c>
      <c r="W32" s="74"/>
      <c r="X32" s="79">
        <v>2771</v>
      </c>
      <c r="Y32" s="74"/>
      <c r="Z32" s="79">
        <v>2845</v>
      </c>
      <c r="AA32" s="74"/>
      <c r="AB32" s="73">
        <f>SUM(V32:AA32)</f>
        <v>8423</v>
      </c>
      <c r="AC32" s="30"/>
      <c r="AD32" s="83">
        <f>-'IncomeSum2000-MFR'!AD44</f>
        <v>2883</v>
      </c>
      <c r="AE32" s="74"/>
      <c r="AF32" s="83">
        <f>-'IncomeSum2000-MFR'!AF44</f>
        <v>2870</v>
      </c>
      <c r="AG32" s="74"/>
      <c r="AH32" s="83">
        <f>-'IncomeSum2000-MFR'!AH44</f>
        <v>2833</v>
      </c>
      <c r="AI32" s="74"/>
      <c r="AJ32" s="73">
        <f>SUM(AD32:AI32)</f>
        <v>8586</v>
      </c>
      <c r="AK32" s="74"/>
      <c r="AL32" s="80">
        <f>+T32+L32+AB32+AJ32</f>
        <v>33868</v>
      </c>
    </row>
    <row r="33" spans="2:38" x14ac:dyDescent="0.3">
      <c r="B33" s="28"/>
      <c r="C33" s="20"/>
      <c r="D33" s="20"/>
      <c r="E33" s="30"/>
      <c r="F33" s="38">
        <f>ROUND(SUM(F31:F32),0)</f>
        <v>14408</v>
      </c>
      <c r="H33" s="38">
        <f>ROUND(SUM(H31:H32),0)</f>
        <v>15563</v>
      </c>
      <c r="J33" s="38">
        <f>ROUND(SUM(J31:J32),0)</f>
        <v>15921</v>
      </c>
      <c r="L33" s="38">
        <f>ROUND(SUM(L31:L32),0)</f>
        <v>45892</v>
      </c>
      <c r="M33" s="30"/>
      <c r="N33" s="79">
        <f>ROUND(SUM(N31:N32),0)</f>
        <v>15270</v>
      </c>
      <c r="O33" s="74"/>
      <c r="P33" s="79">
        <f>ROUND(SUM(P31:P32),0)</f>
        <v>17033</v>
      </c>
      <c r="Q33" s="74"/>
      <c r="R33" s="79">
        <f>ROUND(SUM(R31:R32),0)</f>
        <v>17331</v>
      </c>
      <c r="S33" s="74"/>
      <c r="T33" s="79">
        <f>ROUND(SUM(T31:T32),0)</f>
        <v>49634</v>
      </c>
      <c r="U33" s="30"/>
      <c r="V33" s="79">
        <f>ROUND(SUM(V31:V32),0)</f>
        <v>16692</v>
      </c>
      <c r="W33" s="74"/>
      <c r="X33" s="79">
        <f>ROUND(SUM(X31:X32),0)</f>
        <v>16819</v>
      </c>
      <c r="Y33" s="74"/>
      <c r="Z33" s="79">
        <f>ROUND(SUM(Z31:Z32),0)</f>
        <v>15129</v>
      </c>
      <c r="AA33" s="74"/>
      <c r="AB33" s="79">
        <f>ROUND(SUM(AB31:AB32),0)</f>
        <v>48640</v>
      </c>
      <c r="AC33" s="30"/>
      <c r="AD33" s="79">
        <f>ROUND(SUM(AD31:AD32),0)</f>
        <v>17178</v>
      </c>
      <c r="AE33" s="74"/>
      <c r="AF33" s="79">
        <f>ROUND(SUM(AF31:AF32),0)</f>
        <v>15873</v>
      </c>
      <c r="AG33" s="74"/>
      <c r="AH33" s="79">
        <f>ROUND(SUM(AH31:AH32),0)</f>
        <v>17741</v>
      </c>
      <c r="AI33" s="74"/>
      <c r="AJ33" s="79">
        <f>ROUND(SUM(AJ31:AJ32),0)</f>
        <v>50792</v>
      </c>
      <c r="AK33" s="74"/>
      <c r="AL33" s="79">
        <f>ROUND(SUM(AL31:AL32),0)</f>
        <v>194958</v>
      </c>
    </row>
    <row r="34" spans="2:38" x14ac:dyDescent="0.3">
      <c r="B34" s="20"/>
      <c r="C34" s="20"/>
      <c r="D34" s="20"/>
      <c r="E34" s="30"/>
      <c r="F34" s="11"/>
      <c r="H34" s="11"/>
      <c r="J34" s="11"/>
      <c r="L34" s="27"/>
      <c r="M34" s="30"/>
      <c r="N34" s="52"/>
      <c r="O34" s="74"/>
      <c r="P34" s="52"/>
      <c r="Q34" s="74"/>
      <c r="R34" s="52"/>
      <c r="S34" s="74"/>
      <c r="T34" s="52"/>
      <c r="U34" s="30"/>
      <c r="V34" s="52"/>
      <c r="W34" s="74"/>
      <c r="X34" s="52"/>
      <c r="Y34" s="74"/>
      <c r="Z34" s="52"/>
      <c r="AA34" s="74"/>
      <c r="AB34" s="52"/>
      <c r="AC34" s="30"/>
      <c r="AD34" s="52"/>
      <c r="AE34" s="74"/>
      <c r="AF34" s="52"/>
      <c r="AG34" s="74"/>
      <c r="AH34" s="52"/>
      <c r="AI34" s="74"/>
      <c r="AJ34" s="52"/>
      <c r="AK34" s="74"/>
      <c r="AL34" s="52"/>
    </row>
    <row r="35" spans="2:38" x14ac:dyDescent="0.3">
      <c r="B35" s="26" t="s">
        <v>14</v>
      </c>
      <c r="C35" s="20"/>
      <c r="D35" s="20"/>
      <c r="E35" s="30"/>
      <c r="F35" s="34">
        <f>ROUND(F28-F33,0)</f>
        <v>4339</v>
      </c>
      <c r="H35" s="34">
        <f>ROUND(H28-H33,0)</f>
        <v>4532</v>
      </c>
      <c r="J35" s="34">
        <f>ROUND(J28-J33,0)</f>
        <v>1701</v>
      </c>
      <c r="L35" s="34">
        <f>ROUND(L28-L33,0)</f>
        <v>10572</v>
      </c>
      <c r="M35" s="30"/>
      <c r="N35" s="53">
        <f>ROUND(N28-N33,0)</f>
        <v>871</v>
      </c>
      <c r="O35" s="74"/>
      <c r="P35" s="53">
        <f>ROUND(P28-P33,0)</f>
        <v>5494</v>
      </c>
      <c r="Q35" s="74"/>
      <c r="R35" s="53">
        <f>ROUND(R28-R33,0)</f>
        <v>6600</v>
      </c>
      <c r="S35" s="74"/>
      <c r="T35" s="53">
        <f>ROUND(T28-T33,0)</f>
        <v>12965</v>
      </c>
      <c r="U35" s="30"/>
      <c r="V35" s="53">
        <f>ROUND(V28-V33,0)</f>
        <v>1844</v>
      </c>
      <c r="W35" s="74"/>
      <c r="X35" s="53">
        <f>ROUND(X28-X33,0)</f>
        <v>3373</v>
      </c>
      <c r="Y35" s="74"/>
      <c r="Z35" s="53">
        <f>ROUND(Z28-Z33,0)</f>
        <v>5038</v>
      </c>
      <c r="AA35" s="74"/>
      <c r="AB35" s="53">
        <f>ROUND(AB28-AB33,0)</f>
        <v>10255</v>
      </c>
      <c r="AC35" s="30"/>
      <c r="AD35" s="53">
        <f>ROUND(AD28-AD33,0)</f>
        <v>2508</v>
      </c>
      <c r="AE35" s="74"/>
      <c r="AF35" s="53">
        <f>ROUND(AF28-AF33,0)</f>
        <v>4699</v>
      </c>
      <c r="AG35" s="74"/>
      <c r="AH35" s="53">
        <f>ROUND(AH28-AH33,0)</f>
        <v>3958</v>
      </c>
      <c r="AI35" s="74"/>
      <c r="AJ35" s="53">
        <f>ROUND(AJ28-AJ33,0)</f>
        <v>11165</v>
      </c>
      <c r="AK35" s="74"/>
      <c r="AL35" s="53">
        <f>ROUND(AL28-AL33,0)</f>
        <v>44957</v>
      </c>
    </row>
    <row r="36" spans="2:38" x14ac:dyDescent="0.3">
      <c r="B36" s="26"/>
      <c r="C36" s="20"/>
      <c r="D36" s="20"/>
      <c r="E36" s="30"/>
      <c r="F36" s="35"/>
      <c r="H36" s="39"/>
      <c r="J36" s="39"/>
      <c r="L36" s="39"/>
      <c r="M36" s="30"/>
      <c r="N36" s="65"/>
      <c r="O36" s="74"/>
      <c r="P36" s="65"/>
      <c r="Q36" s="74"/>
      <c r="R36" s="65"/>
      <c r="S36" s="74"/>
      <c r="T36" s="65"/>
      <c r="U36" s="30"/>
      <c r="V36" s="65"/>
      <c r="W36" s="74"/>
      <c r="X36" s="65"/>
      <c r="Y36" s="74"/>
      <c r="Z36" s="65"/>
      <c r="AA36" s="74"/>
      <c r="AB36" s="65"/>
      <c r="AC36" s="30"/>
      <c r="AD36" s="65"/>
      <c r="AE36" s="74"/>
      <c r="AF36" s="65"/>
      <c r="AG36" s="74"/>
      <c r="AH36" s="65"/>
      <c r="AI36" s="74"/>
      <c r="AJ36" s="65"/>
      <c r="AK36" s="74"/>
      <c r="AL36" s="65"/>
    </row>
    <row r="37" spans="2:38" x14ac:dyDescent="0.3">
      <c r="B37" s="37" t="s">
        <v>15</v>
      </c>
      <c r="C37" s="20"/>
      <c r="D37" s="20"/>
      <c r="E37" s="30"/>
      <c r="F37" s="11"/>
      <c r="H37" s="27"/>
      <c r="J37" s="27"/>
      <c r="K37" s="30"/>
      <c r="L37" s="27"/>
      <c r="M37" s="30"/>
      <c r="N37" s="52"/>
      <c r="O37" s="74"/>
      <c r="P37" s="52"/>
      <c r="Q37" s="74"/>
      <c r="R37" s="52"/>
      <c r="S37" s="75"/>
      <c r="T37" s="52"/>
      <c r="U37" s="30"/>
      <c r="V37" s="52"/>
      <c r="W37" s="74"/>
      <c r="X37" s="52"/>
      <c r="Y37" s="74"/>
      <c r="Z37" s="52"/>
      <c r="AA37" s="75"/>
      <c r="AB37" s="52"/>
      <c r="AC37" s="30"/>
      <c r="AD37" s="52"/>
      <c r="AE37" s="74"/>
      <c r="AF37" s="52"/>
      <c r="AG37" s="74"/>
      <c r="AH37" s="52"/>
      <c r="AI37" s="75"/>
      <c r="AJ37" s="52"/>
      <c r="AK37" s="75"/>
      <c r="AL37" s="52"/>
    </row>
    <row r="38" spans="2:38" x14ac:dyDescent="0.3">
      <c r="B38" s="20"/>
      <c r="C38" s="36" t="s">
        <v>18</v>
      </c>
      <c r="D38" s="20"/>
      <c r="E38" s="30"/>
      <c r="F38" s="60">
        <f>-2642+44</f>
        <v>-2598</v>
      </c>
      <c r="H38" s="60">
        <v>-2381</v>
      </c>
      <c r="J38" s="60">
        <f>79-2571</f>
        <v>-2492</v>
      </c>
      <c r="K38" s="27"/>
      <c r="L38" s="60">
        <f>SUM(F38:K38)</f>
        <v>-7471</v>
      </c>
      <c r="M38" s="30"/>
      <c r="N38" s="63">
        <f>108-2560</f>
        <v>-2452</v>
      </c>
      <c r="O38" s="74"/>
      <c r="P38" s="63">
        <f>135-2574</f>
        <v>-2439</v>
      </c>
      <c r="Q38" s="74"/>
      <c r="R38" s="63">
        <f>-2559+201</f>
        <v>-2358</v>
      </c>
      <c r="S38" s="52"/>
      <c r="T38" s="63">
        <f>SUM(N38:S38)</f>
        <v>-7249</v>
      </c>
      <c r="U38" s="30"/>
      <c r="V38" s="63">
        <v>-2438</v>
      </c>
      <c r="W38" s="74"/>
      <c r="X38" s="63">
        <v>-2203</v>
      </c>
      <c r="Y38" s="74"/>
      <c r="Z38" s="63">
        <f>-2525+174</f>
        <v>-2351</v>
      </c>
      <c r="AA38" s="52"/>
      <c r="AB38" s="63">
        <f>SUM(V38:AA38)</f>
        <v>-6992</v>
      </c>
      <c r="AC38" s="30"/>
      <c r="AD38" s="63">
        <f>+'IncomeSum2000-MFR'!AD43</f>
        <v>-2462</v>
      </c>
      <c r="AE38" s="74"/>
      <c r="AF38" s="63">
        <f>+'IncomeSum2000-MFR'!AF43</f>
        <v>-2260</v>
      </c>
      <c r="AG38" s="74"/>
      <c r="AH38" s="63">
        <f>+'IncomeSum2000-MFR'!AH43</f>
        <v>-2346</v>
      </c>
      <c r="AI38" s="52"/>
      <c r="AJ38" s="63">
        <f>SUM(AD38:AI38)</f>
        <v>-7068</v>
      </c>
      <c r="AK38" s="52"/>
      <c r="AL38" s="63">
        <f>+T38+L38+AB38+AJ38</f>
        <v>-28780</v>
      </c>
    </row>
    <row r="39" spans="2:38" x14ac:dyDescent="0.3">
      <c r="B39" s="20"/>
      <c r="C39" s="36" t="s">
        <v>16</v>
      </c>
      <c r="D39" s="20"/>
      <c r="E39" s="30"/>
      <c r="F39" s="60">
        <v>-368</v>
      </c>
      <c r="H39" s="60">
        <v>-275</v>
      </c>
      <c r="J39" s="60">
        <v>-237</v>
      </c>
      <c r="K39" s="30"/>
      <c r="L39" s="62">
        <f>SUM(F39:K39)</f>
        <v>-880</v>
      </c>
      <c r="M39" s="30"/>
      <c r="N39" s="63">
        <v>-481</v>
      </c>
      <c r="O39" s="74"/>
      <c r="P39" s="63">
        <v>-493</v>
      </c>
      <c r="Q39" s="74"/>
      <c r="R39" s="63">
        <v>146</v>
      </c>
      <c r="S39" s="75"/>
      <c r="T39" s="73">
        <f>SUM(N39:S39)</f>
        <v>-828</v>
      </c>
      <c r="U39" s="30"/>
      <c r="V39" s="63">
        <v>-229</v>
      </c>
      <c r="W39" s="74"/>
      <c r="X39" s="63">
        <v>214</v>
      </c>
      <c r="Y39" s="74"/>
      <c r="Z39" s="63">
        <v>-237</v>
      </c>
      <c r="AA39" s="75"/>
      <c r="AB39" s="73">
        <f>SUM(V39:AA39)</f>
        <v>-252</v>
      </c>
      <c r="AC39" s="30"/>
      <c r="AD39" s="63">
        <f>+'IncomeSum2000-MFR'!AD45</f>
        <v>-327</v>
      </c>
      <c r="AE39" s="74"/>
      <c r="AF39" s="63">
        <f>+'IncomeSum2000-MFR'!AF45</f>
        <v>-51</v>
      </c>
      <c r="AG39" s="74"/>
      <c r="AH39" s="63">
        <f>+'IncomeSum2000-MFR'!AH45</f>
        <v>-6</v>
      </c>
      <c r="AI39" s="75"/>
      <c r="AJ39" s="73">
        <f>SUM(AD39:AI39)</f>
        <v>-384</v>
      </c>
      <c r="AK39" s="75"/>
      <c r="AL39" s="80">
        <f>+T39+L39+AB39+AJ39</f>
        <v>-2344</v>
      </c>
    </row>
    <row r="40" spans="2:38" x14ac:dyDescent="0.3">
      <c r="B40" s="20"/>
      <c r="C40" s="20"/>
      <c r="D40" s="20"/>
      <c r="E40" s="30"/>
      <c r="F40" s="41">
        <f>ROUND(SUM(F38:F39),0)</f>
        <v>-2966</v>
      </c>
      <c r="H40" s="41">
        <f>ROUND(SUM(H38:H39),0)</f>
        <v>-2656</v>
      </c>
      <c r="J40" s="41">
        <f>ROUND(SUM(J38:J39),0)</f>
        <v>-2729</v>
      </c>
      <c r="K40" s="30"/>
      <c r="L40" s="41">
        <f>ROUND(SUM(L38:L39),0)</f>
        <v>-8351</v>
      </c>
      <c r="M40" s="30"/>
      <c r="N40" s="84">
        <f>ROUND(SUM(N38:N39),0)</f>
        <v>-2933</v>
      </c>
      <c r="O40" s="74"/>
      <c r="P40" s="84">
        <f>ROUND(SUM(P38:P39),0)</f>
        <v>-2932</v>
      </c>
      <c r="Q40" s="74"/>
      <c r="R40" s="84">
        <f>ROUND(SUM(R38:R39),0)</f>
        <v>-2212</v>
      </c>
      <c r="S40" s="75"/>
      <c r="T40" s="84">
        <f>ROUND(SUM(T38:T39),0)</f>
        <v>-8077</v>
      </c>
      <c r="U40" s="30"/>
      <c r="V40" s="84">
        <f>ROUND(SUM(V38:V39),0)</f>
        <v>-2667</v>
      </c>
      <c r="W40" s="74"/>
      <c r="X40" s="84">
        <f>ROUND(SUM(X38:X39),0)</f>
        <v>-1989</v>
      </c>
      <c r="Y40" s="74"/>
      <c r="Z40" s="84">
        <f>ROUND(SUM(Z38:Z39),0)</f>
        <v>-2588</v>
      </c>
      <c r="AA40" s="75"/>
      <c r="AB40" s="84">
        <f>ROUND(SUM(AB38:AB39),0)</f>
        <v>-7244</v>
      </c>
      <c r="AC40" s="30"/>
      <c r="AD40" s="84">
        <f>ROUND(SUM(AD38:AD39),0)</f>
        <v>-2789</v>
      </c>
      <c r="AE40" s="74"/>
      <c r="AF40" s="84">
        <f>ROUND(SUM(AF38:AF39),0)</f>
        <v>-2311</v>
      </c>
      <c r="AG40" s="74"/>
      <c r="AH40" s="84">
        <f>ROUND(SUM(AH38:AH39),0)</f>
        <v>-2352</v>
      </c>
      <c r="AI40" s="75"/>
      <c r="AJ40" s="84">
        <f>ROUND(SUM(AJ38:AJ39),0)</f>
        <v>-7452</v>
      </c>
      <c r="AK40" s="75"/>
      <c r="AL40" s="84">
        <f>ROUND(SUM(AL38:AL39),0)</f>
        <v>-31124</v>
      </c>
    </row>
    <row r="41" spans="2:38" x14ac:dyDescent="0.3">
      <c r="B41" s="20"/>
      <c r="C41" s="20"/>
      <c r="D41" s="20"/>
      <c r="E41" s="30"/>
      <c r="F41" s="35"/>
      <c r="H41" s="39"/>
      <c r="J41" s="39"/>
      <c r="K41" s="30"/>
      <c r="L41" s="39"/>
      <c r="M41" s="30"/>
      <c r="N41" s="35"/>
      <c r="P41" s="39"/>
      <c r="R41" s="39"/>
      <c r="S41" s="30"/>
      <c r="T41" s="39"/>
      <c r="U41" s="30"/>
      <c r="V41" s="35"/>
      <c r="X41" s="39"/>
      <c r="Z41" s="39"/>
      <c r="AA41" s="30"/>
      <c r="AB41" s="39"/>
      <c r="AC41" s="30"/>
      <c r="AD41" s="35"/>
      <c r="AF41" s="39"/>
      <c r="AH41" s="39"/>
      <c r="AI41" s="30"/>
      <c r="AJ41" s="39"/>
      <c r="AK41" s="30"/>
      <c r="AL41" s="39"/>
    </row>
    <row r="42" spans="2:38" ht="16.2" thickBot="1" x14ac:dyDescent="0.35">
      <c r="B42" s="37" t="s">
        <v>45</v>
      </c>
      <c r="C42" s="20"/>
      <c r="D42" s="20"/>
      <c r="E42" s="30"/>
      <c r="F42" s="56">
        <f>ROUND(F35+F40,0)</f>
        <v>1373</v>
      </c>
      <c r="G42" s="17"/>
      <c r="H42" s="56">
        <f>ROUND(H35+H40,0)</f>
        <v>1876</v>
      </c>
      <c r="I42" s="17"/>
      <c r="J42" s="56">
        <f>ROUND(J35+J40,0)</f>
        <v>-1028</v>
      </c>
      <c r="K42" s="42"/>
      <c r="L42" s="56">
        <f>ROUND(L35+L40,0)</f>
        <v>2221</v>
      </c>
      <c r="M42" s="30"/>
      <c r="N42" s="56">
        <f>ROUND(N35+N40,0)</f>
        <v>-2062</v>
      </c>
      <c r="O42" s="72"/>
      <c r="P42" s="56">
        <f>ROUND(P35+P40,0)</f>
        <v>2562</v>
      </c>
      <c r="Q42" s="72"/>
      <c r="R42" s="56">
        <f>ROUND(R35+R40,0)</f>
        <v>4388</v>
      </c>
      <c r="S42" s="42"/>
      <c r="T42" s="56">
        <f>ROUND(T35+T40,0)</f>
        <v>4888</v>
      </c>
      <c r="U42" s="30"/>
      <c r="V42" s="56">
        <f>ROUND(V35+V40,0)</f>
        <v>-823</v>
      </c>
      <c r="W42" s="72"/>
      <c r="X42" s="56">
        <f>ROUND(X35+X40,0)</f>
        <v>1384</v>
      </c>
      <c r="Y42" s="72"/>
      <c r="Z42" s="56">
        <f>ROUND(Z35+Z40,0)</f>
        <v>2450</v>
      </c>
      <c r="AA42" s="42"/>
      <c r="AB42" s="56">
        <f>ROUND(AB35+AB40,0)</f>
        <v>3011</v>
      </c>
      <c r="AC42" s="30"/>
      <c r="AD42" s="56">
        <f>ROUND(AD35+AD40,0)</f>
        <v>-281</v>
      </c>
      <c r="AE42" s="72"/>
      <c r="AF42" s="56">
        <f>ROUND(AF35+AF40,0)</f>
        <v>2388</v>
      </c>
      <c r="AG42" s="72"/>
      <c r="AH42" s="56">
        <f>ROUND(AH35+AH40,0)</f>
        <v>1606</v>
      </c>
      <c r="AI42" s="42"/>
      <c r="AJ42" s="56">
        <f>ROUND(AJ35+AJ40,0)</f>
        <v>3713</v>
      </c>
      <c r="AK42" s="42"/>
      <c r="AL42" s="56">
        <f>ROUND(AL35+AL40,0)</f>
        <v>13833</v>
      </c>
    </row>
    <row r="43" spans="2:38" ht="16.2" thickTop="1" x14ac:dyDescent="0.3">
      <c r="B43" s="37"/>
      <c r="C43" s="20"/>
      <c r="D43" s="20"/>
      <c r="E43" s="30"/>
      <c r="F43" s="59"/>
      <c r="G43" s="17"/>
      <c r="H43" s="59"/>
      <c r="I43" s="17"/>
      <c r="J43" s="59"/>
      <c r="K43" s="42"/>
      <c r="L43" s="59"/>
      <c r="M43" s="30"/>
      <c r="N43" s="59"/>
      <c r="O43" s="72"/>
      <c r="P43" s="59"/>
      <c r="Q43" s="72"/>
      <c r="R43" s="59"/>
      <c r="S43" s="42"/>
      <c r="T43" s="59"/>
      <c r="U43" s="30"/>
      <c r="V43" s="59"/>
      <c r="W43" s="72"/>
      <c r="X43" s="59"/>
      <c r="Y43" s="72"/>
      <c r="Z43" s="59"/>
      <c r="AA43" s="42"/>
      <c r="AB43" s="59"/>
      <c r="AC43" s="30"/>
      <c r="AD43" s="59"/>
      <c r="AE43" s="72"/>
      <c r="AF43" s="59"/>
      <c r="AG43" s="72"/>
      <c r="AH43" s="59"/>
      <c r="AI43" s="42"/>
      <c r="AJ43" s="59"/>
      <c r="AK43" s="42"/>
      <c r="AL43" s="59"/>
    </row>
    <row r="44" spans="2:38" x14ac:dyDescent="0.3">
      <c r="B44" s="37"/>
      <c r="C44" s="20"/>
      <c r="D44" s="20"/>
      <c r="E44" s="30"/>
      <c r="F44" s="59"/>
      <c r="G44" s="17"/>
      <c r="H44" s="59"/>
      <c r="I44" s="17"/>
      <c r="J44" s="59"/>
      <c r="K44" s="42"/>
      <c r="L44" s="59"/>
      <c r="M44" s="30"/>
      <c r="N44" s="59"/>
      <c r="O44" s="17"/>
      <c r="P44" s="59"/>
      <c r="Q44" s="17"/>
      <c r="R44" s="59"/>
      <c r="S44" s="42"/>
      <c r="T44" s="59"/>
      <c r="U44" s="30"/>
      <c r="V44" s="59"/>
      <c r="W44" s="17"/>
      <c r="X44" s="59"/>
      <c r="Y44" s="17"/>
      <c r="Z44" s="59"/>
      <c r="AA44" s="42"/>
      <c r="AB44" s="59"/>
      <c r="AC44" s="30"/>
      <c r="AD44" s="59"/>
      <c r="AE44" s="17"/>
      <c r="AF44" s="59"/>
      <c r="AG44" s="17"/>
      <c r="AH44" s="59"/>
      <c r="AI44" s="42"/>
      <c r="AJ44" s="59"/>
      <c r="AK44" s="42"/>
      <c r="AL44" s="59"/>
    </row>
    <row r="45" spans="2:38" x14ac:dyDescent="0.3">
      <c r="B45" s="26" t="s">
        <v>70</v>
      </c>
      <c r="C45" s="36"/>
      <c r="D45" s="20"/>
      <c r="E45" s="30"/>
      <c r="F45" s="62">
        <v>0</v>
      </c>
      <c r="H45" s="62">
        <v>0</v>
      </c>
      <c r="J45" s="62">
        <v>0</v>
      </c>
      <c r="K45" s="30"/>
      <c r="L45" s="62">
        <f>SUM(F45:K45)</f>
        <v>0</v>
      </c>
      <c r="M45" s="30"/>
      <c r="N45" s="73"/>
      <c r="O45" s="74"/>
      <c r="P45" s="73"/>
      <c r="Q45" s="74"/>
      <c r="R45" s="73">
        <f>-R15-R24+750</f>
        <v>-1543</v>
      </c>
      <c r="S45" s="75"/>
      <c r="T45" s="73">
        <f>SUM(N45:S45)</f>
        <v>-1543</v>
      </c>
      <c r="U45" s="30"/>
      <c r="V45" s="73">
        <f>-V15-V24</f>
        <v>-269</v>
      </c>
      <c r="W45" s="74"/>
      <c r="X45" s="73">
        <f>-X15-X24</f>
        <v>0</v>
      </c>
      <c r="Y45" s="74"/>
      <c r="Z45" s="73">
        <f>-Z15-Z24</f>
        <v>1181</v>
      </c>
      <c r="AA45" s="75"/>
      <c r="AB45" s="73">
        <f>SUM(V45:AA45)</f>
        <v>912</v>
      </c>
      <c r="AC45" s="30"/>
      <c r="AD45" s="73">
        <f>-AD15</f>
        <v>0</v>
      </c>
      <c r="AE45" s="74"/>
      <c r="AF45" s="73">
        <f>-AF15</f>
        <v>0</v>
      </c>
      <c r="AG45" s="74"/>
      <c r="AH45" s="73">
        <f>-AH15</f>
        <v>0</v>
      </c>
      <c r="AI45" s="75"/>
      <c r="AJ45" s="73">
        <f>SUM(AD45:AI45)</f>
        <v>0</v>
      </c>
      <c r="AK45" s="75"/>
      <c r="AL45" s="73">
        <f>+T45+L45+AB45+AJ45</f>
        <v>-631</v>
      </c>
    </row>
    <row r="46" spans="2:38" x14ac:dyDescent="0.3">
      <c r="B46" s="26"/>
      <c r="C46" s="36"/>
      <c r="D46" s="20"/>
      <c r="E46" s="30"/>
      <c r="F46" s="35"/>
      <c r="H46" s="64"/>
      <c r="J46" s="64"/>
      <c r="L46" s="60"/>
      <c r="M46" s="30"/>
      <c r="N46" s="35"/>
      <c r="P46" s="64"/>
      <c r="R46" s="64"/>
      <c r="T46" s="60"/>
      <c r="U46" s="30"/>
      <c r="V46" s="35"/>
      <c r="X46" s="64"/>
      <c r="Z46" s="64"/>
      <c r="AB46" s="60"/>
      <c r="AC46" s="30"/>
      <c r="AD46" s="35"/>
      <c r="AF46" s="64"/>
      <c r="AH46" s="64"/>
      <c r="AJ46" s="60"/>
      <c r="AL46" s="60"/>
    </row>
    <row r="47" spans="2:38" ht="16.2" thickBot="1" x14ac:dyDescent="0.35">
      <c r="B47" s="26" t="s">
        <v>69</v>
      </c>
      <c r="C47" s="20"/>
      <c r="D47" s="20"/>
      <c r="E47" s="30"/>
      <c r="F47" s="56">
        <f>SUM(F42:F45)</f>
        <v>1373</v>
      </c>
      <c r="G47" s="67"/>
      <c r="H47" s="56">
        <f>SUM(H42:H45)</f>
        <v>1876</v>
      </c>
      <c r="I47" s="67"/>
      <c r="J47" s="56">
        <f>SUM(J42:J45)</f>
        <v>-1028</v>
      </c>
      <c r="K47" s="42"/>
      <c r="L47" s="56">
        <f>SUM(L42:L45)</f>
        <v>2221</v>
      </c>
      <c r="M47" s="30"/>
      <c r="N47" s="56">
        <f>SUM(N42:N45)</f>
        <v>-2062</v>
      </c>
      <c r="O47" s="67"/>
      <c r="P47" s="56">
        <f>SUM(P42:P45)</f>
        <v>2562</v>
      </c>
      <c r="Q47" s="67"/>
      <c r="R47" s="56">
        <f>SUM(R42:R45)</f>
        <v>2845</v>
      </c>
      <c r="S47" s="42"/>
      <c r="T47" s="56">
        <f>SUM(T42:T45)</f>
        <v>3345</v>
      </c>
      <c r="U47" s="30"/>
      <c r="V47" s="56">
        <f>SUM(V42:V45)</f>
        <v>-1092</v>
      </c>
      <c r="W47" s="67"/>
      <c r="X47" s="56">
        <f>SUM(X42:X45)</f>
        <v>1384</v>
      </c>
      <c r="Y47" s="67"/>
      <c r="Z47" s="56">
        <f>SUM(Z42:Z45)</f>
        <v>3631</v>
      </c>
      <c r="AA47" s="42"/>
      <c r="AB47" s="56">
        <f>SUM(AB42:AB45)</f>
        <v>3923</v>
      </c>
      <c r="AC47" s="30"/>
      <c r="AD47" s="56">
        <f>SUM(AD42:AD45)</f>
        <v>-281</v>
      </c>
      <c r="AE47" s="67"/>
      <c r="AF47" s="56">
        <f>SUM(AF42:AF45)</f>
        <v>2388</v>
      </c>
      <c r="AG47" s="67"/>
      <c r="AH47" s="56">
        <f>SUM(AH42:AH45)</f>
        <v>1606</v>
      </c>
      <c r="AI47" s="42"/>
      <c r="AJ47" s="56">
        <f>SUM(AJ42:AJ45)</f>
        <v>3713</v>
      </c>
      <c r="AK47" s="42"/>
      <c r="AL47" s="56">
        <f>SUM(AL42:AL45)</f>
        <v>13202</v>
      </c>
    </row>
    <row r="48" spans="2:38" ht="16.2" thickTop="1" x14ac:dyDescent="0.3">
      <c r="B48" s="36"/>
      <c r="C48" s="20"/>
      <c r="D48" s="20"/>
      <c r="E48" s="30"/>
      <c r="F48" s="35"/>
      <c r="G48" s="17"/>
      <c r="H48" s="39"/>
      <c r="I48" s="17"/>
      <c r="J48" s="39"/>
      <c r="K48" s="42"/>
      <c r="L48" s="39"/>
      <c r="M48" s="30"/>
      <c r="N48" s="35"/>
      <c r="O48" s="17"/>
      <c r="P48" s="39"/>
      <c r="Q48" s="17"/>
      <c r="R48" s="39"/>
      <c r="S48" s="42"/>
      <c r="T48" s="39"/>
      <c r="U48" s="30"/>
      <c r="V48" s="35"/>
      <c r="W48" s="17"/>
      <c r="X48" s="39"/>
      <c r="Y48" s="17"/>
      <c r="Z48" s="39"/>
      <c r="AA48" s="42"/>
      <c r="AB48" s="39"/>
      <c r="AC48" s="30"/>
      <c r="AD48" s="35"/>
      <c r="AE48" s="17"/>
      <c r="AF48" s="39"/>
      <c r="AG48" s="17"/>
      <c r="AH48" s="39"/>
      <c r="AI48" s="42"/>
      <c r="AJ48" s="39"/>
      <c r="AK48" s="42"/>
      <c r="AL48" s="39"/>
    </row>
    <row r="49" spans="2:38" x14ac:dyDescent="0.3">
      <c r="B49" s="36"/>
      <c r="C49" s="20"/>
      <c r="D49" s="20"/>
      <c r="E49" s="30"/>
      <c r="F49" s="35"/>
      <c r="G49" s="17"/>
      <c r="H49" s="39"/>
      <c r="I49" s="17"/>
      <c r="J49" s="39"/>
      <c r="K49" s="42"/>
      <c r="L49" s="39"/>
      <c r="M49" s="30"/>
      <c r="N49" s="35"/>
      <c r="O49" s="17"/>
      <c r="P49" s="39"/>
      <c r="Q49" s="17"/>
      <c r="R49" s="39"/>
      <c r="S49" s="42"/>
      <c r="T49" s="39"/>
      <c r="U49" s="30"/>
      <c r="V49" s="35"/>
      <c r="W49" s="17"/>
      <c r="X49" s="39"/>
      <c r="Y49" s="17"/>
      <c r="Z49" s="39"/>
      <c r="AA49" s="42"/>
      <c r="AB49" s="39"/>
      <c r="AC49" s="30"/>
      <c r="AD49" s="35"/>
      <c r="AE49" s="17"/>
      <c r="AF49" s="39"/>
      <c r="AG49" s="17"/>
      <c r="AH49" s="39"/>
      <c r="AI49" s="42"/>
      <c r="AJ49" s="39"/>
      <c r="AK49" s="42"/>
      <c r="AL49" s="39"/>
    </row>
    <row r="50" spans="2:38" ht="18.899999999999999" customHeight="1" thickBot="1" x14ac:dyDescent="0.35">
      <c r="B50" s="37" t="s">
        <v>46</v>
      </c>
      <c r="C50" s="20"/>
      <c r="D50" s="20"/>
      <c r="E50" s="30"/>
      <c r="F50" s="35"/>
      <c r="G50" s="17"/>
      <c r="H50" s="39"/>
      <c r="I50" s="17"/>
      <c r="J50" s="39"/>
      <c r="K50" s="42"/>
      <c r="L50" s="39"/>
      <c r="M50" s="30"/>
      <c r="N50" s="35"/>
      <c r="O50" s="17"/>
      <c r="P50" s="39"/>
      <c r="Q50" s="17"/>
      <c r="R50" s="39"/>
      <c r="S50" s="42"/>
      <c r="T50" s="39"/>
      <c r="U50" s="30"/>
      <c r="V50" s="35"/>
      <c r="W50" s="17"/>
      <c r="X50" s="39"/>
      <c r="Y50" s="17"/>
      <c r="Z50" s="39"/>
      <c r="AA50" s="42"/>
      <c r="AB50" s="89">
        <f>ROUND(AB42/AB65*0.98,2)</f>
        <v>0.11</v>
      </c>
      <c r="AC50" s="30"/>
      <c r="AD50" s="35"/>
      <c r="AE50" s="17"/>
      <c r="AF50" s="39"/>
      <c r="AG50" s="17"/>
      <c r="AH50" s="39"/>
      <c r="AI50" s="42"/>
      <c r="AJ50" s="89">
        <f>ROUND(AJ42/AJ65*0.98,2)</f>
        <v>0.13</v>
      </c>
      <c r="AK50" s="90"/>
      <c r="AL50" s="89">
        <f>ROUND(AL42/AL65*0.98,2)</f>
        <v>0.49</v>
      </c>
    </row>
    <row r="51" spans="2:38" ht="18.899999999999999" customHeight="1" thickTop="1" thickBot="1" x14ac:dyDescent="0.35">
      <c r="B51" s="37" t="s">
        <v>47</v>
      </c>
      <c r="C51" s="20"/>
      <c r="D51" s="20"/>
      <c r="E51" s="30"/>
      <c r="F51" s="35"/>
      <c r="G51" s="17"/>
      <c r="H51" s="39"/>
      <c r="I51" s="17"/>
      <c r="J51" s="39"/>
      <c r="K51" s="42"/>
      <c r="L51" s="39"/>
      <c r="M51" s="30"/>
      <c r="N51" s="35"/>
      <c r="O51" s="17"/>
      <c r="P51" s="39"/>
      <c r="Q51" s="17"/>
      <c r="R51" s="39"/>
      <c r="S51" s="42"/>
      <c r="T51" s="39"/>
      <c r="U51" s="30"/>
      <c r="V51" s="35"/>
      <c r="W51" s="17"/>
      <c r="X51" s="39"/>
      <c r="Y51" s="17"/>
      <c r="Z51" s="39"/>
      <c r="AA51" s="42"/>
      <c r="AB51" s="89">
        <f>ROUND(AB47/AB65*0.98,2)</f>
        <v>0.14000000000000001</v>
      </c>
      <c r="AC51" s="30"/>
      <c r="AD51" s="35"/>
      <c r="AE51" s="17"/>
      <c r="AF51" s="39"/>
      <c r="AG51" s="17"/>
      <c r="AH51" s="39"/>
      <c r="AI51" s="42"/>
      <c r="AJ51" s="89">
        <f>ROUND(AJ47/AJ65*0.98,2)</f>
        <v>0.13</v>
      </c>
      <c r="AK51" s="90"/>
      <c r="AL51" s="89">
        <f>ROUND(AL47/AL65*0.98,2)</f>
        <v>0.47</v>
      </c>
    </row>
    <row r="52" spans="2:38" ht="16.2" thickTop="1" x14ac:dyDescent="0.3">
      <c r="B52"/>
      <c r="C52" s="20"/>
      <c r="D52" s="20"/>
      <c r="E52" s="30"/>
      <c r="F52" s="35"/>
      <c r="G52" s="17"/>
      <c r="H52" s="39"/>
      <c r="I52" s="17"/>
      <c r="J52" s="39"/>
      <c r="K52" s="42"/>
      <c r="L52" s="39"/>
      <c r="M52" s="30"/>
      <c r="N52" s="35"/>
      <c r="O52" s="17"/>
      <c r="P52" s="39"/>
      <c r="Q52" s="17"/>
      <c r="R52" s="39"/>
      <c r="S52" s="42"/>
      <c r="T52" s="39"/>
      <c r="U52" s="30"/>
      <c r="V52" s="35"/>
      <c r="W52" s="17"/>
      <c r="X52" s="39"/>
      <c r="Y52" s="17"/>
      <c r="Z52" s="39"/>
      <c r="AA52" s="42"/>
      <c r="AB52" s="39"/>
      <c r="AC52" s="30"/>
      <c r="AD52" s="35"/>
      <c r="AE52" s="17"/>
      <c r="AF52" s="39"/>
      <c r="AG52" s="17"/>
      <c r="AH52" s="39"/>
      <c r="AI52" s="42"/>
      <c r="AJ52" s="39"/>
      <c r="AK52" s="42"/>
      <c r="AL52" s="39"/>
    </row>
    <row r="53" spans="2:38" x14ac:dyDescent="0.3">
      <c r="B53" s="37" t="s">
        <v>52</v>
      </c>
      <c r="C53" s="20"/>
      <c r="D53" s="20"/>
      <c r="E53" s="30"/>
      <c r="F53" s="35"/>
      <c r="G53" s="17"/>
      <c r="H53" s="39"/>
      <c r="I53" s="17"/>
      <c r="J53" s="39"/>
      <c r="K53" s="42"/>
      <c r="L53" s="39"/>
      <c r="M53" s="30"/>
      <c r="N53" s="35"/>
      <c r="O53" s="17"/>
      <c r="P53" s="39"/>
      <c r="Q53" s="17"/>
      <c r="R53" s="39"/>
      <c r="S53" s="42"/>
      <c r="T53" s="39"/>
      <c r="U53" s="30"/>
      <c r="V53" s="35"/>
      <c r="W53" s="17"/>
      <c r="X53" s="39"/>
      <c r="Y53" s="17"/>
      <c r="Z53" s="39"/>
      <c r="AA53" s="42"/>
      <c r="AB53" s="39"/>
      <c r="AC53" s="30"/>
      <c r="AD53" s="35"/>
      <c r="AE53" s="17"/>
      <c r="AF53" s="39"/>
      <c r="AG53" s="17"/>
      <c r="AH53" s="39"/>
      <c r="AI53" s="42"/>
      <c r="AJ53" s="39"/>
      <c r="AK53" s="42"/>
      <c r="AL53" s="39"/>
    </row>
    <row r="54" spans="2:38" x14ac:dyDescent="0.3">
      <c r="B54"/>
      <c r="C54" s="28" t="s">
        <v>48</v>
      </c>
      <c r="D54" s="20"/>
      <c r="E54" s="30"/>
      <c r="F54" s="35"/>
      <c r="G54" s="17"/>
      <c r="H54" s="39"/>
      <c r="I54" s="17"/>
      <c r="J54" s="39"/>
      <c r="K54" s="42"/>
      <c r="L54" s="39"/>
      <c r="M54" s="30"/>
      <c r="N54" s="35"/>
      <c r="O54" s="17"/>
      <c r="P54" s="39"/>
      <c r="Q54" s="17"/>
      <c r="R54" s="39"/>
      <c r="S54" s="42"/>
      <c r="T54" s="39"/>
      <c r="U54" s="30"/>
      <c r="V54" s="35"/>
      <c r="W54" s="17"/>
      <c r="X54" s="39"/>
      <c r="Y54" s="17"/>
      <c r="Z54" s="39"/>
      <c r="AA54" s="42"/>
      <c r="AB54" s="59">
        <f>+AB47</f>
        <v>3923</v>
      </c>
      <c r="AC54" s="30"/>
      <c r="AD54" s="35"/>
      <c r="AE54" s="17"/>
      <c r="AF54" s="39"/>
      <c r="AG54" s="17"/>
      <c r="AH54" s="39"/>
      <c r="AI54" s="42"/>
      <c r="AJ54" s="59">
        <f>+AJ47</f>
        <v>3713</v>
      </c>
      <c r="AK54" s="42"/>
      <c r="AL54" s="39"/>
    </row>
    <row r="55" spans="2:38" x14ac:dyDescent="0.3">
      <c r="B55"/>
      <c r="C55" s="20" t="s">
        <v>49</v>
      </c>
      <c r="D55" s="20"/>
      <c r="E55" s="30"/>
      <c r="F55" s="35"/>
      <c r="G55" s="17"/>
      <c r="H55" s="39"/>
      <c r="I55" s="17"/>
      <c r="J55" s="39"/>
      <c r="K55" s="42"/>
      <c r="L55" s="39"/>
      <c r="M55" s="30"/>
      <c r="N55" s="35"/>
      <c r="O55" s="17"/>
      <c r="P55" s="39"/>
      <c r="Q55" s="17"/>
      <c r="R55" s="39"/>
      <c r="S55" s="42"/>
      <c r="T55" s="39"/>
      <c r="U55" s="30"/>
      <c r="V55" s="35"/>
      <c r="W55" s="17"/>
      <c r="X55" s="39"/>
      <c r="Y55" s="17"/>
      <c r="Z55" s="39"/>
      <c r="AA55" s="42"/>
      <c r="AB55" s="39">
        <f>+AB32</f>
        <v>8423</v>
      </c>
      <c r="AC55" s="30"/>
      <c r="AD55" s="35"/>
      <c r="AE55" s="17"/>
      <c r="AF55" s="39"/>
      <c r="AG55" s="17"/>
      <c r="AH55" s="39"/>
      <c r="AI55" s="42"/>
      <c r="AJ55" s="39">
        <f>+AJ32</f>
        <v>8586</v>
      </c>
      <c r="AK55" s="42"/>
      <c r="AL55" s="39"/>
    </row>
    <row r="56" spans="2:38" x14ac:dyDescent="0.3">
      <c r="B56"/>
      <c r="C56" s="28" t="s">
        <v>50</v>
      </c>
      <c r="D56" s="20"/>
      <c r="E56" s="30"/>
      <c r="F56" s="35"/>
      <c r="G56" s="17"/>
      <c r="H56" s="39"/>
      <c r="I56" s="17"/>
      <c r="J56" s="39"/>
      <c r="K56" s="42"/>
      <c r="L56" s="39"/>
      <c r="M56" s="30"/>
      <c r="N56" s="35"/>
      <c r="O56" s="17"/>
      <c r="P56" s="39"/>
      <c r="Q56" s="17"/>
      <c r="R56" s="39"/>
      <c r="S56" s="42"/>
      <c r="T56" s="39"/>
      <c r="U56" s="30"/>
      <c r="V56" s="35"/>
      <c r="W56" s="17"/>
      <c r="X56" s="39"/>
      <c r="Y56" s="17"/>
      <c r="Z56" s="39"/>
      <c r="AA56" s="42"/>
      <c r="AB56" s="91">
        <v>-1800</v>
      </c>
      <c r="AC56" s="30"/>
      <c r="AD56" s="35"/>
      <c r="AE56" s="17"/>
      <c r="AF56" s="39"/>
      <c r="AG56" s="17"/>
      <c r="AH56" s="39"/>
      <c r="AI56" s="42"/>
      <c r="AJ56" s="91">
        <v>-1800</v>
      </c>
      <c r="AK56" s="42"/>
      <c r="AL56" s="39"/>
    </row>
    <row r="57" spans="2:38" ht="18.899999999999999" customHeight="1" thickBot="1" x14ac:dyDescent="0.35">
      <c r="B57" s="37" t="s">
        <v>51</v>
      </c>
      <c r="C57" s="28"/>
      <c r="D57" s="20"/>
      <c r="E57" s="30"/>
      <c r="F57" s="35"/>
      <c r="G57" s="17"/>
      <c r="H57" s="39"/>
      <c r="I57" s="17"/>
      <c r="J57" s="39"/>
      <c r="K57" s="42"/>
      <c r="L57" s="39"/>
      <c r="M57" s="30"/>
      <c r="N57" s="35"/>
      <c r="O57" s="17"/>
      <c r="P57" s="39"/>
      <c r="Q57" s="17"/>
      <c r="R57" s="39"/>
      <c r="S57" s="42"/>
      <c r="T57" s="39"/>
      <c r="U57" s="30"/>
      <c r="V57" s="35"/>
      <c r="W57" s="17"/>
      <c r="X57" s="39"/>
      <c r="Y57" s="17"/>
      <c r="Z57" s="39"/>
      <c r="AA57" s="42"/>
      <c r="AB57" s="56">
        <f>SUM(AB54:AB56)</f>
        <v>10546</v>
      </c>
      <c r="AC57" s="30"/>
      <c r="AD57" s="35"/>
      <c r="AE57" s="17"/>
      <c r="AF57" s="39"/>
      <c r="AG57" s="17"/>
      <c r="AH57" s="39"/>
      <c r="AI57" s="42"/>
      <c r="AJ57" s="56">
        <f>SUM(AJ54:AJ56)</f>
        <v>10499</v>
      </c>
      <c r="AK57" s="42"/>
      <c r="AL57" s="39"/>
    </row>
    <row r="58" spans="2:38" ht="16.2" thickTop="1" x14ac:dyDescent="0.3">
      <c r="B58"/>
      <c r="C58" s="28"/>
      <c r="D58" s="20"/>
      <c r="E58" s="30"/>
      <c r="F58" s="35"/>
      <c r="G58" s="17"/>
      <c r="H58" s="39"/>
      <c r="I58" s="17"/>
      <c r="J58" s="39"/>
      <c r="K58" s="42"/>
      <c r="L58" s="39"/>
      <c r="M58" s="30"/>
      <c r="N58" s="35"/>
      <c r="O58" s="17"/>
      <c r="P58" s="39"/>
      <c r="Q58" s="17"/>
      <c r="R58" s="39"/>
      <c r="S58" s="42"/>
      <c r="T58" s="39"/>
      <c r="U58" s="30"/>
      <c r="V58" s="35"/>
      <c r="W58" s="17"/>
      <c r="X58" s="39"/>
      <c r="Y58" s="17"/>
      <c r="Z58" s="39"/>
      <c r="AA58" s="42"/>
      <c r="AB58" s="39"/>
      <c r="AC58" s="30"/>
      <c r="AD58" s="35"/>
      <c r="AE58" s="17"/>
      <c r="AF58" s="39"/>
      <c r="AG58" s="17"/>
      <c r="AH58" s="39"/>
      <c r="AI58" s="42"/>
      <c r="AJ58" s="39"/>
      <c r="AK58" s="42"/>
      <c r="AL58" s="39"/>
    </row>
    <row r="59" spans="2:38" x14ac:dyDescent="0.3">
      <c r="B59"/>
      <c r="C59" s="20"/>
      <c r="D59" s="20"/>
      <c r="E59" s="30"/>
      <c r="F59" s="35"/>
      <c r="G59" s="17"/>
      <c r="H59" s="39"/>
      <c r="I59" s="17"/>
      <c r="J59" s="39"/>
      <c r="K59" s="42"/>
      <c r="L59" s="39"/>
      <c r="M59" s="30"/>
      <c r="N59" s="35"/>
      <c r="O59" s="17"/>
      <c r="P59" s="39"/>
      <c r="Q59" s="17"/>
      <c r="R59" s="39"/>
      <c r="S59" s="42"/>
      <c r="T59" s="39"/>
      <c r="U59" s="30"/>
      <c r="V59" s="35"/>
      <c r="W59" s="17"/>
      <c r="X59" s="39"/>
      <c r="Y59" s="17"/>
      <c r="Z59" s="39"/>
      <c r="AA59" s="42"/>
      <c r="AB59" s="39"/>
      <c r="AC59" s="30"/>
      <c r="AD59" s="35"/>
      <c r="AE59" s="17"/>
      <c r="AF59" s="39"/>
      <c r="AG59" s="17"/>
      <c r="AH59" s="39"/>
      <c r="AI59" s="42"/>
      <c r="AJ59" s="39"/>
      <c r="AK59" s="42"/>
      <c r="AL59" s="39"/>
    </row>
    <row r="60" spans="2:38" ht="16.2" thickBot="1" x14ac:dyDescent="0.35">
      <c r="B60" s="43"/>
      <c r="C60" s="43"/>
      <c r="D60" s="43"/>
      <c r="E60" s="44"/>
      <c r="F60" s="45"/>
      <c r="G60" s="44"/>
      <c r="H60" s="46"/>
      <c r="I60" s="44"/>
      <c r="J60" s="46"/>
      <c r="K60" s="44"/>
      <c r="L60" s="46"/>
      <c r="M60" s="44"/>
      <c r="N60" s="45"/>
      <c r="O60" s="44"/>
      <c r="P60" s="46"/>
      <c r="Q60" s="44"/>
      <c r="R60" s="46"/>
      <c r="S60" s="44"/>
      <c r="T60" s="46"/>
      <c r="U60" s="44"/>
      <c r="V60" s="45"/>
      <c r="W60" s="44"/>
      <c r="X60" s="46"/>
      <c r="Y60" s="44"/>
      <c r="Z60" s="46"/>
      <c r="AA60" s="44"/>
      <c r="AB60" s="46"/>
      <c r="AC60" s="44"/>
      <c r="AD60" s="45"/>
      <c r="AE60" s="44"/>
      <c r="AF60" s="46"/>
      <c r="AG60" s="44"/>
      <c r="AH60" s="46"/>
      <c r="AI60" s="44"/>
      <c r="AJ60" s="46"/>
      <c r="AK60" s="44"/>
      <c r="AL60" s="46"/>
    </row>
    <row r="61" spans="2:38" x14ac:dyDescent="0.3">
      <c r="B61" s="47"/>
      <c r="C61" s="47"/>
      <c r="D61" s="47"/>
      <c r="E61" s="42"/>
      <c r="F61" s="35"/>
      <c r="G61" s="42"/>
      <c r="H61" s="39"/>
      <c r="I61" s="42"/>
      <c r="J61" s="39" t="s">
        <v>33</v>
      </c>
      <c r="K61" s="42"/>
      <c r="L61" s="39"/>
      <c r="M61" s="42"/>
      <c r="N61" s="35"/>
      <c r="O61" s="42"/>
      <c r="P61" s="39"/>
      <c r="Q61" s="42"/>
      <c r="R61" s="39" t="s">
        <v>33</v>
      </c>
      <c r="S61" s="42"/>
      <c r="T61" s="39"/>
      <c r="U61" s="42"/>
      <c r="V61" s="35"/>
      <c r="W61" s="42"/>
      <c r="X61" s="39"/>
      <c r="Y61" s="42"/>
      <c r="Z61" s="39" t="s">
        <v>33</v>
      </c>
      <c r="AA61" s="42"/>
      <c r="AB61" s="39"/>
      <c r="AC61" s="42"/>
      <c r="AD61" s="35"/>
      <c r="AE61" s="42"/>
      <c r="AF61" s="39"/>
      <c r="AG61" s="42"/>
      <c r="AH61" s="39" t="s">
        <v>33</v>
      </c>
      <c r="AI61" s="42"/>
      <c r="AJ61" s="39"/>
      <c r="AK61" s="42"/>
      <c r="AL61" s="39"/>
    </row>
    <row r="62" spans="2:38" ht="16.5" customHeight="1" x14ac:dyDescent="0.3">
      <c r="B62" s="54" t="s">
        <v>17</v>
      </c>
      <c r="C62" s="33"/>
      <c r="D62" s="47"/>
      <c r="E62" s="42"/>
      <c r="F62"/>
      <c r="G62" s="42"/>
      <c r="H62" s="39"/>
      <c r="I62" s="42"/>
      <c r="J62" s="39"/>
      <c r="K62" s="42"/>
      <c r="L62" s="39"/>
      <c r="M62" s="42"/>
      <c r="N62"/>
      <c r="O62" s="42"/>
      <c r="P62" s="39"/>
      <c r="Q62" s="42"/>
      <c r="R62" s="39"/>
      <c r="S62" s="42"/>
      <c r="T62" s="39"/>
      <c r="U62" s="42"/>
      <c r="V62"/>
      <c r="W62" s="42"/>
      <c r="X62" s="39"/>
      <c r="Y62" s="42"/>
      <c r="Z62" s="39"/>
      <c r="AA62" s="42"/>
      <c r="AB62" s="39"/>
      <c r="AC62" s="42"/>
      <c r="AD62"/>
      <c r="AE62" s="42"/>
      <c r="AF62" s="39"/>
      <c r="AG62" s="42"/>
      <c r="AH62" s="39"/>
      <c r="AI62" s="42"/>
      <c r="AJ62" s="39"/>
      <c r="AK62" s="42"/>
      <c r="AL62" s="39"/>
    </row>
    <row r="65" spans="28:38" x14ac:dyDescent="0.3">
      <c r="AB65" s="50">
        <v>27476</v>
      </c>
      <c r="AJ65" s="50">
        <v>27476</v>
      </c>
      <c r="AL65" s="50">
        <v>27476</v>
      </c>
    </row>
  </sheetData>
  <printOptions horizontalCentered="1"/>
  <pageMargins left="0.25" right="0.25" top="0.5" bottom="0.5" header="0.5" footer="0.5"/>
  <pageSetup scale="69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56"/>
  <sheetViews>
    <sheetView topLeftCell="A21" zoomScale="75" workbookViewId="0">
      <selection activeCell="AD43" sqref="AD43"/>
    </sheetView>
  </sheetViews>
  <sheetFormatPr defaultColWidth="9.28515625" defaultRowHeight="15.6" x14ac:dyDescent="0.3"/>
  <cols>
    <col min="1" max="1" width="9.28515625" style="6"/>
    <col min="2" max="2" width="3.85546875" style="6" customWidth="1"/>
    <col min="3" max="3" width="4.85546875" style="6" customWidth="1"/>
    <col min="4" max="4" width="13.85546875" style="6" customWidth="1"/>
    <col min="5" max="5" width="17.85546875" style="6" customWidth="1"/>
    <col min="6" max="6" width="14.140625" style="49" customWidth="1"/>
    <col min="7" max="7" width="2.85546875" style="6" customWidth="1"/>
    <col min="8" max="8" width="14.140625" style="50" customWidth="1"/>
    <col min="9" max="9" width="2.85546875" style="6" customWidth="1"/>
    <col min="10" max="10" width="14.140625" style="50" customWidth="1"/>
    <col min="11" max="11" width="3.85546875" style="6" customWidth="1"/>
    <col min="12" max="12" width="15.7109375" style="50" customWidth="1"/>
    <col min="13" max="13" width="2.85546875" style="6" customWidth="1"/>
    <col min="14" max="14" width="14.140625" style="49" customWidth="1"/>
    <col min="15" max="15" width="2.85546875" style="6" customWidth="1"/>
    <col min="16" max="16" width="14.140625" style="50" customWidth="1"/>
    <col min="17" max="17" width="2.85546875" style="6" customWidth="1"/>
    <col min="18" max="18" width="14.140625" style="50" customWidth="1"/>
    <col min="19" max="19" width="2.85546875" style="6" customWidth="1"/>
    <col min="20" max="20" width="15.7109375" style="50" customWidth="1"/>
    <col min="21" max="21" width="5.85546875" style="6" customWidth="1"/>
    <col min="22" max="22" width="14.140625" style="49" customWidth="1"/>
    <col min="23" max="23" width="2.85546875" style="6" customWidth="1"/>
    <col min="24" max="24" width="14.140625" style="50" customWidth="1"/>
    <col min="25" max="25" width="2.85546875" style="6" customWidth="1"/>
    <col min="26" max="26" width="14.140625" style="50" customWidth="1"/>
    <col min="27" max="27" width="2.85546875" style="6" customWidth="1"/>
    <col min="28" max="28" width="15.7109375" style="50" customWidth="1"/>
    <col min="29" max="29" width="5.85546875" style="6" customWidth="1"/>
    <col min="30" max="30" width="14.140625" style="49" customWidth="1"/>
    <col min="31" max="31" width="2.85546875" style="6" customWidth="1"/>
    <col min="32" max="32" width="14.140625" style="50" customWidth="1"/>
    <col min="33" max="33" width="2.85546875" style="6" customWidth="1"/>
    <col min="34" max="34" width="14.140625" style="50" customWidth="1"/>
    <col min="35" max="35" width="3.85546875" style="6" customWidth="1"/>
    <col min="36" max="36" width="15.7109375" style="50" customWidth="1"/>
    <col min="37" max="37" width="3.85546875" style="6" customWidth="1"/>
    <col min="38" max="38" width="14.85546875" style="50" customWidth="1"/>
    <col min="39" max="16384" width="9.28515625" style="6"/>
  </cols>
  <sheetData>
    <row r="1" spans="2:38" ht="17.399999999999999" x14ac:dyDescent="0.3">
      <c r="B1" s="1" t="s">
        <v>0</v>
      </c>
      <c r="C1" s="2"/>
      <c r="D1" s="2"/>
      <c r="E1" s="2"/>
      <c r="F1" s="3"/>
      <c r="G1" s="2"/>
      <c r="H1" s="4"/>
      <c r="I1" s="2"/>
      <c r="J1" s="4"/>
      <c r="K1" s="2"/>
      <c r="L1" s="5"/>
      <c r="M1" s="2"/>
      <c r="N1" s="3"/>
      <c r="O1" s="2"/>
      <c r="P1" s="4"/>
      <c r="Q1" s="2"/>
      <c r="R1" s="4"/>
      <c r="S1" s="2"/>
      <c r="T1" s="5"/>
      <c r="U1" s="2"/>
      <c r="V1" s="3"/>
      <c r="W1" s="2"/>
      <c r="X1" s="4"/>
      <c r="Y1" s="2"/>
      <c r="Z1" s="4"/>
      <c r="AA1" s="2"/>
      <c r="AB1" s="5"/>
      <c r="AC1" s="2"/>
      <c r="AD1" s="3"/>
      <c r="AE1" s="2"/>
      <c r="AF1" s="4"/>
      <c r="AG1" s="2"/>
      <c r="AH1" s="4"/>
      <c r="AI1" s="2"/>
      <c r="AJ1" s="5"/>
      <c r="AK1" s="2"/>
      <c r="AL1" s="5"/>
    </row>
    <row r="2" spans="2:38" x14ac:dyDescent="0.3">
      <c r="B2" s="4" t="s">
        <v>58</v>
      </c>
      <c r="C2" s="7"/>
      <c r="D2" s="2"/>
      <c r="E2" s="2"/>
      <c r="F2" s="3"/>
      <c r="G2" s="2"/>
      <c r="H2" s="4"/>
      <c r="I2" s="2"/>
      <c r="J2" s="4"/>
      <c r="K2" s="2"/>
      <c r="L2" s="8"/>
      <c r="M2" s="2"/>
      <c r="N2" s="3"/>
      <c r="O2" s="2"/>
      <c r="P2" s="4"/>
      <c r="Q2" s="2"/>
      <c r="R2" s="4"/>
      <c r="S2" s="2"/>
      <c r="T2" s="8"/>
      <c r="U2" s="2"/>
      <c r="V2" s="3"/>
      <c r="W2" s="2"/>
      <c r="X2" s="4"/>
      <c r="Y2" s="2"/>
      <c r="Z2" s="4"/>
      <c r="AA2" s="2"/>
      <c r="AB2" s="8"/>
      <c r="AC2" s="2"/>
      <c r="AD2" s="3"/>
      <c r="AE2" s="2"/>
      <c r="AF2" s="4"/>
      <c r="AG2" s="2"/>
      <c r="AH2" s="4"/>
      <c r="AI2" s="2"/>
      <c r="AJ2" s="8"/>
      <c r="AK2" s="2"/>
      <c r="AL2" s="8"/>
    </row>
    <row r="3" spans="2:38" x14ac:dyDescent="0.3">
      <c r="B3" s="9" t="s">
        <v>1</v>
      </c>
      <c r="C3" s="2"/>
      <c r="D3" s="2"/>
      <c r="E3" s="2"/>
      <c r="F3" s="3"/>
      <c r="G3" s="2"/>
      <c r="H3" s="4"/>
      <c r="I3" s="2"/>
      <c r="J3" s="4"/>
      <c r="K3" s="2"/>
      <c r="L3" s="4"/>
      <c r="M3" s="2"/>
      <c r="N3" s="3"/>
      <c r="O3" s="2"/>
      <c r="P3" s="4"/>
      <c r="Q3" s="2"/>
      <c r="R3" s="4"/>
      <c r="S3" s="2"/>
      <c r="T3" s="4"/>
      <c r="U3" s="2"/>
      <c r="V3" s="3"/>
      <c r="W3" s="2"/>
      <c r="X3" s="4"/>
      <c r="Y3" s="2"/>
      <c r="Z3" s="4"/>
      <c r="AA3" s="2"/>
      <c r="AB3" s="4"/>
      <c r="AC3" s="2"/>
      <c r="AD3" s="3"/>
      <c r="AE3" s="2"/>
      <c r="AF3" s="4"/>
      <c r="AG3" s="2"/>
      <c r="AH3" s="4"/>
      <c r="AI3" s="2"/>
      <c r="AJ3" s="4"/>
      <c r="AK3" s="2"/>
      <c r="AL3" s="4"/>
    </row>
    <row r="4" spans="2:38" x14ac:dyDescent="0.3">
      <c r="B4" s="10"/>
      <c r="D4" s="68"/>
      <c r="E4" s="10"/>
      <c r="F4" s="11"/>
      <c r="G4" s="10"/>
      <c r="H4" s="12"/>
      <c r="I4" s="10"/>
      <c r="J4" s="12"/>
      <c r="K4" s="10"/>
      <c r="L4" s="6"/>
      <c r="M4" s="10"/>
      <c r="N4" s="11"/>
      <c r="O4" s="10"/>
      <c r="P4" s="12"/>
      <c r="Q4" s="10"/>
      <c r="R4" s="12"/>
      <c r="S4" s="10"/>
      <c r="T4" s="68"/>
      <c r="U4" s="10"/>
      <c r="V4" s="11"/>
      <c r="W4" s="10"/>
      <c r="X4" s="12"/>
      <c r="Y4" s="10"/>
      <c r="Z4" s="12"/>
      <c r="AA4" s="10"/>
      <c r="AB4" s="68"/>
      <c r="AC4" s="10"/>
      <c r="AD4" s="11"/>
      <c r="AE4" s="10"/>
      <c r="AF4" s="12"/>
      <c r="AG4" s="10"/>
      <c r="AH4" s="12"/>
      <c r="AI4" s="10"/>
      <c r="AJ4" s="68"/>
      <c r="AK4" s="10"/>
      <c r="AL4" s="68"/>
    </row>
    <row r="5" spans="2:38" x14ac:dyDescent="0.3">
      <c r="B5" s="10"/>
      <c r="D5" s="69"/>
      <c r="E5" s="10"/>
      <c r="F5" s="11"/>
      <c r="G5" s="88"/>
      <c r="H5" s="12"/>
      <c r="I5" s="88"/>
      <c r="J5" s="12"/>
      <c r="K5" s="88"/>
      <c r="L5" s="6"/>
      <c r="M5" s="10"/>
      <c r="N5" s="11"/>
      <c r="O5" s="88"/>
      <c r="P5" s="12"/>
      <c r="Q5" s="88"/>
      <c r="R5" s="12"/>
      <c r="S5" s="88"/>
      <c r="T5" s="69"/>
      <c r="U5" s="10"/>
      <c r="V5" s="11"/>
      <c r="W5" s="88"/>
      <c r="X5" s="12"/>
      <c r="Y5" s="88"/>
      <c r="Z5" s="12"/>
      <c r="AA5" s="88"/>
      <c r="AB5" s="69"/>
      <c r="AC5" s="10"/>
      <c r="AD5" s="11"/>
      <c r="AE5" s="88"/>
      <c r="AF5" s="12"/>
      <c r="AG5" s="88"/>
      <c r="AH5" s="12"/>
      <c r="AI5" s="88"/>
      <c r="AJ5" s="69"/>
      <c r="AK5" s="88"/>
      <c r="AL5" s="69"/>
    </row>
    <row r="6" spans="2:38" x14ac:dyDescent="0.3">
      <c r="B6" s="47"/>
      <c r="C6" s="47"/>
      <c r="D6" s="47"/>
      <c r="E6" s="47"/>
      <c r="F6" s="64"/>
      <c r="G6" s="67"/>
      <c r="H6" s="93"/>
      <c r="I6" s="67"/>
      <c r="J6" s="93"/>
      <c r="K6" s="67"/>
      <c r="L6" s="93"/>
      <c r="M6" s="47"/>
      <c r="N6" s="64"/>
      <c r="O6" s="67"/>
      <c r="P6" s="93"/>
      <c r="Q6" s="67"/>
      <c r="R6" s="93"/>
      <c r="S6" s="67"/>
      <c r="T6" s="93"/>
      <c r="U6" s="47"/>
      <c r="V6" s="64"/>
      <c r="W6" s="67"/>
      <c r="X6" s="93"/>
      <c r="Y6" s="67"/>
      <c r="Z6" s="93"/>
      <c r="AA6" s="67"/>
      <c r="AB6" s="93"/>
      <c r="AC6" s="47"/>
      <c r="AD6" s="64"/>
      <c r="AE6" s="67"/>
      <c r="AF6" s="93"/>
      <c r="AG6" s="67"/>
      <c r="AH6" s="93"/>
      <c r="AI6" s="67"/>
      <c r="AJ6" s="93"/>
      <c r="AK6" s="67"/>
      <c r="AL6" s="93"/>
    </row>
    <row r="7" spans="2:38" ht="13.95" customHeight="1" x14ac:dyDescent="0.3">
      <c r="B7" s="94"/>
      <c r="C7" s="95"/>
      <c r="D7" s="96"/>
      <c r="E7" s="96"/>
      <c r="F7" s="58" t="s">
        <v>34</v>
      </c>
      <c r="G7" s="67"/>
      <c r="H7" s="58" t="s">
        <v>35</v>
      </c>
      <c r="I7" s="67"/>
      <c r="J7" s="70" t="s">
        <v>36</v>
      </c>
      <c r="K7" s="67"/>
      <c r="L7" s="70" t="s">
        <v>37</v>
      </c>
      <c r="M7" s="47"/>
      <c r="N7" s="58" t="s">
        <v>38</v>
      </c>
      <c r="O7" s="67"/>
      <c r="P7" s="58" t="s">
        <v>26</v>
      </c>
      <c r="Q7" s="67"/>
      <c r="R7" s="70" t="s">
        <v>39</v>
      </c>
      <c r="S7" s="67"/>
      <c r="T7" s="70" t="s">
        <v>40</v>
      </c>
      <c r="U7" s="47"/>
      <c r="V7" s="58" t="s">
        <v>42</v>
      </c>
      <c r="W7" s="67"/>
      <c r="X7" s="58" t="s">
        <v>30</v>
      </c>
      <c r="Y7" s="67"/>
      <c r="Z7" s="70" t="s">
        <v>31</v>
      </c>
      <c r="AA7" s="67"/>
      <c r="AB7" s="70" t="s">
        <v>43</v>
      </c>
      <c r="AC7" s="47"/>
      <c r="AD7" s="58" t="s">
        <v>54</v>
      </c>
      <c r="AE7" s="67"/>
      <c r="AF7" s="58" t="s">
        <v>55</v>
      </c>
      <c r="AG7" s="67"/>
      <c r="AH7" s="70" t="s">
        <v>56</v>
      </c>
      <c r="AI7" s="67"/>
      <c r="AJ7" s="70" t="s">
        <v>57</v>
      </c>
      <c r="AK7" s="67"/>
      <c r="AL7" s="70" t="s">
        <v>41</v>
      </c>
    </row>
    <row r="8" spans="2:38" ht="13.95" customHeight="1" x14ac:dyDescent="0.3">
      <c r="B8" s="21" t="s">
        <v>2</v>
      </c>
      <c r="C8" s="22"/>
      <c r="D8" s="23"/>
      <c r="E8" s="22"/>
      <c r="F8" s="48" t="s">
        <v>3</v>
      </c>
      <c r="G8" s="25"/>
      <c r="H8" s="24" t="s">
        <v>3</v>
      </c>
      <c r="I8" s="25"/>
      <c r="J8" s="24" t="s">
        <v>3</v>
      </c>
      <c r="K8" s="25"/>
      <c r="L8" s="66" t="s">
        <v>3</v>
      </c>
      <c r="M8" s="22"/>
      <c r="N8" s="48" t="s">
        <v>3</v>
      </c>
      <c r="O8" s="25"/>
      <c r="P8" s="24" t="s">
        <v>3</v>
      </c>
      <c r="Q8" s="25"/>
      <c r="R8" s="24" t="s">
        <v>3</v>
      </c>
      <c r="S8" s="25"/>
      <c r="T8" s="66" t="s">
        <v>3</v>
      </c>
      <c r="U8" s="22"/>
      <c r="V8" s="48" t="s">
        <v>3</v>
      </c>
      <c r="W8" s="25"/>
      <c r="X8" s="24" t="s">
        <v>3</v>
      </c>
      <c r="Y8" s="25"/>
      <c r="Z8" s="24" t="s">
        <v>3</v>
      </c>
      <c r="AA8" s="25"/>
      <c r="AB8" s="66" t="s">
        <v>3</v>
      </c>
      <c r="AC8" s="22"/>
      <c r="AD8" s="48" t="s">
        <v>3</v>
      </c>
      <c r="AE8" s="25"/>
      <c r="AF8" s="24" t="s">
        <v>3</v>
      </c>
      <c r="AG8" s="25"/>
      <c r="AH8" s="24" t="s">
        <v>3</v>
      </c>
      <c r="AI8" s="25"/>
      <c r="AJ8" s="66" t="s">
        <v>3</v>
      </c>
      <c r="AK8" s="67"/>
      <c r="AL8" s="66" t="s">
        <v>3</v>
      </c>
    </row>
    <row r="9" spans="2:38" x14ac:dyDescent="0.3">
      <c r="B9" s="26" t="s">
        <v>4</v>
      </c>
      <c r="C9" s="20"/>
      <c r="D9" s="20"/>
      <c r="E9" s="20"/>
      <c r="F9" s="11"/>
      <c r="H9" s="27"/>
      <c r="J9" s="27"/>
      <c r="L9" s="12"/>
      <c r="M9" s="20"/>
      <c r="N9" s="11"/>
      <c r="P9" s="27"/>
      <c r="R9" s="27"/>
      <c r="T9" s="12"/>
      <c r="U9" s="20"/>
      <c r="V9" s="11"/>
      <c r="X9" s="27"/>
      <c r="Z9" s="27"/>
      <c r="AB9" s="12"/>
      <c r="AC9" s="20"/>
      <c r="AD9" s="11"/>
      <c r="AF9" s="27"/>
      <c r="AH9" s="27"/>
      <c r="AJ9" s="12"/>
      <c r="AL9" s="12"/>
    </row>
    <row r="10" spans="2:38" x14ac:dyDescent="0.3">
      <c r="C10" s="28" t="s">
        <v>5</v>
      </c>
      <c r="D10" s="20"/>
      <c r="E10" s="29"/>
      <c r="F10" s="55">
        <f>+Income2000!F10</f>
        <v>9485</v>
      </c>
      <c r="G10" s="32"/>
      <c r="H10" s="55">
        <f>+Income2000!H10</f>
        <v>5998</v>
      </c>
      <c r="I10" s="32"/>
      <c r="J10" s="55">
        <f>+Income2000!J10</f>
        <v>4101</v>
      </c>
      <c r="K10" s="32"/>
      <c r="L10" s="55">
        <f>SUM(F10:K10)</f>
        <v>19584</v>
      </c>
      <c r="M10" s="29"/>
      <c r="N10" s="55">
        <f>+Income2000!N10</f>
        <v>4466</v>
      </c>
      <c r="O10" s="32"/>
      <c r="P10" s="55">
        <f>+Income2000!P10</f>
        <v>8211</v>
      </c>
      <c r="Q10" s="32"/>
      <c r="R10" s="55">
        <f>+Income2000!R10</f>
        <v>7559</v>
      </c>
      <c r="S10" s="32"/>
      <c r="T10" s="55">
        <f t="shared" ref="T10:T15" si="0">SUM(N10:S10)</f>
        <v>20236</v>
      </c>
      <c r="U10" s="29"/>
      <c r="V10" s="55">
        <f>+Income2000!V10</f>
        <v>4835</v>
      </c>
      <c r="W10" s="32"/>
      <c r="X10" s="55">
        <f>+Income2000!X10</f>
        <v>5581</v>
      </c>
      <c r="Y10" s="32"/>
      <c r="Z10" s="55">
        <f>+Income2000!Z10</f>
        <v>6264</v>
      </c>
      <c r="AA10" s="32"/>
      <c r="AB10" s="57">
        <f t="shared" ref="AB10:AB15" si="1">SUM(V10:AA10)</f>
        <v>16680</v>
      </c>
      <c r="AC10" s="29"/>
      <c r="AD10" s="55">
        <f>+Income2000!AD10</f>
        <v>5099</v>
      </c>
      <c r="AE10" s="32"/>
      <c r="AF10" s="55">
        <f>+Income2000!AF10</f>
        <v>8373</v>
      </c>
      <c r="AG10" s="32"/>
      <c r="AH10" s="55">
        <f>+Income2000!AH10</f>
        <v>7276</v>
      </c>
      <c r="AI10" s="32"/>
      <c r="AJ10" s="57">
        <f t="shared" ref="AJ10:AJ15" si="2">SUM(AD10:AI10)</f>
        <v>20748</v>
      </c>
      <c r="AK10" s="32"/>
      <c r="AL10" s="55">
        <f>+T10+L10+AB10+AJ10</f>
        <v>77248</v>
      </c>
    </row>
    <row r="11" spans="2:38" x14ac:dyDescent="0.3">
      <c r="C11" s="28" t="s">
        <v>21</v>
      </c>
      <c r="D11" s="20"/>
      <c r="E11" s="29"/>
      <c r="F11" s="51">
        <f>+Income2000!F11</f>
        <v>11402</v>
      </c>
      <c r="G11" s="32"/>
      <c r="H11" s="51">
        <f>+Income2000!H11</f>
        <v>10376</v>
      </c>
      <c r="I11" s="32"/>
      <c r="J11" s="51">
        <f>+Income2000!J11</f>
        <v>11863</v>
      </c>
      <c r="L11" s="60">
        <f>SUM(F11:K11)</f>
        <v>33641</v>
      </c>
      <c r="M11" s="29"/>
      <c r="N11" s="51">
        <f>+Income2000!N11</f>
        <v>10918</v>
      </c>
      <c r="O11" s="77"/>
      <c r="P11" s="51">
        <f>+Income2000!P11</f>
        <v>12397</v>
      </c>
      <c r="Q11" s="77"/>
      <c r="R11" s="51">
        <f>+Income2000!R11</f>
        <v>12117</v>
      </c>
      <c r="S11" s="74"/>
      <c r="T11" s="63">
        <f t="shared" si="0"/>
        <v>35432</v>
      </c>
      <c r="U11" s="29"/>
      <c r="V11" s="51">
        <f>+Income2000!V11</f>
        <v>11631</v>
      </c>
      <c r="W11" s="77"/>
      <c r="X11" s="51">
        <f>+Income2000!X11</f>
        <v>10154</v>
      </c>
      <c r="Y11" s="77"/>
      <c r="Z11" s="51">
        <f>+Income2000!Z11</f>
        <v>13572</v>
      </c>
      <c r="AA11" s="74"/>
      <c r="AB11" s="78">
        <f t="shared" si="1"/>
        <v>35357</v>
      </c>
      <c r="AC11" s="29"/>
      <c r="AD11" s="51">
        <f>+Income2000!AD11</f>
        <v>10869</v>
      </c>
      <c r="AE11" s="77"/>
      <c r="AF11" s="51">
        <f>+Income2000!AF11</f>
        <v>9412</v>
      </c>
      <c r="AG11" s="77"/>
      <c r="AH11" s="51">
        <f>+Income2000!AH11</f>
        <v>11992</v>
      </c>
      <c r="AI11" s="74"/>
      <c r="AJ11" s="78">
        <f t="shared" si="2"/>
        <v>32273</v>
      </c>
      <c r="AK11" s="74"/>
      <c r="AL11" s="63">
        <f>+T11+L11+AB11+AJ11</f>
        <v>136703</v>
      </c>
    </row>
    <row r="12" spans="2:38" x14ac:dyDescent="0.3">
      <c r="C12" s="28" t="s">
        <v>6</v>
      </c>
      <c r="D12" s="20"/>
      <c r="E12" s="29"/>
      <c r="F12" s="51">
        <f>+Income2000!F12</f>
        <v>254</v>
      </c>
      <c r="G12" s="32"/>
      <c r="H12" s="51">
        <f>+Income2000!H12</f>
        <v>457</v>
      </c>
      <c r="I12" s="32"/>
      <c r="J12" s="51">
        <f>+Income2000!J12</f>
        <v>406</v>
      </c>
      <c r="L12" s="60">
        <f t="shared" ref="L12:L18" si="3">SUM(F12:K12)</f>
        <v>1117</v>
      </c>
      <c r="M12" s="29"/>
      <c r="N12" s="51">
        <f>+Income2000!N12</f>
        <v>405</v>
      </c>
      <c r="O12" s="77"/>
      <c r="P12" s="51">
        <f>+Income2000!P12</f>
        <v>413</v>
      </c>
      <c r="Q12" s="77"/>
      <c r="R12" s="51">
        <f>+Income2000!R12</f>
        <v>554</v>
      </c>
      <c r="S12" s="74"/>
      <c r="T12" s="63">
        <f t="shared" si="0"/>
        <v>1372</v>
      </c>
      <c r="U12" s="29"/>
      <c r="V12" s="51">
        <f>+Income2000!V12</f>
        <v>496</v>
      </c>
      <c r="W12" s="77"/>
      <c r="X12" s="51">
        <f>+Income2000!X12</f>
        <v>402</v>
      </c>
      <c r="Y12" s="77"/>
      <c r="Z12" s="51">
        <f>+Income2000!Z12</f>
        <v>476</v>
      </c>
      <c r="AA12" s="74"/>
      <c r="AB12" s="78">
        <f t="shared" si="1"/>
        <v>1374</v>
      </c>
      <c r="AC12" s="29"/>
      <c r="AD12" s="51">
        <f>+Income2000!AD12</f>
        <v>684</v>
      </c>
      <c r="AE12" s="77"/>
      <c r="AF12" s="51">
        <f>+Income2000!AF12</f>
        <v>744</v>
      </c>
      <c r="AG12" s="77"/>
      <c r="AH12" s="51">
        <f>+Income2000!AH12</f>
        <v>754</v>
      </c>
      <c r="AI12" s="74"/>
      <c r="AJ12" s="78">
        <f t="shared" si="2"/>
        <v>2182</v>
      </c>
      <c r="AK12" s="74"/>
      <c r="AL12" s="63">
        <f t="shared" ref="AL12:AL18" si="4">+T12+L12+AB12+AJ12</f>
        <v>6045</v>
      </c>
    </row>
    <row r="13" spans="2:38" x14ac:dyDescent="0.3">
      <c r="C13" s="36" t="s">
        <v>7</v>
      </c>
      <c r="D13" s="20"/>
      <c r="E13" s="20"/>
      <c r="F13" s="51">
        <f>+Income2000!F13</f>
        <v>289</v>
      </c>
      <c r="G13" s="32"/>
      <c r="H13" s="51">
        <f>+Income2000!H13</f>
        <v>522</v>
      </c>
      <c r="I13" s="32"/>
      <c r="J13" s="51">
        <f>+Income2000!J13</f>
        <v>553</v>
      </c>
      <c r="K13" s="32" t="s">
        <v>20</v>
      </c>
      <c r="L13" s="60">
        <f t="shared" si="3"/>
        <v>1364</v>
      </c>
      <c r="M13" s="20"/>
      <c r="N13" s="51">
        <f>+Income2000!N13</f>
        <v>-280</v>
      </c>
      <c r="O13" s="77"/>
      <c r="P13" s="51">
        <f>+Income2000!P13</f>
        <v>635</v>
      </c>
      <c r="Q13" s="77"/>
      <c r="R13" s="51">
        <f>+Income2000!R13</f>
        <v>54</v>
      </c>
      <c r="S13" s="77" t="s">
        <v>20</v>
      </c>
      <c r="T13" s="63">
        <f t="shared" si="0"/>
        <v>409</v>
      </c>
      <c r="U13" s="20"/>
      <c r="V13" s="51">
        <f>+Income2000!V13</f>
        <v>21</v>
      </c>
      <c r="W13" s="77"/>
      <c r="X13" s="51">
        <f>+Income2000!X13</f>
        <v>556</v>
      </c>
      <c r="Y13" s="77"/>
      <c r="Z13" s="51">
        <f>+Income2000!Z13</f>
        <v>64</v>
      </c>
      <c r="AA13" s="77" t="s">
        <v>20</v>
      </c>
      <c r="AB13" s="78">
        <f t="shared" si="1"/>
        <v>641</v>
      </c>
      <c r="AC13" s="20"/>
      <c r="AD13" s="51">
        <f>+Income2000!AD13</f>
        <v>1188</v>
      </c>
      <c r="AE13" s="77"/>
      <c r="AF13" s="51">
        <f>+Income2000!AF13</f>
        <v>1261</v>
      </c>
      <c r="AG13" s="77"/>
      <c r="AH13" s="51">
        <f>+Income2000!AH13</f>
        <v>550</v>
      </c>
      <c r="AI13" s="77" t="s">
        <v>20</v>
      </c>
      <c r="AJ13" s="78">
        <f t="shared" si="2"/>
        <v>2999</v>
      </c>
      <c r="AK13" s="77"/>
      <c r="AL13" s="63">
        <f t="shared" si="4"/>
        <v>5413</v>
      </c>
    </row>
    <row r="14" spans="2:38" x14ac:dyDescent="0.3">
      <c r="C14" s="36" t="s">
        <v>8</v>
      </c>
      <c r="D14" s="20"/>
      <c r="E14" s="29"/>
      <c r="F14" s="51">
        <f>+Income2000!F14</f>
        <v>626</v>
      </c>
      <c r="G14" s="32"/>
      <c r="H14" s="51">
        <f>+Income2000!H14</f>
        <v>756</v>
      </c>
      <c r="I14" s="32"/>
      <c r="J14" s="51">
        <f>+Income2000!J14</f>
        <v>852</v>
      </c>
      <c r="K14" s="32" t="s">
        <v>20</v>
      </c>
      <c r="L14" s="60">
        <f t="shared" si="3"/>
        <v>2234</v>
      </c>
      <c r="M14" s="29"/>
      <c r="N14" s="51">
        <f>+Income2000!N14</f>
        <v>593</v>
      </c>
      <c r="O14" s="77"/>
      <c r="P14" s="51">
        <f>+Income2000!P14</f>
        <v>991</v>
      </c>
      <c r="Q14" s="77"/>
      <c r="R14" s="51">
        <f>+Income2000!R14</f>
        <v>822</v>
      </c>
      <c r="S14" s="77" t="s">
        <v>20</v>
      </c>
      <c r="T14" s="63">
        <f>SUM(N14:S14)</f>
        <v>2406</v>
      </c>
      <c r="U14" s="29"/>
      <c r="V14" s="51">
        <f>+Income2000!V14</f>
        <v>1154</v>
      </c>
      <c r="W14" s="77"/>
      <c r="X14" s="51">
        <f>+Income2000!X14</f>
        <v>1126</v>
      </c>
      <c r="Y14" s="77"/>
      <c r="Z14" s="51">
        <f>+Income2000!Z14</f>
        <v>1176</v>
      </c>
      <c r="AA14" s="77" t="s">
        <v>20</v>
      </c>
      <c r="AB14" s="78">
        <f t="shared" si="1"/>
        <v>3456</v>
      </c>
      <c r="AC14" s="29"/>
      <c r="AD14" s="51">
        <f>+Income2000!AD14</f>
        <v>1132</v>
      </c>
      <c r="AE14" s="77"/>
      <c r="AF14" s="51">
        <f>+Income2000!AF14</f>
        <v>963</v>
      </c>
      <c r="AG14" s="77"/>
      <c r="AH14" s="51">
        <f>+Income2000!AH14</f>
        <v>1504</v>
      </c>
      <c r="AI14" s="77" t="s">
        <v>20</v>
      </c>
      <c r="AJ14" s="78">
        <f t="shared" si="2"/>
        <v>3599</v>
      </c>
      <c r="AK14" s="77"/>
      <c r="AL14" s="63">
        <f t="shared" si="4"/>
        <v>11695</v>
      </c>
    </row>
    <row r="15" spans="2:38" x14ac:dyDescent="0.3">
      <c r="C15" s="28" t="s">
        <v>24</v>
      </c>
      <c r="D15" s="20"/>
      <c r="E15" s="29"/>
      <c r="F15" s="51">
        <f>+Income2000!F15</f>
        <v>-758</v>
      </c>
      <c r="G15" s="32"/>
      <c r="H15" s="51">
        <f>+Income2000!H15</f>
        <v>-2</v>
      </c>
      <c r="I15" s="32"/>
      <c r="J15" s="51">
        <f>+Income2000!J15</f>
        <v>-13</v>
      </c>
      <c r="K15" s="32"/>
      <c r="L15" s="60">
        <f t="shared" si="3"/>
        <v>-773</v>
      </c>
      <c r="M15" s="29"/>
      <c r="N15" s="51">
        <f>+Income2000!N15</f>
        <v>-2</v>
      </c>
      <c r="O15" s="77"/>
      <c r="P15" s="51">
        <f>+Income2000!P15</f>
        <v>0</v>
      </c>
      <c r="Q15" s="77"/>
      <c r="R15" s="51">
        <f>+Income2000!R15</f>
        <v>2293</v>
      </c>
      <c r="S15" s="77"/>
      <c r="T15" s="63">
        <f t="shared" si="0"/>
        <v>2291</v>
      </c>
      <c r="U15" s="29"/>
      <c r="V15" s="51">
        <f>+Income2000!V15</f>
        <v>269</v>
      </c>
      <c r="W15" s="77"/>
      <c r="X15" s="51">
        <f>+Income2000!X15</f>
        <v>0</v>
      </c>
      <c r="Y15" s="77"/>
      <c r="Z15" s="51">
        <f>+Income2000!Z15</f>
        <v>0</v>
      </c>
      <c r="AA15" s="77"/>
      <c r="AB15" s="78">
        <f t="shared" si="1"/>
        <v>269</v>
      </c>
      <c r="AC15" s="29"/>
      <c r="AD15" s="51">
        <f>+Income2000!AD15</f>
        <v>0</v>
      </c>
      <c r="AE15" s="77"/>
      <c r="AF15" s="51">
        <f>+Income2000!AF15</f>
        <v>0</v>
      </c>
      <c r="AG15" s="77"/>
      <c r="AH15" s="51">
        <f>+Income2000!AH15</f>
        <v>0</v>
      </c>
      <c r="AI15" s="77"/>
      <c r="AJ15" s="78">
        <f t="shared" si="2"/>
        <v>0</v>
      </c>
      <c r="AK15" s="77"/>
      <c r="AL15" s="63">
        <f t="shared" si="4"/>
        <v>1787</v>
      </c>
    </row>
    <row r="16" spans="2:38" x14ac:dyDescent="0.3">
      <c r="B16" s="26" t="s">
        <v>9</v>
      </c>
      <c r="C16" s="20"/>
      <c r="D16" s="20"/>
      <c r="E16" s="20"/>
      <c r="F16" s="11"/>
      <c r="G16" s="32"/>
      <c r="H16" s="11"/>
      <c r="I16" s="32"/>
      <c r="J16" s="11"/>
      <c r="L16" s="60"/>
      <c r="M16" s="20"/>
      <c r="N16" s="11"/>
      <c r="O16" s="77"/>
      <c r="P16" s="11"/>
      <c r="Q16" s="77"/>
      <c r="R16" s="11"/>
      <c r="S16" s="74"/>
      <c r="T16" s="63"/>
      <c r="U16" s="20"/>
      <c r="V16" s="11"/>
      <c r="W16" s="77"/>
      <c r="X16" s="11"/>
      <c r="Y16" s="77"/>
      <c r="Z16" s="11"/>
      <c r="AA16" s="74"/>
      <c r="AB16" s="52"/>
      <c r="AC16" s="20"/>
      <c r="AD16" s="11"/>
      <c r="AE16" s="77"/>
      <c r="AF16" s="11"/>
      <c r="AG16" s="77"/>
      <c r="AH16" s="11"/>
      <c r="AI16" s="74"/>
      <c r="AJ16" s="52"/>
      <c r="AK16" s="74"/>
      <c r="AL16" s="63"/>
    </row>
    <row r="17" spans="2:38" x14ac:dyDescent="0.3">
      <c r="C17" s="36" t="s">
        <v>10</v>
      </c>
      <c r="D17" s="20"/>
      <c r="E17" s="29"/>
      <c r="F17" s="51">
        <f>+Income2000!F17</f>
        <v>162</v>
      </c>
      <c r="G17" s="32"/>
      <c r="H17" s="51">
        <f>+Income2000!H17</f>
        <v>420</v>
      </c>
      <c r="I17" s="32"/>
      <c r="J17" s="51">
        <f>+Income2000!J17</f>
        <v>355</v>
      </c>
      <c r="K17" s="32"/>
      <c r="L17" s="60">
        <f t="shared" si="3"/>
        <v>937</v>
      </c>
      <c r="M17" s="29"/>
      <c r="N17" s="51">
        <f>+Income2000!N17</f>
        <v>-228</v>
      </c>
      <c r="O17" s="77"/>
      <c r="P17" s="51">
        <f>+Income2000!P17</f>
        <v>256</v>
      </c>
      <c r="Q17" s="77"/>
      <c r="R17" s="51">
        <f>+Income2000!R17</f>
        <v>187</v>
      </c>
      <c r="S17" s="77"/>
      <c r="T17" s="63">
        <f>SUM(N17:S17)</f>
        <v>215</v>
      </c>
      <c r="U17" s="29"/>
      <c r="V17" s="51">
        <f>+Income2000!V17</f>
        <v>574</v>
      </c>
      <c r="W17" s="77"/>
      <c r="X17" s="51">
        <f>+Income2000!X17</f>
        <v>1212</v>
      </c>
      <c r="Y17" s="77"/>
      <c r="Z17" s="51">
        <f>+Income2000!Z17</f>
        <v>986</v>
      </c>
      <c r="AA17" s="77"/>
      <c r="AB17" s="78">
        <f>SUM(V17:AA17)</f>
        <v>2772</v>
      </c>
      <c r="AC17" s="29"/>
      <c r="AD17" s="51">
        <f>+Income2000!AD17</f>
        <v>254</v>
      </c>
      <c r="AE17" s="77"/>
      <c r="AF17" s="51">
        <f>+Income2000!AF17</f>
        <v>-122</v>
      </c>
      <c r="AG17" s="77"/>
      <c r="AH17" s="51">
        <f>+Income2000!AH17</f>
        <v>-107</v>
      </c>
      <c r="AI17" s="77"/>
      <c r="AJ17" s="78">
        <f>SUM(AD17:AI17)</f>
        <v>25</v>
      </c>
      <c r="AK17" s="77"/>
      <c r="AL17" s="63">
        <f t="shared" si="4"/>
        <v>3949</v>
      </c>
    </row>
    <row r="18" spans="2:38" x14ac:dyDescent="0.3">
      <c r="B18" s="26" t="s">
        <v>11</v>
      </c>
      <c r="C18" s="20"/>
      <c r="D18" s="20"/>
      <c r="E18" s="29"/>
      <c r="F18" s="58">
        <f>+Income2000!F18</f>
        <v>48</v>
      </c>
      <c r="G18" s="32"/>
      <c r="H18" s="58">
        <f>+Income2000!H18</f>
        <v>60</v>
      </c>
      <c r="I18" s="32"/>
      <c r="J18" s="58">
        <f>+Income2000!J18</f>
        <v>64</v>
      </c>
      <c r="L18" s="62">
        <f t="shared" si="3"/>
        <v>172</v>
      </c>
      <c r="M18" s="29"/>
      <c r="N18" s="58">
        <f>+Income2000!N18</f>
        <v>49</v>
      </c>
      <c r="O18" s="77"/>
      <c r="P18" s="58">
        <f>+Income2000!P18</f>
        <v>51</v>
      </c>
      <c r="Q18" s="77"/>
      <c r="R18" s="58">
        <f>+Income2000!R18</f>
        <v>67</v>
      </c>
      <c r="S18" s="74"/>
      <c r="T18" s="73">
        <f>SUM(N18:S18)</f>
        <v>167</v>
      </c>
      <c r="U18" s="29"/>
      <c r="V18" s="58">
        <f>+Income2000!V18</f>
        <v>57</v>
      </c>
      <c r="W18" s="77"/>
      <c r="X18" s="58">
        <f>+Income2000!X18</f>
        <v>59</v>
      </c>
      <c r="Y18" s="77"/>
      <c r="Z18" s="58">
        <f>+Income2000!Z18</f>
        <v>59</v>
      </c>
      <c r="AA18" s="74"/>
      <c r="AB18" s="80">
        <f>SUM(V18:AA18)</f>
        <v>175</v>
      </c>
      <c r="AC18" s="29"/>
      <c r="AD18" s="58">
        <f>+Income2000!AD18</f>
        <v>60</v>
      </c>
      <c r="AE18" s="77"/>
      <c r="AF18" s="58">
        <f>+Income2000!AF18</f>
        <v>58</v>
      </c>
      <c r="AG18" s="77"/>
      <c r="AH18" s="58">
        <f>+Income2000!AH18</f>
        <v>79</v>
      </c>
      <c r="AI18" s="74"/>
      <c r="AJ18" s="80">
        <f>SUM(AD18:AI18)</f>
        <v>197</v>
      </c>
      <c r="AK18" s="74"/>
      <c r="AL18" s="80">
        <f t="shared" si="4"/>
        <v>711</v>
      </c>
    </row>
    <row r="19" spans="2:38" x14ac:dyDescent="0.3">
      <c r="B19" s="26" t="s">
        <v>32</v>
      </c>
      <c r="C19" s="20"/>
      <c r="D19" s="20"/>
      <c r="E19" s="30"/>
      <c r="F19" s="35">
        <f>SUM(F10:F18)</f>
        <v>21508</v>
      </c>
      <c r="H19" s="35">
        <f>SUM(H10:H18)</f>
        <v>18587</v>
      </c>
      <c r="J19" s="35">
        <f>SUM(J10:J18)</f>
        <v>18181</v>
      </c>
      <c r="L19" s="35">
        <f>SUM(L10:L18)</f>
        <v>58276</v>
      </c>
      <c r="M19" s="30"/>
      <c r="N19" s="35">
        <f>SUM(N10:N18)</f>
        <v>15921</v>
      </c>
      <c r="O19" s="74"/>
      <c r="P19" s="35">
        <f>SUM(P10:P18)</f>
        <v>22954</v>
      </c>
      <c r="Q19" s="74"/>
      <c r="R19" s="35">
        <f>SUM(R10:R18)</f>
        <v>23653</v>
      </c>
      <c r="S19" s="74"/>
      <c r="T19" s="65">
        <f>SUM(T10:T18)</f>
        <v>62528</v>
      </c>
      <c r="U19" s="30"/>
      <c r="V19" s="35">
        <f>SUM(V10:V18)</f>
        <v>19037</v>
      </c>
      <c r="W19" s="74"/>
      <c r="X19" s="35">
        <f>SUM(X10:X18)</f>
        <v>19090</v>
      </c>
      <c r="Y19" s="74"/>
      <c r="Z19" s="35">
        <f>SUM(Z10:Z18)</f>
        <v>22597</v>
      </c>
      <c r="AA19" s="74"/>
      <c r="AB19" s="65">
        <f>SUM(AB10:AB18)</f>
        <v>60724</v>
      </c>
      <c r="AC19" s="30"/>
      <c r="AD19" s="35">
        <f>SUM(AD10:AD18)</f>
        <v>19286</v>
      </c>
      <c r="AE19" s="74"/>
      <c r="AF19" s="35">
        <f>SUM(AF10:AF18)</f>
        <v>20689</v>
      </c>
      <c r="AG19" s="74"/>
      <c r="AH19" s="35">
        <f>SUM(AH10:AH18)</f>
        <v>22048</v>
      </c>
      <c r="AI19" s="74"/>
      <c r="AJ19" s="65">
        <f>SUM(AJ10:AJ18)</f>
        <v>62023</v>
      </c>
      <c r="AK19" s="74"/>
      <c r="AL19" s="65">
        <f>SUM(AL10:AL18)</f>
        <v>243551</v>
      </c>
    </row>
    <row r="20" spans="2:38" x14ac:dyDescent="0.3">
      <c r="B20" s="26"/>
      <c r="C20" s="20"/>
      <c r="D20" s="20"/>
      <c r="E20" s="30"/>
      <c r="F20" s="35"/>
      <c r="H20" s="35"/>
      <c r="J20" s="35"/>
      <c r="L20" s="35"/>
      <c r="M20" s="30"/>
      <c r="N20" s="35"/>
      <c r="O20" s="74"/>
      <c r="P20" s="35"/>
      <c r="Q20" s="74"/>
      <c r="R20" s="35"/>
      <c r="S20" s="74"/>
      <c r="T20" s="65"/>
      <c r="U20" s="30"/>
      <c r="V20" s="35"/>
      <c r="W20" s="74"/>
      <c r="X20" s="35"/>
      <c r="Y20" s="74"/>
      <c r="Z20" s="35"/>
      <c r="AA20" s="74"/>
      <c r="AB20" s="65"/>
      <c r="AC20" s="30"/>
      <c r="AD20" s="35"/>
      <c r="AE20" s="74"/>
      <c r="AF20" s="35"/>
      <c r="AG20" s="74"/>
      <c r="AH20" s="35"/>
      <c r="AI20" s="74"/>
      <c r="AJ20" s="65"/>
      <c r="AK20" s="74"/>
      <c r="AL20" s="65"/>
    </row>
    <row r="21" spans="2:38" x14ac:dyDescent="0.3">
      <c r="B21" s="26" t="s">
        <v>22</v>
      </c>
      <c r="C21" s="20"/>
      <c r="D21" s="20"/>
      <c r="E21" s="30"/>
      <c r="F21" s="35"/>
      <c r="H21" s="35"/>
      <c r="J21" s="35"/>
      <c r="L21" s="35"/>
      <c r="M21" s="30"/>
      <c r="N21" s="35"/>
      <c r="O21" s="74"/>
      <c r="P21" s="35"/>
      <c r="Q21" s="74"/>
      <c r="R21" s="35"/>
      <c r="S21" s="74"/>
      <c r="T21" s="65"/>
      <c r="U21" s="30"/>
      <c r="V21" s="35"/>
      <c r="W21" s="74"/>
      <c r="X21" s="35"/>
      <c r="Y21" s="74"/>
      <c r="Z21" s="35"/>
      <c r="AA21" s="74"/>
      <c r="AB21" s="65"/>
      <c r="AC21" s="30"/>
      <c r="AD21" s="35"/>
      <c r="AE21" s="74"/>
      <c r="AF21" s="35"/>
      <c r="AG21" s="74"/>
      <c r="AH21" s="35"/>
      <c r="AI21" s="74"/>
      <c r="AJ21" s="65"/>
      <c r="AK21" s="74"/>
      <c r="AL21" s="65"/>
    </row>
    <row r="22" spans="2:38" x14ac:dyDescent="0.3">
      <c r="B22" s="26"/>
      <c r="C22" s="28" t="s">
        <v>5</v>
      </c>
      <c r="D22" s="20"/>
      <c r="E22" s="30"/>
      <c r="F22" s="51">
        <f>+Income2000!F22</f>
        <v>-2975</v>
      </c>
      <c r="H22" s="51">
        <f>+Income2000!H22</f>
        <v>1333</v>
      </c>
      <c r="J22" s="51">
        <f>+Income2000!J22</f>
        <v>-182</v>
      </c>
      <c r="L22" s="60">
        <f>SUM(F22:K22)</f>
        <v>-1824</v>
      </c>
      <c r="M22" s="30"/>
      <c r="N22" s="51">
        <f>+Income2000!N22</f>
        <v>9</v>
      </c>
      <c r="O22" s="74"/>
      <c r="P22" s="51">
        <f>+Income2000!P22</f>
        <v>-242</v>
      </c>
      <c r="Q22" s="74"/>
      <c r="R22" s="51">
        <f>+Income2000!R22</f>
        <v>-251</v>
      </c>
      <c r="S22" s="74"/>
      <c r="T22" s="63">
        <f>SUM(N22:S22)</f>
        <v>-484</v>
      </c>
      <c r="U22" s="30"/>
      <c r="V22" s="51">
        <f>+Income2000!V22</f>
        <v>55</v>
      </c>
      <c r="W22" s="74"/>
      <c r="X22" s="51">
        <f>+Income2000!X22</f>
        <v>193</v>
      </c>
      <c r="Y22" s="74"/>
      <c r="Z22" s="51">
        <f>+Income2000!Z22</f>
        <v>-353</v>
      </c>
      <c r="AA22" s="74"/>
      <c r="AB22" s="78">
        <f>SUM(V22:AA22)</f>
        <v>-105</v>
      </c>
      <c r="AC22" s="30"/>
      <c r="AD22" s="51">
        <f>+Income2000!AD22</f>
        <v>416</v>
      </c>
      <c r="AE22" s="74"/>
      <c r="AF22" s="51">
        <f>+Income2000!AF22</f>
        <v>-102</v>
      </c>
      <c r="AG22" s="74"/>
      <c r="AH22" s="51">
        <f>+Income2000!AH22</f>
        <v>-506</v>
      </c>
      <c r="AI22" s="74"/>
      <c r="AJ22" s="78">
        <f>SUM(AD22:AI22)</f>
        <v>-192</v>
      </c>
      <c r="AK22" s="74"/>
      <c r="AL22" s="63">
        <f>+T22+L22+AB22+AJ22</f>
        <v>-2605</v>
      </c>
    </row>
    <row r="23" spans="2:38" x14ac:dyDescent="0.3">
      <c r="B23" s="26"/>
      <c r="C23" s="28" t="s">
        <v>6</v>
      </c>
      <c r="D23" s="20"/>
      <c r="E23" s="30"/>
      <c r="F23" s="51">
        <f>+Income2000!F23</f>
        <v>41</v>
      </c>
      <c r="H23" s="51">
        <f>+Income2000!H23</f>
        <v>-14</v>
      </c>
      <c r="J23" s="51">
        <f>+Income2000!J23</f>
        <v>-6</v>
      </c>
      <c r="L23" s="60">
        <f>SUM(F23:K23)</f>
        <v>21</v>
      </c>
      <c r="M23" s="30"/>
      <c r="N23" s="51">
        <f>+Income2000!N23</f>
        <v>-18</v>
      </c>
      <c r="O23" s="74"/>
      <c r="P23" s="51">
        <f>+Income2000!P23</f>
        <v>-37</v>
      </c>
      <c r="Q23" s="74"/>
      <c r="R23" s="51">
        <f>+Income2000!R23</f>
        <v>-14</v>
      </c>
      <c r="S23" s="74"/>
      <c r="T23" s="63">
        <f>SUM(N23:S23)</f>
        <v>-69</v>
      </c>
      <c r="U23" s="30"/>
      <c r="V23" s="51">
        <f>+Income2000!V23</f>
        <v>5</v>
      </c>
      <c r="W23" s="74"/>
      <c r="X23" s="51">
        <f>+Income2000!X23</f>
        <v>-22</v>
      </c>
      <c r="Y23" s="74"/>
      <c r="Z23" s="51">
        <f>+Income2000!Z23</f>
        <v>18</v>
      </c>
      <c r="AA23" s="74"/>
      <c r="AB23" s="78">
        <f>SUM(V23:AA23)</f>
        <v>1</v>
      </c>
      <c r="AC23" s="30"/>
      <c r="AD23" s="51">
        <f>+Income2000!AD23</f>
        <v>34</v>
      </c>
      <c r="AE23" s="74"/>
      <c r="AF23" s="51">
        <f>+Income2000!AF23</f>
        <v>-16</v>
      </c>
      <c r="AG23" s="74"/>
      <c r="AH23" s="51">
        <f>+Income2000!AH23</f>
        <v>-20</v>
      </c>
      <c r="AI23" s="74"/>
      <c r="AJ23" s="78">
        <f>SUM(AD23:AI23)</f>
        <v>-2</v>
      </c>
      <c r="AK23" s="74"/>
      <c r="AL23" s="63">
        <f>+T23+L23+AB23+AJ23</f>
        <v>-49</v>
      </c>
    </row>
    <row r="24" spans="2:38" x14ac:dyDescent="0.3">
      <c r="B24" s="26"/>
      <c r="C24" s="28" t="s">
        <v>24</v>
      </c>
      <c r="D24" s="20"/>
      <c r="E24" s="30"/>
      <c r="F24" s="51">
        <f>+Income2000!F24</f>
        <v>428</v>
      </c>
      <c r="H24" s="51">
        <f>+Income2000!H24</f>
        <v>-6</v>
      </c>
      <c r="J24" s="51">
        <f>+Income2000!J24</f>
        <v>1</v>
      </c>
      <c r="L24" s="60">
        <f>SUM(F24:K24)</f>
        <v>423</v>
      </c>
      <c r="M24" s="30"/>
      <c r="N24" s="51">
        <f>+Income2000!N24</f>
        <v>0</v>
      </c>
      <c r="O24" s="74"/>
      <c r="P24" s="51">
        <f>+Income2000!P24</f>
        <v>0</v>
      </c>
      <c r="Q24" s="74"/>
      <c r="R24" s="51">
        <f>+Income2000!R24</f>
        <v>0</v>
      </c>
      <c r="S24" s="74"/>
      <c r="T24" s="63">
        <f>SUM(N24:S24)</f>
        <v>0</v>
      </c>
      <c r="U24" s="30"/>
      <c r="V24" s="51">
        <f>+Income2000!V24</f>
        <v>0</v>
      </c>
      <c r="W24" s="74"/>
      <c r="X24" s="51">
        <f>+Income2000!X24</f>
        <v>0</v>
      </c>
      <c r="Y24" s="74"/>
      <c r="Z24" s="51">
        <f>+Income2000!Z24</f>
        <v>-1181</v>
      </c>
      <c r="AA24" s="74"/>
      <c r="AB24" s="78">
        <f>SUM(V24:AA24)</f>
        <v>-1181</v>
      </c>
      <c r="AC24" s="30"/>
      <c r="AD24" s="51">
        <f>+Income2000!AD24</f>
        <v>0</v>
      </c>
      <c r="AE24" s="74"/>
      <c r="AF24" s="51">
        <f>+Income2000!AF24</f>
        <v>0</v>
      </c>
      <c r="AG24" s="74"/>
      <c r="AH24" s="51">
        <f>+Income2000!AH24</f>
        <v>0</v>
      </c>
      <c r="AI24" s="74"/>
      <c r="AJ24" s="78">
        <f>SUM(AD24:AI24)</f>
        <v>0</v>
      </c>
      <c r="AK24" s="74"/>
      <c r="AL24" s="63">
        <f>+T24+L24+AB24+AJ24</f>
        <v>-758</v>
      </c>
    </row>
    <row r="25" spans="2:38" x14ac:dyDescent="0.3">
      <c r="B25" s="26"/>
      <c r="C25" s="36" t="s">
        <v>10</v>
      </c>
      <c r="D25" s="20"/>
      <c r="E25" s="30"/>
      <c r="F25" s="58">
        <f>+Income2000!F25</f>
        <v>-255</v>
      </c>
      <c r="H25" s="58">
        <f>+Income2000!H25</f>
        <v>195</v>
      </c>
      <c r="J25" s="58">
        <f>+Income2000!J25</f>
        <v>-372</v>
      </c>
      <c r="L25" s="62">
        <f>SUM(F25:K25)</f>
        <v>-432</v>
      </c>
      <c r="M25" s="30"/>
      <c r="N25" s="58">
        <f>+Income2000!N25</f>
        <v>229</v>
      </c>
      <c r="O25" s="74"/>
      <c r="P25" s="58">
        <f>+Income2000!P25</f>
        <v>-148</v>
      </c>
      <c r="Q25" s="74"/>
      <c r="R25" s="58">
        <f>+Income2000!R25</f>
        <v>543</v>
      </c>
      <c r="S25" s="74"/>
      <c r="T25" s="73">
        <f>SUM(N25:S25)</f>
        <v>624</v>
      </c>
      <c r="U25" s="30"/>
      <c r="V25" s="58">
        <f>+Income2000!V25</f>
        <v>-561</v>
      </c>
      <c r="W25" s="74"/>
      <c r="X25" s="58">
        <f>+Income2000!X25</f>
        <v>931</v>
      </c>
      <c r="Y25" s="74"/>
      <c r="Z25" s="58">
        <f>+Income2000!Z25</f>
        <v>-914</v>
      </c>
      <c r="AA25" s="74"/>
      <c r="AB25" s="80">
        <f>SUM(V25:AA25)</f>
        <v>-544</v>
      </c>
      <c r="AC25" s="30"/>
      <c r="AD25" s="58">
        <f>+Income2000!AD25</f>
        <v>-50</v>
      </c>
      <c r="AE25" s="74"/>
      <c r="AF25" s="58">
        <f>+Income2000!AF25</f>
        <v>1</v>
      </c>
      <c r="AG25" s="74"/>
      <c r="AH25" s="58">
        <f>+Income2000!AH25</f>
        <v>177</v>
      </c>
      <c r="AI25" s="74"/>
      <c r="AJ25" s="80">
        <f>SUM(AD25:AI25)</f>
        <v>128</v>
      </c>
      <c r="AK25" s="74"/>
      <c r="AL25" s="80">
        <f>+T25+L25+AB25+AJ25</f>
        <v>-224</v>
      </c>
    </row>
    <row r="26" spans="2:38" x14ac:dyDescent="0.3">
      <c r="B26" s="26" t="s">
        <v>23</v>
      </c>
      <c r="C26" s="36"/>
      <c r="D26" s="20"/>
      <c r="E26" s="30"/>
      <c r="F26" s="35">
        <f>SUM(F22:F25)</f>
        <v>-2761</v>
      </c>
      <c r="H26" s="35">
        <f>SUM(H22:H25)</f>
        <v>1508</v>
      </c>
      <c r="J26" s="35">
        <f>SUM(J22:J25)</f>
        <v>-559</v>
      </c>
      <c r="L26" s="65">
        <f>SUM(L22:L25)</f>
        <v>-1812</v>
      </c>
      <c r="M26" s="30"/>
      <c r="N26" s="35">
        <f>SUM(N22:N25)</f>
        <v>220</v>
      </c>
      <c r="O26" s="74"/>
      <c r="P26" s="35">
        <f>SUM(P22:P25)</f>
        <v>-427</v>
      </c>
      <c r="Q26" s="74"/>
      <c r="R26" s="35">
        <f>SUM(R22:R25)</f>
        <v>278</v>
      </c>
      <c r="S26" s="74"/>
      <c r="T26" s="65">
        <f>SUM(T22:T25)</f>
        <v>71</v>
      </c>
      <c r="U26" s="30"/>
      <c r="V26" s="35">
        <f>SUM(V22:V25)</f>
        <v>-501</v>
      </c>
      <c r="W26" s="74"/>
      <c r="X26" s="35">
        <f>SUM(X22:X25)</f>
        <v>1102</v>
      </c>
      <c r="Y26" s="74"/>
      <c r="Z26" s="35">
        <f>SUM(Z22:Z25)</f>
        <v>-2430</v>
      </c>
      <c r="AA26" s="74"/>
      <c r="AB26" s="81">
        <f>SUM(AB22:AB25)</f>
        <v>-1829</v>
      </c>
      <c r="AC26" s="30"/>
      <c r="AD26" s="35">
        <f>SUM(AD22:AD25)</f>
        <v>400</v>
      </c>
      <c r="AE26" s="74"/>
      <c r="AF26" s="35">
        <f>SUM(AF22:AF25)</f>
        <v>-117</v>
      </c>
      <c r="AG26" s="74"/>
      <c r="AH26" s="35">
        <f>SUM(AH22:AH25)</f>
        <v>-349</v>
      </c>
      <c r="AI26" s="74"/>
      <c r="AJ26" s="81">
        <f>SUM(AJ22:AJ25)</f>
        <v>-66</v>
      </c>
      <c r="AK26" s="74"/>
      <c r="AL26" s="65">
        <f>SUM(AL22:AL25)</f>
        <v>-3636</v>
      </c>
    </row>
    <row r="27" spans="2:38" x14ac:dyDescent="0.3">
      <c r="B27" s="26"/>
      <c r="C27" s="36"/>
      <c r="D27" s="20"/>
      <c r="E27" s="30"/>
      <c r="F27" s="35"/>
      <c r="H27" s="35"/>
      <c r="J27" s="35"/>
      <c r="L27" s="65"/>
      <c r="M27" s="30"/>
      <c r="N27" s="35"/>
      <c r="O27" s="74"/>
      <c r="P27" s="35"/>
      <c r="Q27" s="74"/>
      <c r="R27" s="35"/>
      <c r="S27" s="74"/>
      <c r="T27" s="65"/>
      <c r="U27" s="30"/>
      <c r="V27" s="35"/>
      <c r="W27" s="74"/>
      <c r="X27" s="35"/>
      <c r="Y27" s="74"/>
      <c r="Z27" s="35"/>
      <c r="AA27" s="74"/>
      <c r="AB27" s="65"/>
      <c r="AC27" s="30"/>
      <c r="AD27" s="35"/>
      <c r="AE27" s="74"/>
      <c r="AF27" s="35"/>
      <c r="AG27" s="74"/>
      <c r="AH27" s="35"/>
      <c r="AI27" s="74"/>
      <c r="AJ27" s="65"/>
      <c r="AK27" s="74"/>
      <c r="AL27" s="65"/>
    </row>
    <row r="28" spans="2:38" x14ac:dyDescent="0.3">
      <c r="B28" s="26" t="s">
        <v>12</v>
      </c>
      <c r="C28" s="20"/>
      <c r="D28" s="20"/>
      <c r="E28" s="30"/>
      <c r="F28" s="41">
        <f>+F19+F26</f>
        <v>18747</v>
      </c>
      <c r="H28" s="41">
        <f>+H19+H26</f>
        <v>20095</v>
      </c>
      <c r="J28" s="41">
        <f>+J19+J26</f>
        <v>17622</v>
      </c>
      <c r="L28" s="41">
        <f>+L19+L26</f>
        <v>56464</v>
      </c>
      <c r="N28" s="41">
        <f>+N19+N26</f>
        <v>16141</v>
      </c>
      <c r="P28" s="41">
        <f>+P19+P26</f>
        <v>22527</v>
      </c>
      <c r="R28" s="41">
        <f>+R19+R26</f>
        <v>23931</v>
      </c>
      <c r="T28" s="41">
        <f>+T19+T26</f>
        <v>62599</v>
      </c>
      <c r="V28" s="41">
        <f>+V19+V26</f>
        <v>18536</v>
      </c>
      <c r="X28" s="41">
        <f>+X19+X26</f>
        <v>20192</v>
      </c>
      <c r="Z28" s="41">
        <f>+Z19+Z26</f>
        <v>20167</v>
      </c>
      <c r="AB28" s="41">
        <f>+AB19+AB26</f>
        <v>58895</v>
      </c>
      <c r="AD28" s="41">
        <f>+AD19+AD26</f>
        <v>19686</v>
      </c>
      <c r="AF28" s="41">
        <f>+AF19+AF26</f>
        <v>20572</v>
      </c>
      <c r="AH28" s="41">
        <f>+AH19+AH26</f>
        <v>21699</v>
      </c>
      <c r="AJ28" s="41">
        <f>+AJ19+AJ26</f>
        <v>61957</v>
      </c>
      <c r="AL28" s="41">
        <f>+AL19+AL26</f>
        <v>239915</v>
      </c>
    </row>
    <row r="29" spans="2:38" x14ac:dyDescent="0.3">
      <c r="B29" s="26"/>
      <c r="C29" s="20"/>
      <c r="D29" s="20"/>
      <c r="E29" s="30"/>
      <c r="F29" s="35"/>
      <c r="H29" s="35"/>
      <c r="J29" s="35"/>
      <c r="L29" s="35"/>
      <c r="M29" s="30"/>
      <c r="N29" s="35"/>
      <c r="O29" s="74"/>
      <c r="P29" s="35"/>
      <c r="Q29" s="74"/>
      <c r="R29" s="35"/>
      <c r="S29" s="74"/>
      <c r="T29" s="65"/>
      <c r="U29" s="30"/>
      <c r="V29" s="35"/>
      <c r="W29" s="74"/>
      <c r="X29" s="35"/>
      <c r="Y29" s="74"/>
      <c r="Z29" s="35"/>
      <c r="AA29" s="74"/>
      <c r="AB29" s="65"/>
      <c r="AC29" s="30"/>
      <c r="AD29" s="35"/>
      <c r="AE29" s="74"/>
      <c r="AF29" s="35"/>
      <c r="AG29" s="74"/>
      <c r="AH29" s="35"/>
      <c r="AI29" s="74"/>
      <c r="AJ29" s="65"/>
      <c r="AK29" s="74"/>
      <c r="AL29" s="65"/>
    </row>
    <row r="30" spans="2:38" x14ac:dyDescent="0.3">
      <c r="B30" s="26" t="s">
        <v>59</v>
      </c>
      <c r="C30" s="20"/>
      <c r="D30" s="20"/>
      <c r="E30" s="30"/>
      <c r="F30" s="11"/>
      <c r="H30" s="11"/>
      <c r="J30" s="11"/>
      <c r="L30" s="27"/>
      <c r="M30" s="30"/>
      <c r="N30" s="11"/>
      <c r="O30" s="74"/>
      <c r="P30" s="11"/>
      <c r="Q30" s="74"/>
      <c r="R30" s="11"/>
      <c r="S30" s="74"/>
      <c r="T30" s="52"/>
      <c r="U30" s="30"/>
      <c r="V30" s="11"/>
      <c r="W30" s="74"/>
      <c r="X30" s="11"/>
      <c r="Y30" s="74"/>
      <c r="Z30" s="11"/>
      <c r="AA30" s="74"/>
      <c r="AB30" s="52"/>
      <c r="AC30" s="30"/>
      <c r="AD30" s="11"/>
      <c r="AE30" s="74"/>
      <c r="AF30" s="11"/>
      <c r="AG30" s="74"/>
      <c r="AH30" s="11"/>
      <c r="AI30" s="74"/>
      <c r="AJ30" s="52"/>
      <c r="AK30" s="74"/>
      <c r="AL30" s="52"/>
    </row>
    <row r="31" spans="2:38" x14ac:dyDescent="0.3">
      <c r="C31" s="36" t="s">
        <v>62</v>
      </c>
      <c r="F31" s="49">
        <v>3570</v>
      </c>
      <c r="H31" s="49">
        <v>3586</v>
      </c>
      <c r="J31" s="49">
        <v>3686</v>
      </c>
      <c r="L31" s="60">
        <f t="shared" ref="L31:L37" si="5">SUM(F31:K31)</f>
        <v>10842</v>
      </c>
      <c r="N31" s="49">
        <v>4125</v>
      </c>
      <c r="P31" s="49">
        <v>4093</v>
      </c>
      <c r="R31" s="49">
        <v>4529</v>
      </c>
      <c r="T31" s="60">
        <f t="shared" ref="T31:T37" si="6">SUM(N31:S31)</f>
        <v>12747</v>
      </c>
      <c r="V31" s="49">
        <v>4125</v>
      </c>
      <c r="X31" s="49">
        <v>4480</v>
      </c>
      <c r="Z31" s="49">
        <v>3564</v>
      </c>
      <c r="AB31" s="60">
        <f t="shared" ref="AB31:AB37" si="7">SUM(V31:AA31)</f>
        <v>12169</v>
      </c>
      <c r="AD31" s="49">
        <v>4467</v>
      </c>
      <c r="AF31" s="49">
        <v>4279</v>
      </c>
      <c r="AH31" s="49">
        <v>3924</v>
      </c>
      <c r="AJ31" s="60">
        <f t="shared" ref="AJ31:AJ37" si="8">SUM(AD31:AI31)</f>
        <v>12670</v>
      </c>
      <c r="AL31" s="63">
        <f t="shared" ref="AL31:AL37" si="9">+T31+L31+AB31+AJ31</f>
        <v>48428</v>
      </c>
    </row>
    <row r="32" spans="2:38" x14ac:dyDescent="0.3">
      <c r="B32" s="20"/>
      <c r="C32" s="20" t="s">
        <v>63</v>
      </c>
      <c r="D32" s="20"/>
      <c r="E32" s="30"/>
      <c r="F32" s="51">
        <v>4225</v>
      </c>
      <c r="G32" s="32"/>
      <c r="H32" s="51">
        <v>4579</v>
      </c>
      <c r="I32" s="32"/>
      <c r="J32" s="51">
        <v>4559</v>
      </c>
      <c r="K32" s="40"/>
      <c r="L32" s="60">
        <f t="shared" si="5"/>
        <v>13363</v>
      </c>
      <c r="M32" s="30"/>
      <c r="N32" s="51">
        <v>4075</v>
      </c>
      <c r="O32" s="77"/>
      <c r="P32" s="51">
        <v>4394</v>
      </c>
      <c r="Q32" s="77"/>
      <c r="R32" s="51">
        <v>4559</v>
      </c>
      <c r="S32" s="82"/>
      <c r="T32" s="60">
        <f t="shared" si="6"/>
        <v>13028</v>
      </c>
      <c r="U32" s="30"/>
      <c r="V32" s="51">
        <v>4134</v>
      </c>
      <c r="W32" s="77"/>
      <c r="X32" s="51">
        <v>4367</v>
      </c>
      <c r="Y32" s="77"/>
      <c r="Z32" s="51">
        <v>4120</v>
      </c>
      <c r="AA32" s="82"/>
      <c r="AB32" s="60">
        <f t="shared" si="7"/>
        <v>12621</v>
      </c>
      <c r="AC32" s="30"/>
      <c r="AD32" s="51">
        <v>4630</v>
      </c>
      <c r="AE32" s="77"/>
      <c r="AF32" s="51">
        <v>4031</v>
      </c>
      <c r="AG32" s="77"/>
      <c r="AH32" s="51">
        <v>4727</v>
      </c>
      <c r="AI32" s="82"/>
      <c r="AJ32" s="60">
        <f t="shared" si="8"/>
        <v>13388</v>
      </c>
      <c r="AK32" s="82"/>
      <c r="AL32" s="63">
        <f t="shared" si="9"/>
        <v>52400</v>
      </c>
    </row>
    <row r="33" spans="2:38" x14ac:dyDescent="0.3">
      <c r="B33" s="20"/>
      <c r="C33" s="20" t="s">
        <v>64</v>
      </c>
      <c r="D33" s="20"/>
      <c r="E33" s="30"/>
      <c r="F33" s="51">
        <v>178</v>
      </c>
      <c r="G33" s="32"/>
      <c r="H33" s="51">
        <v>464</v>
      </c>
      <c r="I33" s="32"/>
      <c r="J33" s="51">
        <v>459</v>
      </c>
      <c r="K33" s="40"/>
      <c r="L33" s="60">
        <f t="shared" si="5"/>
        <v>1101</v>
      </c>
      <c r="M33" s="30"/>
      <c r="N33" s="51">
        <v>359</v>
      </c>
      <c r="O33" s="77"/>
      <c r="P33" s="51">
        <v>488</v>
      </c>
      <c r="Q33" s="77"/>
      <c r="R33" s="51">
        <v>482</v>
      </c>
      <c r="S33" s="82"/>
      <c r="T33" s="60">
        <f t="shared" si="6"/>
        <v>1329</v>
      </c>
      <c r="U33" s="30"/>
      <c r="V33" s="51">
        <v>649</v>
      </c>
      <c r="W33" s="77"/>
      <c r="X33" s="51">
        <v>519</v>
      </c>
      <c r="Y33" s="77"/>
      <c r="Z33" s="51">
        <v>226</v>
      </c>
      <c r="AA33" s="82"/>
      <c r="AB33" s="60">
        <f t="shared" si="7"/>
        <v>1394</v>
      </c>
      <c r="AC33" s="30"/>
      <c r="AD33" s="51">
        <v>177</v>
      </c>
      <c r="AE33" s="77"/>
      <c r="AF33" s="51">
        <v>138</v>
      </c>
      <c r="AG33" s="77"/>
      <c r="AH33" s="51">
        <v>127</v>
      </c>
      <c r="AI33" s="82"/>
      <c r="AJ33" s="60">
        <f t="shared" si="8"/>
        <v>442</v>
      </c>
      <c r="AK33" s="82"/>
      <c r="AL33" s="63">
        <f t="shared" si="9"/>
        <v>4266</v>
      </c>
    </row>
    <row r="34" spans="2:38" x14ac:dyDescent="0.3">
      <c r="B34" s="20"/>
      <c r="C34" s="20" t="s">
        <v>65</v>
      </c>
      <c r="D34" s="20"/>
      <c r="E34" s="30"/>
      <c r="F34" s="51">
        <v>253</v>
      </c>
      <c r="G34" s="32"/>
      <c r="H34" s="51">
        <v>304</v>
      </c>
      <c r="I34" s="32"/>
      <c r="J34" s="51">
        <v>318</v>
      </c>
      <c r="K34" s="40"/>
      <c r="L34" s="60">
        <f t="shared" si="5"/>
        <v>875</v>
      </c>
      <c r="M34" s="30"/>
      <c r="N34" s="51">
        <v>396</v>
      </c>
      <c r="O34" s="77"/>
      <c r="P34" s="51">
        <v>601</v>
      </c>
      <c r="Q34" s="77"/>
      <c r="R34" s="51">
        <v>673</v>
      </c>
      <c r="S34" s="82"/>
      <c r="T34" s="60">
        <f t="shared" si="6"/>
        <v>1670</v>
      </c>
      <c r="U34" s="30"/>
      <c r="V34" s="51">
        <v>662</v>
      </c>
      <c r="W34" s="77"/>
      <c r="X34" s="51">
        <v>558</v>
      </c>
      <c r="Y34" s="77"/>
      <c r="Z34" s="51">
        <v>589</v>
      </c>
      <c r="AA34" s="82"/>
      <c r="AB34" s="60">
        <f t="shared" si="7"/>
        <v>1809</v>
      </c>
      <c r="AC34" s="30"/>
      <c r="AD34" s="51">
        <v>550</v>
      </c>
      <c r="AE34" s="77"/>
      <c r="AF34" s="51">
        <v>428</v>
      </c>
      <c r="AG34" s="77"/>
      <c r="AH34" s="51">
        <v>586</v>
      </c>
      <c r="AI34" s="82"/>
      <c r="AJ34" s="60">
        <f t="shared" si="8"/>
        <v>1564</v>
      </c>
      <c r="AK34" s="82"/>
      <c r="AL34" s="63">
        <f t="shared" si="9"/>
        <v>5918</v>
      </c>
    </row>
    <row r="35" spans="2:38" x14ac:dyDescent="0.3">
      <c r="B35" s="20"/>
      <c r="C35" s="20" t="s">
        <v>66</v>
      </c>
      <c r="D35" s="20"/>
      <c r="E35" s="30"/>
      <c r="F35" s="51">
        <v>1338</v>
      </c>
      <c r="G35" s="32"/>
      <c r="H35" s="51">
        <v>1264</v>
      </c>
      <c r="I35" s="32"/>
      <c r="J35" s="51">
        <v>1279</v>
      </c>
      <c r="K35" s="40"/>
      <c r="L35" s="60">
        <f t="shared" si="5"/>
        <v>3881</v>
      </c>
      <c r="M35" s="30"/>
      <c r="N35" s="51">
        <v>1372</v>
      </c>
      <c r="O35" s="77"/>
      <c r="P35" s="51">
        <v>1406</v>
      </c>
      <c r="Q35" s="77"/>
      <c r="R35" s="51">
        <v>1359</v>
      </c>
      <c r="S35" s="82"/>
      <c r="T35" s="60">
        <f t="shared" si="6"/>
        <v>4137</v>
      </c>
      <c r="U35" s="30"/>
      <c r="V35" s="51">
        <v>1378</v>
      </c>
      <c r="W35" s="77"/>
      <c r="X35" s="51">
        <v>1360</v>
      </c>
      <c r="Y35" s="77"/>
      <c r="Z35" s="51">
        <v>1352</v>
      </c>
      <c r="AA35" s="82"/>
      <c r="AB35" s="60">
        <f t="shared" si="7"/>
        <v>4090</v>
      </c>
      <c r="AC35" s="30"/>
      <c r="AD35" s="51">
        <v>1486</v>
      </c>
      <c r="AE35" s="77"/>
      <c r="AF35" s="51">
        <v>1396</v>
      </c>
      <c r="AG35" s="77"/>
      <c r="AH35" s="51">
        <v>1476</v>
      </c>
      <c r="AI35" s="82"/>
      <c r="AJ35" s="60">
        <f t="shared" si="8"/>
        <v>4358</v>
      </c>
      <c r="AK35" s="82"/>
      <c r="AL35" s="63">
        <f t="shared" si="9"/>
        <v>16466</v>
      </c>
    </row>
    <row r="36" spans="2:38" x14ac:dyDescent="0.3">
      <c r="B36" s="20"/>
      <c r="C36" s="20" t="s">
        <v>67</v>
      </c>
      <c r="D36" s="20"/>
      <c r="E36" s="30"/>
      <c r="F36" s="51">
        <v>1385</v>
      </c>
      <c r="G36" s="32"/>
      <c r="H36" s="51">
        <v>1830</v>
      </c>
      <c r="I36" s="32"/>
      <c r="J36" s="51">
        <v>1946</v>
      </c>
      <c r="K36" s="40"/>
      <c r="L36" s="60">
        <f t="shared" si="5"/>
        <v>5161</v>
      </c>
      <c r="M36" s="30"/>
      <c r="N36" s="51">
        <v>1329</v>
      </c>
      <c r="O36" s="77"/>
      <c r="P36" s="51">
        <v>2536</v>
      </c>
      <c r="Q36" s="77"/>
      <c r="R36" s="51">
        <v>2191</v>
      </c>
      <c r="S36" s="82"/>
      <c r="T36" s="60">
        <f t="shared" si="6"/>
        <v>6056</v>
      </c>
      <c r="U36" s="30"/>
      <c r="V36" s="51">
        <v>1929</v>
      </c>
      <c r="W36" s="77"/>
      <c r="X36" s="51">
        <v>2013</v>
      </c>
      <c r="Y36" s="77"/>
      <c r="Z36" s="51">
        <v>1784</v>
      </c>
      <c r="AA36" s="82"/>
      <c r="AB36" s="60">
        <f t="shared" si="7"/>
        <v>5726</v>
      </c>
      <c r="AC36" s="30"/>
      <c r="AD36" s="51">
        <v>2249</v>
      </c>
      <c r="AE36" s="77"/>
      <c r="AF36" s="51">
        <v>2009</v>
      </c>
      <c r="AG36" s="77"/>
      <c r="AH36" s="51">
        <v>3288</v>
      </c>
      <c r="AI36" s="82"/>
      <c r="AJ36" s="60">
        <f t="shared" si="8"/>
        <v>7546</v>
      </c>
      <c r="AK36" s="82"/>
      <c r="AL36" s="63">
        <f t="shared" si="9"/>
        <v>24489</v>
      </c>
    </row>
    <row r="37" spans="2:38" x14ac:dyDescent="0.3">
      <c r="C37" s="20" t="s">
        <v>68</v>
      </c>
      <c r="F37" s="49">
        <v>691</v>
      </c>
      <c r="H37" s="49">
        <v>717</v>
      </c>
      <c r="J37" s="49">
        <v>869</v>
      </c>
      <c r="L37" s="60">
        <f t="shared" si="5"/>
        <v>2277</v>
      </c>
      <c r="N37" s="49">
        <v>804</v>
      </c>
      <c r="P37" s="49">
        <v>702</v>
      </c>
      <c r="R37" s="49">
        <v>694</v>
      </c>
      <c r="T37" s="60">
        <f t="shared" si="6"/>
        <v>2200</v>
      </c>
      <c r="V37" s="49">
        <v>1008</v>
      </c>
      <c r="X37" s="49">
        <v>751</v>
      </c>
      <c r="Z37" s="49">
        <v>649</v>
      </c>
      <c r="AB37" s="60">
        <f t="shared" si="7"/>
        <v>2408</v>
      </c>
      <c r="AD37" s="49">
        <v>736</v>
      </c>
      <c r="AF37" s="49">
        <v>722</v>
      </c>
      <c r="AH37" s="49">
        <v>780</v>
      </c>
      <c r="AJ37" s="60">
        <f t="shared" si="8"/>
        <v>2238</v>
      </c>
      <c r="AL37" s="60">
        <f t="shared" si="9"/>
        <v>9123</v>
      </c>
    </row>
    <row r="38" spans="2:38" x14ac:dyDescent="0.3">
      <c r="B38" s="28"/>
      <c r="C38" s="20"/>
      <c r="D38" s="20"/>
      <c r="E38" s="30"/>
      <c r="F38" s="92">
        <f>SUM(F31:F37)</f>
        <v>11640</v>
      </c>
      <c r="H38" s="92">
        <f>SUM(H31:H37)</f>
        <v>12744</v>
      </c>
      <c r="J38" s="92">
        <f>SUM(J31:J37)</f>
        <v>13116</v>
      </c>
      <c r="L38" s="92">
        <f>SUM(L31:L37)</f>
        <v>37500</v>
      </c>
      <c r="M38" s="30"/>
      <c r="N38" s="92">
        <f>SUM(N31:N37)</f>
        <v>12460</v>
      </c>
      <c r="O38" s="74"/>
      <c r="P38" s="92">
        <f>SUM(P31:P37)</f>
        <v>14220</v>
      </c>
      <c r="Q38" s="74"/>
      <c r="R38" s="92">
        <f>SUM(R31:R37)</f>
        <v>14487</v>
      </c>
      <c r="S38" s="74"/>
      <c r="T38" s="92">
        <f>SUM(T31:T37)</f>
        <v>41167</v>
      </c>
      <c r="U38" s="30"/>
      <c r="V38" s="92">
        <f>SUM(V31:V37)</f>
        <v>13885</v>
      </c>
      <c r="W38" s="74"/>
      <c r="X38" s="92">
        <f>SUM(X31:X37)</f>
        <v>14048</v>
      </c>
      <c r="Y38" s="74"/>
      <c r="Z38" s="92">
        <f>SUM(Z31:Z37)</f>
        <v>12284</v>
      </c>
      <c r="AA38" s="74"/>
      <c r="AB38" s="92">
        <f>SUM(AB31:AB37)</f>
        <v>40217</v>
      </c>
      <c r="AC38" s="30"/>
      <c r="AD38" s="92">
        <f>SUM(AD31:AD37)</f>
        <v>14295</v>
      </c>
      <c r="AE38" s="74"/>
      <c r="AF38" s="92">
        <f>SUM(AF31:AF37)</f>
        <v>13003</v>
      </c>
      <c r="AG38" s="74"/>
      <c r="AH38" s="92">
        <f>SUM(AH31:AH37)</f>
        <v>14908</v>
      </c>
      <c r="AI38" s="74"/>
      <c r="AJ38" s="92">
        <f>SUM(AJ31:AJ37)</f>
        <v>42206</v>
      </c>
      <c r="AK38" s="74"/>
      <c r="AL38" s="92">
        <f>SUM(AL31:AL37)</f>
        <v>161090</v>
      </c>
    </row>
    <row r="39" spans="2:38" x14ac:dyDescent="0.3">
      <c r="B39" s="20"/>
      <c r="C39" s="20"/>
      <c r="D39" s="20"/>
      <c r="E39" s="30"/>
      <c r="F39" s="11"/>
      <c r="H39" s="11"/>
      <c r="J39" s="11"/>
      <c r="L39" s="27"/>
      <c r="M39" s="30"/>
      <c r="N39" s="11"/>
      <c r="O39" s="74"/>
      <c r="P39" s="11"/>
      <c r="Q39" s="74"/>
      <c r="R39" s="11"/>
      <c r="S39" s="74"/>
      <c r="T39" s="27"/>
      <c r="U39" s="30"/>
      <c r="V39" s="11"/>
      <c r="W39" s="74"/>
      <c r="X39" s="11"/>
      <c r="Y39" s="74"/>
      <c r="Z39" s="11"/>
      <c r="AA39" s="74"/>
      <c r="AB39" s="52"/>
      <c r="AC39" s="30"/>
      <c r="AD39" s="11"/>
      <c r="AE39" s="74"/>
      <c r="AF39" s="11"/>
      <c r="AG39" s="74"/>
      <c r="AH39" s="11"/>
      <c r="AI39" s="74"/>
      <c r="AJ39" s="52"/>
      <c r="AK39" s="74"/>
      <c r="AL39" s="52"/>
    </row>
    <row r="40" spans="2:38" x14ac:dyDescent="0.3">
      <c r="B40" s="26" t="s">
        <v>61</v>
      </c>
      <c r="C40" s="20"/>
      <c r="D40" s="20"/>
      <c r="E40" s="30"/>
      <c r="F40" s="34">
        <f>ROUND(F28-F38,0)</f>
        <v>7107</v>
      </c>
      <c r="H40" s="34">
        <f>ROUND(H28-H38,0)</f>
        <v>7351</v>
      </c>
      <c r="J40" s="34">
        <f>ROUND(J28-J38,0)</f>
        <v>4506</v>
      </c>
      <c r="L40" s="34">
        <f>ROUND(L28-L38,0)</f>
        <v>18964</v>
      </c>
      <c r="M40" s="30"/>
      <c r="N40" s="34">
        <f>ROUND(N28-N38,0)</f>
        <v>3681</v>
      </c>
      <c r="O40" s="74"/>
      <c r="P40" s="34">
        <f>ROUND(P28-P38,0)</f>
        <v>8307</v>
      </c>
      <c r="Q40" s="74"/>
      <c r="R40" s="34">
        <f>ROUND(R28-R38,0)</f>
        <v>9444</v>
      </c>
      <c r="S40" s="74"/>
      <c r="T40" s="34">
        <f>ROUND(T28-T38,0)</f>
        <v>21432</v>
      </c>
      <c r="U40" s="30"/>
      <c r="V40" s="34">
        <f>ROUND(V28-V38,0)</f>
        <v>4651</v>
      </c>
      <c r="W40" s="74"/>
      <c r="X40" s="34">
        <f>ROUND(X28-X38,0)</f>
        <v>6144</v>
      </c>
      <c r="Y40" s="74"/>
      <c r="Z40" s="34">
        <f>ROUND(Z28-Z38,0)</f>
        <v>7883</v>
      </c>
      <c r="AA40" s="74"/>
      <c r="AB40" s="53">
        <f>ROUND(AB28-AB38,0)</f>
        <v>18678</v>
      </c>
      <c r="AC40" s="30"/>
      <c r="AD40" s="34">
        <f>ROUND(AD28-AD38,0)</f>
        <v>5391</v>
      </c>
      <c r="AE40" s="74"/>
      <c r="AF40" s="34">
        <f>ROUND(AF28-AF38,0)</f>
        <v>7569</v>
      </c>
      <c r="AG40" s="74"/>
      <c r="AH40" s="34">
        <f>ROUND(AH28-AH38,0)</f>
        <v>6791</v>
      </c>
      <c r="AI40" s="74"/>
      <c r="AJ40" s="53">
        <f>ROUND(AJ28-AJ38,0)</f>
        <v>19751</v>
      </c>
      <c r="AK40" s="74"/>
      <c r="AL40" s="53">
        <f>ROUND(AL28-AL38,0)</f>
        <v>78825</v>
      </c>
    </row>
    <row r="41" spans="2:38" x14ac:dyDescent="0.3">
      <c r="B41" s="26"/>
      <c r="C41" s="20"/>
      <c r="D41" s="20"/>
      <c r="E41" s="30"/>
      <c r="F41" s="35"/>
      <c r="H41" s="35"/>
      <c r="J41" s="35"/>
      <c r="L41" s="39"/>
      <c r="M41" s="30"/>
      <c r="N41" s="35"/>
      <c r="O41" s="74"/>
      <c r="P41" s="35"/>
      <c r="Q41" s="74"/>
      <c r="R41" s="35"/>
      <c r="S41" s="74"/>
      <c r="T41" s="65"/>
      <c r="U41" s="30"/>
      <c r="V41" s="35"/>
      <c r="W41" s="74"/>
      <c r="X41" s="35"/>
      <c r="Y41" s="74"/>
      <c r="Z41" s="35"/>
      <c r="AA41" s="74"/>
      <c r="AB41" s="65"/>
      <c r="AC41" s="30"/>
      <c r="AD41" s="35"/>
      <c r="AE41" s="74"/>
      <c r="AF41" s="35"/>
      <c r="AG41" s="74"/>
      <c r="AH41" s="35"/>
      <c r="AI41" s="74"/>
      <c r="AJ41" s="65"/>
      <c r="AK41" s="74"/>
      <c r="AL41" s="65"/>
    </row>
    <row r="42" spans="2:38" x14ac:dyDescent="0.3">
      <c r="B42" s="37" t="s">
        <v>15</v>
      </c>
      <c r="C42" s="20"/>
      <c r="D42" s="20"/>
      <c r="E42" s="30"/>
      <c r="F42" s="11"/>
      <c r="H42" s="11"/>
      <c r="J42" s="11"/>
      <c r="K42" s="30"/>
      <c r="L42" s="27"/>
      <c r="M42" s="30"/>
      <c r="N42" s="11"/>
      <c r="O42" s="74"/>
      <c r="P42" s="11"/>
      <c r="Q42" s="74"/>
      <c r="R42" s="11"/>
      <c r="S42" s="75"/>
      <c r="T42" s="52"/>
      <c r="U42" s="30"/>
      <c r="V42" s="11"/>
      <c r="W42" s="74"/>
      <c r="X42" s="11"/>
      <c r="Y42" s="74"/>
      <c r="Z42" s="11"/>
      <c r="AA42" s="75"/>
      <c r="AB42" s="52"/>
      <c r="AC42" s="30"/>
      <c r="AD42" s="11"/>
      <c r="AE42" s="74"/>
      <c r="AF42" s="11"/>
      <c r="AG42" s="74"/>
      <c r="AH42" s="11"/>
      <c r="AI42" s="75"/>
      <c r="AJ42" s="52"/>
      <c r="AK42" s="75"/>
      <c r="AL42" s="52"/>
    </row>
    <row r="43" spans="2:38" x14ac:dyDescent="0.3">
      <c r="B43" s="20"/>
      <c r="C43" s="36" t="s">
        <v>18</v>
      </c>
      <c r="D43" s="20"/>
      <c r="E43" s="30"/>
      <c r="F43" s="51">
        <f>+Income2000!F38</f>
        <v>-2598</v>
      </c>
      <c r="H43" s="51">
        <f>+Income2000!H38</f>
        <v>-2381</v>
      </c>
      <c r="J43" s="51">
        <f>+Income2000!J38</f>
        <v>-2492</v>
      </c>
      <c r="K43" s="27"/>
      <c r="L43" s="60">
        <f>SUM(F43:K43)</f>
        <v>-7471</v>
      </c>
      <c r="M43" s="30"/>
      <c r="N43" s="51">
        <f>+Income2000!N38</f>
        <v>-2452</v>
      </c>
      <c r="O43" s="74"/>
      <c r="P43" s="51">
        <f>+Income2000!P38</f>
        <v>-2439</v>
      </c>
      <c r="Q43" s="74"/>
      <c r="R43" s="51">
        <f>+Income2000!R38</f>
        <v>-2358</v>
      </c>
      <c r="S43" s="52"/>
      <c r="T43" s="63">
        <f>SUM(N43:S43)</f>
        <v>-7249</v>
      </c>
      <c r="U43" s="30"/>
      <c r="V43" s="51">
        <f>+Income2000!V38</f>
        <v>-2438</v>
      </c>
      <c r="W43" s="74"/>
      <c r="X43" s="51">
        <f>+Income2000!X38</f>
        <v>-2203</v>
      </c>
      <c r="Y43" s="74"/>
      <c r="Z43" s="51">
        <f>+Income2000!Z38</f>
        <v>-2351</v>
      </c>
      <c r="AA43" s="52"/>
      <c r="AB43" s="63">
        <f>SUM(V43:AA43)</f>
        <v>-6992</v>
      </c>
      <c r="AC43" s="30"/>
      <c r="AD43" s="51">
        <v>-2462</v>
      </c>
      <c r="AE43" s="74"/>
      <c r="AF43" s="51">
        <v>-2260</v>
      </c>
      <c r="AG43" s="74"/>
      <c r="AH43" s="51">
        <v>-2346</v>
      </c>
      <c r="AI43" s="52"/>
      <c r="AJ43" s="63">
        <f>SUM(AD43:AI43)</f>
        <v>-7068</v>
      </c>
      <c r="AK43" s="52"/>
      <c r="AL43" s="63">
        <f>+T43+L43+AB43+AJ43</f>
        <v>-28780</v>
      </c>
    </row>
    <row r="44" spans="2:38" x14ac:dyDescent="0.3">
      <c r="B44" s="20"/>
      <c r="C44" s="36" t="s">
        <v>13</v>
      </c>
      <c r="D44" s="20"/>
      <c r="E44" s="30"/>
      <c r="F44" s="51">
        <f>-Income2000!F32</f>
        <v>-2768</v>
      </c>
      <c r="H44" s="51">
        <f>-Income2000!H32</f>
        <v>-2819</v>
      </c>
      <c r="J44" s="51">
        <f>-Income2000!J32</f>
        <v>-2805</v>
      </c>
      <c r="K44" s="27"/>
      <c r="L44" s="60">
        <f>SUM(F44:K44)</f>
        <v>-8392</v>
      </c>
      <c r="M44" s="30"/>
      <c r="N44" s="51">
        <f>-Income2000!N32</f>
        <v>-2810</v>
      </c>
      <c r="O44" s="74"/>
      <c r="P44" s="51">
        <f>-Income2000!P32</f>
        <v>-2813</v>
      </c>
      <c r="Q44" s="74"/>
      <c r="R44" s="51">
        <f>-Income2000!R32</f>
        <v>-2844</v>
      </c>
      <c r="S44" s="52"/>
      <c r="T44" s="63">
        <f>SUM(N44:S44)</f>
        <v>-8467</v>
      </c>
      <c r="U44" s="30"/>
      <c r="V44" s="51">
        <f>-Income2000!V32</f>
        <v>-2807</v>
      </c>
      <c r="W44" s="74"/>
      <c r="X44" s="51">
        <f>-Income2000!X32</f>
        <v>-2771</v>
      </c>
      <c r="Y44" s="74"/>
      <c r="Z44" s="51">
        <f>-Income2000!Z32</f>
        <v>-2845</v>
      </c>
      <c r="AA44" s="52"/>
      <c r="AB44" s="63">
        <f>SUM(V44:AA44)</f>
        <v>-8423</v>
      </c>
      <c r="AC44" s="30"/>
      <c r="AD44" s="51">
        <v>-2883</v>
      </c>
      <c r="AE44" s="74"/>
      <c r="AF44" s="51">
        <v>-2870</v>
      </c>
      <c r="AG44" s="74"/>
      <c r="AH44" s="51">
        <v>-2833</v>
      </c>
      <c r="AI44" s="52"/>
      <c r="AJ44" s="63">
        <f>SUM(AD44:AI44)</f>
        <v>-8586</v>
      </c>
      <c r="AK44" s="52"/>
      <c r="AL44" s="63">
        <f>+T44+L44+AB44+AJ44</f>
        <v>-33868</v>
      </c>
    </row>
    <row r="45" spans="2:38" x14ac:dyDescent="0.3">
      <c r="B45" s="20"/>
      <c r="C45" s="36" t="s">
        <v>16</v>
      </c>
      <c r="D45" s="20"/>
      <c r="E45" s="30"/>
      <c r="F45" s="58">
        <f>+Income2000!F39</f>
        <v>-368</v>
      </c>
      <c r="H45" s="58">
        <f>+Income2000!H39</f>
        <v>-275</v>
      </c>
      <c r="J45" s="58">
        <f>+Income2000!J39</f>
        <v>-237</v>
      </c>
      <c r="K45" s="30"/>
      <c r="L45" s="62">
        <f>SUM(F45:K45)</f>
        <v>-880</v>
      </c>
      <c r="M45" s="30"/>
      <c r="N45" s="58">
        <f>+Income2000!N39</f>
        <v>-481</v>
      </c>
      <c r="O45" s="74"/>
      <c r="P45" s="58">
        <f>+Income2000!P39</f>
        <v>-493</v>
      </c>
      <c r="Q45" s="74"/>
      <c r="R45" s="58">
        <f>+Income2000!R39</f>
        <v>146</v>
      </c>
      <c r="S45" s="75"/>
      <c r="T45" s="73">
        <f>SUM(N45:S45)</f>
        <v>-828</v>
      </c>
      <c r="U45" s="30"/>
      <c r="V45" s="58">
        <f>+Income2000!V39</f>
        <v>-229</v>
      </c>
      <c r="W45" s="74"/>
      <c r="X45" s="58">
        <f>+Income2000!X39</f>
        <v>214</v>
      </c>
      <c r="Y45" s="74"/>
      <c r="Z45" s="58">
        <f>+Income2000!Z39</f>
        <v>-237</v>
      </c>
      <c r="AA45" s="75"/>
      <c r="AB45" s="73">
        <f>SUM(V45:AA45)</f>
        <v>-252</v>
      </c>
      <c r="AC45" s="30"/>
      <c r="AD45" s="58">
        <v>-327</v>
      </c>
      <c r="AE45" s="74"/>
      <c r="AF45" s="58">
        <v>-51</v>
      </c>
      <c r="AG45" s="74"/>
      <c r="AH45" s="58">
        <v>-6</v>
      </c>
      <c r="AI45" s="75"/>
      <c r="AJ45" s="73">
        <f>SUM(AD45:AI45)</f>
        <v>-384</v>
      </c>
      <c r="AK45" s="75"/>
      <c r="AL45" s="80">
        <f>+T45+L45+AB45+AJ45</f>
        <v>-2344</v>
      </c>
    </row>
    <row r="46" spans="2:38" x14ac:dyDescent="0.3">
      <c r="B46" s="20"/>
      <c r="C46" s="20"/>
      <c r="D46" s="20"/>
      <c r="E46" s="30"/>
      <c r="F46" s="41">
        <f>ROUND(SUM(F43:F45),0)</f>
        <v>-5734</v>
      </c>
      <c r="H46" s="41">
        <f>ROUND(SUM(H43:H45),0)</f>
        <v>-5475</v>
      </c>
      <c r="J46" s="41">
        <f>ROUND(SUM(J43:J45),0)</f>
        <v>-5534</v>
      </c>
      <c r="K46" s="30"/>
      <c r="L46" s="41">
        <f>ROUND(SUM(L43:L45),0)</f>
        <v>-16743</v>
      </c>
      <c r="M46" s="30"/>
      <c r="N46" s="41">
        <f>ROUND(SUM(N43:N45),0)</f>
        <v>-5743</v>
      </c>
      <c r="O46" s="74"/>
      <c r="P46" s="41">
        <f>ROUND(SUM(P43:P45),0)</f>
        <v>-5745</v>
      </c>
      <c r="Q46" s="74"/>
      <c r="R46" s="41">
        <f>ROUND(SUM(R43:R45),0)</f>
        <v>-5056</v>
      </c>
      <c r="S46" s="75"/>
      <c r="T46" s="84">
        <f>ROUND(SUM(T43:T45),0)</f>
        <v>-16544</v>
      </c>
      <c r="U46" s="30"/>
      <c r="V46" s="41">
        <f>ROUND(SUM(V43:V45),0)</f>
        <v>-5474</v>
      </c>
      <c r="W46" s="74"/>
      <c r="X46" s="41">
        <f>ROUND(SUM(X43:X45),0)</f>
        <v>-4760</v>
      </c>
      <c r="Y46" s="74"/>
      <c r="Z46" s="41">
        <f>ROUND(SUM(Z43:Z45),0)</f>
        <v>-5433</v>
      </c>
      <c r="AA46" s="75"/>
      <c r="AB46" s="84">
        <f>ROUND(SUM(AB43:AB45),0)</f>
        <v>-15667</v>
      </c>
      <c r="AC46" s="30"/>
      <c r="AD46" s="41">
        <f>ROUND(SUM(AD43:AD45),0)</f>
        <v>-5672</v>
      </c>
      <c r="AE46" s="74"/>
      <c r="AF46" s="41">
        <f>ROUND(SUM(AF43:AF45),0)</f>
        <v>-5181</v>
      </c>
      <c r="AG46" s="74"/>
      <c r="AH46" s="41">
        <f>ROUND(SUM(AH43:AH45),0)</f>
        <v>-5185</v>
      </c>
      <c r="AI46" s="75"/>
      <c r="AJ46" s="84">
        <f>ROUND(SUM(AJ43:AJ45),0)</f>
        <v>-16038</v>
      </c>
      <c r="AK46" s="75"/>
      <c r="AL46" s="84">
        <f>ROUND(SUM(AL43:AL45),0)</f>
        <v>-64992</v>
      </c>
    </row>
    <row r="47" spans="2:38" x14ac:dyDescent="0.3">
      <c r="B47" s="20"/>
      <c r="C47" s="20"/>
      <c r="D47" s="20"/>
      <c r="E47" s="30"/>
      <c r="F47" s="35"/>
      <c r="H47" s="35"/>
      <c r="J47" s="35"/>
      <c r="K47" s="30"/>
      <c r="L47" s="39"/>
      <c r="M47" s="30"/>
      <c r="N47" s="35"/>
      <c r="P47" s="39"/>
      <c r="R47" s="39"/>
      <c r="S47" s="30"/>
      <c r="T47" s="39"/>
      <c r="U47" s="30"/>
      <c r="V47" s="35"/>
      <c r="X47" s="39"/>
      <c r="Z47" s="39"/>
      <c r="AA47" s="30"/>
      <c r="AB47" s="39"/>
      <c r="AC47" s="30"/>
      <c r="AD47" s="35"/>
      <c r="AF47" s="39"/>
      <c r="AH47" s="39"/>
      <c r="AI47" s="30"/>
      <c r="AJ47" s="39"/>
      <c r="AK47" s="30"/>
      <c r="AL47" s="39"/>
    </row>
    <row r="48" spans="2:38" ht="16.2" thickBot="1" x14ac:dyDescent="0.35">
      <c r="B48" s="37" t="s">
        <v>60</v>
      </c>
      <c r="C48" s="20"/>
      <c r="D48" s="20"/>
      <c r="E48" s="30"/>
      <c r="F48" s="56">
        <f>ROUND(F40+F46,0)</f>
        <v>1373</v>
      </c>
      <c r="G48" s="17"/>
      <c r="H48" s="56">
        <f>ROUND(H40+H46,0)</f>
        <v>1876</v>
      </c>
      <c r="I48" s="17"/>
      <c r="J48" s="56">
        <f>ROUND(J40+J46,0)</f>
        <v>-1028</v>
      </c>
      <c r="K48" s="42"/>
      <c r="L48" s="56">
        <f>ROUND(L40+L46,0)</f>
        <v>2221</v>
      </c>
      <c r="M48" s="30"/>
      <c r="N48" s="56">
        <f>ROUND(N40+N46,0)</f>
        <v>-2062</v>
      </c>
      <c r="O48" s="72"/>
      <c r="P48" s="56">
        <f>ROUND(P40+P46,0)</f>
        <v>2562</v>
      </c>
      <c r="Q48" s="72"/>
      <c r="R48" s="56">
        <f>ROUND(R40+R46,0)</f>
        <v>4388</v>
      </c>
      <c r="S48" s="42"/>
      <c r="T48" s="56">
        <f>ROUND(T40+T46,0)</f>
        <v>4888</v>
      </c>
      <c r="U48" s="30"/>
      <c r="V48" s="56">
        <f>ROUND(V40+V46,0)</f>
        <v>-823</v>
      </c>
      <c r="W48" s="72"/>
      <c r="X48" s="56">
        <f>ROUND(X40+X46,0)</f>
        <v>1384</v>
      </c>
      <c r="Y48" s="72"/>
      <c r="Z48" s="56">
        <f>ROUND(Z40+Z46,0)</f>
        <v>2450</v>
      </c>
      <c r="AA48" s="42"/>
      <c r="AB48" s="56">
        <f>ROUND(AB40+AB46,0)</f>
        <v>3011</v>
      </c>
      <c r="AC48" s="30"/>
      <c r="AD48" s="56">
        <f>ROUND(AD40+AD46,0)</f>
        <v>-281</v>
      </c>
      <c r="AE48" s="72"/>
      <c r="AF48" s="56">
        <f>ROUND(AF40+AF46,0)</f>
        <v>2388</v>
      </c>
      <c r="AG48" s="72"/>
      <c r="AH48" s="56">
        <f>ROUND(AH40+AH46,0)</f>
        <v>1606</v>
      </c>
      <c r="AI48" s="42"/>
      <c r="AJ48" s="56">
        <f>ROUND(AJ40+AJ46,0)</f>
        <v>3713</v>
      </c>
      <c r="AK48" s="42"/>
      <c r="AL48" s="56">
        <f>ROUND(AL40+AL46,0)</f>
        <v>13833</v>
      </c>
    </row>
    <row r="49" spans="2:39" ht="16.2" thickTop="1" x14ac:dyDescent="0.3"/>
    <row r="50" spans="2:39" x14ac:dyDescent="0.3">
      <c r="AB50" s="50">
        <v>27476</v>
      </c>
      <c r="AJ50" s="50">
        <v>27476</v>
      </c>
      <c r="AL50" s="50">
        <v>27476</v>
      </c>
    </row>
    <row r="54" spans="2:39" x14ac:dyDescent="0.3">
      <c r="B54" s="20"/>
      <c r="C54" s="20" t="s">
        <v>19</v>
      </c>
      <c r="D54" s="20"/>
      <c r="E54" s="30"/>
      <c r="F54" s="51">
        <f>+Income2000!F31</f>
        <v>11640</v>
      </c>
      <c r="G54" s="32"/>
      <c r="H54" s="51">
        <f>+Income2000!H31</f>
        <v>12744</v>
      </c>
      <c r="I54" s="32"/>
      <c r="J54" s="51">
        <f>+Income2000!J31</f>
        <v>13116</v>
      </c>
      <c r="K54" s="32"/>
      <c r="L54" s="51">
        <f>+Income2000!L31</f>
        <v>37500</v>
      </c>
      <c r="M54" s="32"/>
      <c r="N54" s="51">
        <f>+Income2000!N31</f>
        <v>12460</v>
      </c>
      <c r="O54" s="32"/>
      <c r="P54" s="51">
        <f>+Income2000!P31</f>
        <v>14220</v>
      </c>
      <c r="Q54" s="32"/>
      <c r="R54" s="51">
        <f>+Income2000!R31</f>
        <v>14487</v>
      </c>
      <c r="S54" s="32"/>
      <c r="T54" s="51">
        <f>+Income2000!T31</f>
        <v>41167</v>
      </c>
      <c r="U54" s="32"/>
      <c r="V54" s="51">
        <f>+Income2000!V31</f>
        <v>13885</v>
      </c>
      <c r="W54" s="32"/>
      <c r="X54" s="51">
        <f>+Income2000!X31</f>
        <v>14048</v>
      </c>
      <c r="Y54" s="32"/>
      <c r="Z54" s="51">
        <f>+Income2000!Z31</f>
        <v>12284</v>
      </c>
      <c r="AA54" s="32"/>
      <c r="AB54" s="51">
        <f>+Income2000!AB31</f>
        <v>40217</v>
      </c>
      <c r="AC54" s="32"/>
      <c r="AD54" s="51">
        <f>+Income2000!AD31</f>
        <v>14295</v>
      </c>
      <c r="AE54" s="32"/>
      <c r="AF54" s="51">
        <f>+Income2000!AF31</f>
        <v>13003</v>
      </c>
      <c r="AG54" s="32"/>
      <c r="AH54" s="51">
        <f>+Income2000!AH31</f>
        <v>14908</v>
      </c>
      <c r="AI54" s="32"/>
      <c r="AJ54" s="51">
        <f>+Income2000!AJ31</f>
        <v>42206</v>
      </c>
      <c r="AK54" s="32"/>
      <c r="AL54" s="51">
        <f>+Income2000!AL31</f>
        <v>161090</v>
      </c>
      <c r="AM54" s="32"/>
    </row>
    <row r="55" spans="2:39" x14ac:dyDescent="0.3">
      <c r="F55" s="49">
        <f>-F38</f>
        <v>-11640</v>
      </c>
      <c r="H55" s="49">
        <f>-H38</f>
        <v>-12744</v>
      </c>
      <c r="J55" s="49">
        <f>-J38</f>
        <v>-13116</v>
      </c>
      <c r="L55" s="49">
        <f>-L38</f>
        <v>-37500</v>
      </c>
      <c r="N55" s="49">
        <f>-N38</f>
        <v>-12460</v>
      </c>
      <c r="P55" s="49">
        <f>-P38</f>
        <v>-14220</v>
      </c>
      <c r="R55" s="49">
        <f>-R38</f>
        <v>-14487</v>
      </c>
      <c r="T55" s="49">
        <f>-T38</f>
        <v>-41167</v>
      </c>
      <c r="V55" s="49">
        <f>-V38</f>
        <v>-13885</v>
      </c>
      <c r="X55" s="49">
        <f>-X38</f>
        <v>-14048</v>
      </c>
      <c r="Z55" s="49">
        <f>-Z38</f>
        <v>-12284</v>
      </c>
      <c r="AB55" s="49">
        <f>-AB38</f>
        <v>-40217</v>
      </c>
      <c r="AD55" s="49">
        <f>-AD38</f>
        <v>-14295</v>
      </c>
      <c r="AF55" s="49">
        <f>-AF38</f>
        <v>-13003</v>
      </c>
      <c r="AH55" s="49">
        <f>-AH38</f>
        <v>-14908</v>
      </c>
      <c r="AJ55" s="49">
        <f>-AJ38</f>
        <v>-42206</v>
      </c>
      <c r="AL55" s="49">
        <f>-AL38</f>
        <v>-161090</v>
      </c>
    </row>
    <row r="56" spans="2:39" x14ac:dyDescent="0.3">
      <c r="F56" s="49">
        <f>SUM(F54:F55)</f>
        <v>0</v>
      </c>
      <c r="H56" s="49">
        <f>SUM(H54:H55)</f>
        <v>0</v>
      </c>
      <c r="J56" s="49">
        <f>SUM(J54:J55)</f>
        <v>0</v>
      </c>
      <c r="L56" s="49">
        <f>SUM(L54:L55)</f>
        <v>0</v>
      </c>
      <c r="N56" s="49">
        <f>SUM(N54:N55)</f>
        <v>0</v>
      </c>
      <c r="P56" s="49">
        <f>SUM(P54:P55)</f>
        <v>0</v>
      </c>
      <c r="R56" s="49">
        <f>SUM(R54:R55)</f>
        <v>0</v>
      </c>
      <c r="T56" s="49">
        <f>SUM(T54:T55)</f>
        <v>0</v>
      </c>
      <c r="V56" s="49">
        <f>SUM(V54:V55)</f>
        <v>0</v>
      </c>
      <c r="X56" s="49">
        <f>SUM(X54:X55)</f>
        <v>0</v>
      </c>
      <c r="Z56" s="49">
        <f>SUM(Z54:Z55)</f>
        <v>0</v>
      </c>
      <c r="AB56" s="49">
        <f>SUM(AB54:AB55)</f>
        <v>0</v>
      </c>
      <c r="AD56" s="49">
        <f>SUM(AD54:AD55)</f>
        <v>0</v>
      </c>
      <c r="AF56" s="49">
        <f>SUM(AF54:AF55)</f>
        <v>0</v>
      </c>
      <c r="AH56" s="49">
        <f>SUM(AH54:AH55)</f>
        <v>0</v>
      </c>
      <c r="AJ56" s="49">
        <f>SUM(AJ54:AJ55)</f>
        <v>0</v>
      </c>
      <c r="AL56" s="49">
        <f>SUM(AL54:AL55)</f>
        <v>0</v>
      </c>
    </row>
  </sheetData>
  <printOptions horizontalCentered="1"/>
  <pageMargins left="0.4" right="0.4" top="0.75" bottom="0.5" header="0.5" footer="0.5"/>
  <pageSetup scale="5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qtrly forecast</vt:lpstr>
      <vt:lpstr>Income 2001 A</vt:lpstr>
      <vt:lpstr>Six Month Forecast 10.01-3.02</vt:lpstr>
      <vt:lpstr>Assumptions</vt:lpstr>
      <vt:lpstr>Income2000</vt:lpstr>
      <vt:lpstr>IncomeSum2000-MFR</vt:lpstr>
      <vt:lpstr>Assumptions!Print_Area</vt:lpstr>
      <vt:lpstr>'Income 2001 A'!Print_Area</vt:lpstr>
      <vt:lpstr>Income2000!Print_Area</vt:lpstr>
      <vt:lpstr>'IncomeSum2000-MFR'!Print_Area</vt:lpstr>
      <vt:lpstr>'qtrly forecast'!Print_Area</vt:lpstr>
      <vt:lpstr>'Six Month Forecast 10.01-3.02'!Print_Area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Hathaway</dc:creator>
  <cp:lastModifiedBy>Havlíček Jan</cp:lastModifiedBy>
  <cp:lastPrinted>2001-12-18T00:39:40Z</cp:lastPrinted>
  <dcterms:created xsi:type="dcterms:W3CDTF">1998-01-19T17:16:20Z</dcterms:created>
  <dcterms:modified xsi:type="dcterms:W3CDTF">2023-09-10T12:21:32Z</dcterms:modified>
</cp:coreProperties>
</file>