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N107" i="3"/>
  <c r="N108" i="3"/>
  <c r="N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<sst xmlns="http://schemas.openxmlformats.org/spreadsheetml/2006/main" count="2290" uniqueCount="312">
  <si>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</si>
  <si>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</si>
  <si>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</si>
  <si>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</si>
  <si>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</si>
  <si>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</si>
  <si>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</si>
  <si>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</si>
  <si>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</si>
  <si>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</si>
  <si>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</si>
  <si>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</si>
  <si>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</si>
  <si>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</si>
  <si>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</si>
  <si>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</si>
  <si>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</si>
  <si>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</si>
  <si>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</si>
  <si>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</si>
  <si>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</si>
  <si>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</si>
  <si>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</si>
  <si>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</si>
  <si>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</si>
  <si>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</si>
  <si>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</si>
  <si>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</si>
  <si>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</si>
  <si>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</si>
  <si>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</si>
  <si>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</si>
  <si>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</si>
  <si>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</si>
  <si>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</si>
  <si>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</si>
  <si>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</si>
  <si>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</si>
  <si>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</si>
  <si>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</si>
  <si>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</si>
  <si>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</si>
  <si>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</si>
  <si>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</si>
  <si>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</si>
  <si>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</si>
  <si>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</si>
  <si>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</si>
  <si>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</si>
  <si>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</si>
  <si>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</si>
  <si>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</si>
  <si>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</si>
  <si>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</si>
  <si>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</si>
  <si>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</si>
  <si>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</si>
  <si>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</si>
  <si>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</si>
  <si>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</si>
  <si>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</si>
  <si>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</si>
  <si>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</si>
  <si>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</si>
  <si>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</si>
  <si>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</si>
  <si>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</si>
  <si>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</si>
  <si>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</si>
  <si>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</si>
  <si>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</si>
  <si>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</si>
  <si>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</si>
  <si>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</si>
  <si>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</si>
  <si>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</si>
  <si>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</si>
  <si>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</si>
  <si>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</si>
  <si>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</si>
  <si>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</si>
  <si>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</si>
  <si>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</si>
  <si>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</si>
  <si>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</si>
  <si>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</si>
  <si>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</si>
  <si>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</si>
  <si>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</si>
  <si>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</si>
  <si>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</si>
  <si>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</si>
  <si>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</si>
  <si>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</si>
  <si>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</si>
  <si>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</si>
  <si>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</si>
  <si>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</si>
  <si>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</si>
  <si>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</si>
  <si>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</si>
  <si>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</si>
  <si>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</si>
  <si>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</si>
  <si>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</si>
  <si>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</si>
  <si>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</si>
  <si>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</si>
  <si>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</si>
  <si>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</si>
  <si>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</si>
  <si>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</si>
  <si>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</si>
  <si>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</si>
  <si>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</si>
  <si>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</si>
  <si>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</si>
  <si>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</si>
  <si>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</si>
  <si>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</si>
  <si>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</si>
  <si>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</si>
  <si>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</si>
  <si>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</si>
  <si>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</si>
  <si>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</si>
  <si>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</si>
  <si>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</si>
  <si>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</si>
  <si>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</si>
  <si>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</si>
  <si>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</si>
  <si>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</si>
  <si>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</si>
  <si>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</si>
  <si>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</si>
  <si>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</si>
  <si>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</si>
  <si>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</si>
  <si>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</si>
  <si>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</si>
  <si>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</si>
  <si>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</si>
  <si>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</si>
  <si>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</si>
  <si>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</si>
  <si>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</si>
  <si>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</si>
  <si>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</si>
  <si>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</si>
  <si>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</si>
  <si>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</si>
  <si>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</si>
  <si>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</si>
  <si>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</si>
  <si>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</si>
  <si>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</si>
  <si>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</si>
  <si>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</si>
  <si>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</si>
  <si>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</si>
  <si>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</si>
  <si>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</si>
  <si>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</si>
  <si>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</si>
  <si>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</si>
  <si>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</si>
  <si>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</si>
  <si>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</si>
  <si>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</si>
  <si>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</si>
  <si>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</si>
  <si>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</si>
  <si>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</si>
  <si>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</si>
  <si>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</si>
  <si>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</si>
  <si>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</si>
  <si>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</si>
  <si>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</si>
  <si>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</si>
  <si>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</si>
  <si>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</si>
  <si>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</si>
  <si>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</si>
  <si>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</si>
  <si>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</si>
  <si>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</si>
  <si>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</si>
  <si>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</si>
  <si>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</si>
  <si>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</si>
  <si>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</si>
  <si>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</si>
  <si>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</si>
  <si>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</si>
  <si>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</si>
  <si>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</si>
  <si>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</si>
  <si>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</si>
  <si>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</si>
  <si>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</si>
  <si>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</si>
  <si>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</si>
  <si>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</si>
  <si>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</si>
  <si>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</si>
  <si>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</si>
  <si>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</si>
  <si>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</si>
  <si>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</si>
  <si>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</si>
  <si>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</si>
  <si>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</si>
  <si>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</si>
  <si>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</si>
  <si>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</si>
  <si>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</si>
  <si>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</si>
  <si>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</si>
  <si>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</si>
  <si>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</si>
  <si>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</si>
  <si>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</si>
  <si>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</si>
  <si>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</si>
  <si>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</si>
  <si>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</si>
  <si>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</si>
  <si>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</si>
  <si>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</si>
  <si>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</si>
  <si>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</si>
  <si>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</si>
  <si>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</si>
  <si>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</si>
  <si>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</si>
  <si>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</si>
  <si>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</si>
  <si>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</si>
  <si>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</si>
  <si>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</si>
  <si>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</si>
  <si>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</si>
  <si>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</si>
  <si>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</si>
  <si>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</si>
  <si>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</si>
  <si>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</si>
  <si>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</si>
  <si>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</si>
  <si>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</si>
  <si>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</si>
  <si>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</si>
  <si>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</si>
  <si>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</si>
  <si>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</si>
  <si>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</si>
  <si>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</si>
  <si>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</si>
  <si>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</si>
  <si>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</si>
  <si>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</si>
  <si>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P7305</t>
  </si>
  <si>
    <t>P7306</t>
  </si>
  <si>
    <t>OFF-PEAK</t>
  </si>
  <si>
    <t>ELOF</t>
  </si>
  <si>
    <t>As of December 21, 2001</t>
  </si>
  <si>
    <t>FIXED TERM - Power Position Summary - MWA</t>
  </si>
  <si>
    <t>Valuation Date:  12/21/2001</t>
  </si>
  <si>
    <t>As of:                12/21/2001</t>
  </si>
  <si>
    <t>MERCHANT BOOK</t>
  </si>
  <si>
    <t>FIXED TERM - Power Position Summary - MWH</t>
  </si>
  <si>
    <t>Prior Date:          12/20/2001</t>
  </si>
  <si>
    <t>As of:                  12/21/2001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</si>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</sst>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5" formatCode="#,##0_);\(#,##0\)"/>
    </dxf>
    <dxf>
      <font>
        <sz val="6"/>
      </font>
    </dxf>
    <dxf>
      <font>
        <name val="MS Sans Serif"/>
        <scheme val="none"/>
      </font>
    </dxf>
    <dxf>
      <numFmt numFmtId="9" formatCode="&quot;$&quot;#,##0_);\(&quot;$&quot;#,##0\)"/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01105812378917E-2"/>
          <c:y val="0.22480705247339991"/>
          <c:w val="0.8820608738217260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REG!$N$7:$N$105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REG!$O$7:$O$105</c:f>
              <c:numCache>
                <c:formatCode>#,##0</c:formatCode>
                <c:ptCount val="99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  <c:pt idx="95">
                  <c:v>4099.6859999999997</c:v>
                </c:pt>
                <c:pt idx="96">
                  <c:v>1054.425</c:v>
                </c:pt>
                <c:pt idx="97">
                  <c:v>-103.36</c:v>
                </c:pt>
                <c:pt idx="98">
                  <c:v>166.11600000000001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C-436C-AE1E-A57F812BA9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643200"/>
        <c:axId val="1"/>
      </c:barChart>
      <c:catAx>
        <c:axId val="1906432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643200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9501528703336E-2"/>
          <c:y val="0.22656293213449882"/>
          <c:w val="0.8795404341928369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REG!$N$7:$N$105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REG!$P$7:$P$105</c:f>
              <c:numCache>
                <c:formatCode>#,##0</c:formatCode>
                <c:ptCount val="99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  <c:pt idx="95">
                  <c:v>19063.097000000002</c:v>
                </c:pt>
                <c:pt idx="96">
                  <c:v>11658.630999999999</c:v>
                </c:pt>
                <c:pt idx="97">
                  <c:v>8419.2439999999988</c:v>
                </c:pt>
                <c:pt idx="98">
                  <c:v>7352.1790000000001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0-427C-AF6C-B6CE02B773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726856"/>
        <c:axId val="1"/>
      </c:barChart>
      <c:catAx>
        <c:axId val="19072685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726856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REG!$N$8:$N$105</c:f>
              <c:numCache>
                <c:formatCode>0</c:formatCode>
                <c:ptCount val="98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  <c:pt idx="96">
                  <c:v>37245</c:v>
                </c:pt>
                <c:pt idx="97">
                  <c:v>37246</c:v>
                </c:pt>
              </c:numCache>
            </c:numRef>
          </c:cat>
          <c:val>
            <c:numRef>
              <c:f>REG!$Q$8:$Q$105</c:f>
              <c:numCache>
                <c:formatCode>#,##0</c:formatCode>
                <c:ptCount val="98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  <c:pt idx="94">
                  <c:v>2502.953</c:v>
                </c:pt>
                <c:pt idx="95">
                  <c:v>2495.8510000000001</c:v>
                </c:pt>
                <c:pt idx="96">
                  <c:v>2534.808</c:v>
                </c:pt>
                <c:pt idx="97">
                  <c:v>2669.2750000000001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2-4F1C-A069-2F9A59CF78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764096"/>
        <c:axId val="1"/>
      </c:barChart>
      <c:catAx>
        <c:axId val="1907640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764096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SPEC!$N$8:$N$106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SPEC!$O$8:$O$106</c:f>
              <c:numCache>
                <c:formatCode>#,##0</c:formatCode>
                <c:ptCount val="99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  <c:pt idx="95">
                  <c:v>6.085</c:v>
                </c:pt>
                <c:pt idx="96">
                  <c:v>-15.221</c:v>
                </c:pt>
                <c:pt idx="97">
                  <c:v>-11.522</c:v>
                </c:pt>
                <c:pt idx="98">
                  <c:v>41.917999999999999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1-4286-ACB5-5EC4D30E35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309592"/>
        <c:axId val="1"/>
      </c:barChart>
      <c:catAx>
        <c:axId val="1903095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30959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SPEC!$N$8:$N$106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SPEC!$P$8:$P$106</c:f>
              <c:numCache>
                <c:formatCode>#,##0</c:formatCode>
                <c:ptCount val="99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  <c:pt idx="95">
                  <c:v>176.87300000000002</c:v>
                </c:pt>
                <c:pt idx="96">
                  <c:v>139.721</c:v>
                </c:pt>
                <c:pt idx="97">
                  <c:v>106.73</c:v>
                </c:pt>
                <c:pt idx="98">
                  <c:v>63.503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4-4FB9-8C8B-6210B689B1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897016"/>
        <c:axId val="1"/>
      </c:barChart>
      <c:catAx>
        <c:axId val="1908970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89701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0931891499477E-2"/>
          <c:y val="0.22307817990260609"/>
          <c:w val="0.90397533689655407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  <c:pt idx="14">
                  <c:v>506.98499999999996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B-48CA-8E9C-2041E71C5E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892096"/>
        <c:axId val="1"/>
      </c:barChart>
      <c:catAx>
        <c:axId val="1908920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89209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3241945155802E-2"/>
          <c:y val="0.22745119815716733"/>
          <c:w val="0.89586993770161827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SPEC!$N$49:$N$106</c:f>
              <c:numCache>
                <c:formatCode>0</c:formatCode>
                <c:ptCount val="5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  <c:pt idx="54">
                  <c:v>37243</c:v>
                </c:pt>
                <c:pt idx="55">
                  <c:v>37244</c:v>
                </c:pt>
                <c:pt idx="56">
                  <c:v>37245</c:v>
                </c:pt>
                <c:pt idx="57">
                  <c:v>37246</c:v>
                </c:pt>
              </c:numCache>
            </c:numRef>
          </c:cat>
          <c:val>
            <c:numRef>
              <c:f>SPEC!$R$49:$R$106</c:f>
              <c:numCache>
                <c:formatCode>#,##0</c:formatCode>
                <c:ptCount val="58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  <c:pt idx="54">
                  <c:v>1310.4500100000002</c:v>
                </c:pt>
                <c:pt idx="55">
                  <c:v>1295.2290100000002</c:v>
                </c:pt>
                <c:pt idx="56">
                  <c:v>1283.7070100000003</c:v>
                </c:pt>
                <c:pt idx="57">
                  <c:v>1325.6250100000002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0-436A-A4AA-FFF1E92A01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893080"/>
        <c:axId val="1"/>
      </c:barChart>
      <c:catAx>
        <c:axId val="1908930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89308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3140010657209888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SPEC!$N$8:$N$106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SPEC!$S$8:$S$106</c:f>
              <c:numCache>
                <c:formatCode>#,##0</c:formatCode>
                <c:ptCount val="99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  <c:pt idx="95">
                  <c:v>-12831.79199</c:v>
                </c:pt>
                <c:pt idx="96">
                  <c:v>-12847.012989999999</c:v>
                </c:pt>
                <c:pt idx="97">
                  <c:v>-12858.53499</c:v>
                </c:pt>
                <c:pt idx="98">
                  <c:v>-12816.61699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C-4A01-9869-714B4D09E5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889800"/>
        <c:axId val="1"/>
      </c:barChart>
      <c:catAx>
        <c:axId val="1908898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88980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3230611890473343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SPEC!$N$9:$N$106</c:f>
              <c:numCache>
                <c:formatCode>0</c:formatCode>
                <c:ptCount val="98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  <c:pt idx="96">
                  <c:v>37245</c:v>
                </c:pt>
                <c:pt idx="97">
                  <c:v>37246</c:v>
                </c:pt>
              </c:numCache>
            </c:numRef>
          </c:cat>
          <c:val>
            <c:numRef>
              <c:f>SPEC!$T$9:$T$106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  <c:pt idx="95" formatCode="#,##0">
                  <c:v>47.201000000000001</c:v>
                </c:pt>
                <c:pt idx="96" formatCode="#,##0">
                  <c:v>51.993000000000002</c:v>
                </c:pt>
                <c:pt idx="97" formatCode="#,##0">
                  <c:v>59.793999999999997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F-4D70-93FB-7C2B37A674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895704"/>
        <c:axId val="1"/>
      </c:barChart>
      <c:catAx>
        <c:axId val="1908957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089570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186.28562412305573</v>
          </cell>
          <cell r="H9">
            <v>99.12808090784381</v>
          </cell>
          <cell r="I9">
            <v>2.645770522696977</v>
          </cell>
        </row>
        <row r="10">
          <cell r="G10">
            <v>0.55469813192790784</v>
          </cell>
          <cell r="H10">
            <v>4.4864877717809781</v>
          </cell>
          <cell r="I10">
            <v>0.24277613989271174</v>
          </cell>
        </row>
        <row r="12">
          <cell r="G12">
            <v>226.06389750140247</v>
          </cell>
          <cell r="H12">
            <v>160.04990849665381</v>
          </cell>
          <cell r="I12">
            <v>62.888252308153163</v>
          </cell>
        </row>
        <row r="13">
          <cell r="G13">
            <v>43.931308785860644</v>
          </cell>
          <cell r="H13">
            <v>39.886843749671762</v>
          </cell>
          <cell r="I13">
            <v>20.051514755735322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0.40852110553301696</v>
          </cell>
          <cell r="G59">
            <v>0.22028462423965292</v>
          </cell>
          <cell r="H59">
            <v>9.6560967981641488E-3</v>
          </cell>
          <cell r="I59">
            <v>9.5817988100116436E-3</v>
          </cell>
          <cell r="J59">
            <v>7.7884588556249579E-2</v>
          </cell>
          <cell r="K59">
            <v>0.23095000835599469</v>
          </cell>
          <cell r="L59">
            <v>0.70057775196847549</v>
          </cell>
          <cell r="M59">
            <v>0.90107265563665129</v>
          </cell>
          <cell r="N59">
            <v>0.82513857173563687</v>
          </cell>
          <cell r="O59">
            <v>0.57804893156568415</v>
          </cell>
          <cell r="P59">
            <v>0.38967922935336252</v>
          </cell>
          <cell r="Q59">
            <v>0.42741103717297829</v>
          </cell>
          <cell r="R59">
            <v>0.4830560860948499</v>
          </cell>
          <cell r="S59">
            <v>0.41519220612547991</v>
          </cell>
          <cell r="T59">
            <v>0.32435988194868381</v>
          </cell>
          <cell r="U59">
            <v>0.28532621944146108</v>
          </cell>
          <cell r="V59">
            <v>0.20690556193921472</v>
          </cell>
          <cell r="W59">
            <v>0.27213437696379061</v>
          </cell>
          <cell r="X59">
            <v>0.71689251501978579</v>
          </cell>
          <cell r="Y59">
            <v>0.81904672468292561</v>
          </cell>
          <cell r="Z59">
            <v>0.72576821062528496</v>
          </cell>
          <cell r="AA59">
            <v>0.47608004150697392</v>
          </cell>
          <cell r="AB59">
            <v>0.42700871624942005</v>
          </cell>
          <cell r="AC59">
            <v>0.48531974970603803</v>
          </cell>
        </row>
        <row r="60">
          <cell r="F60">
            <v>1.2164432717717277E-3</v>
          </cell>
          <cell r="G60">
            <v>9.9699728261799514E-3</v>
          </cell>
          <cell r="H60">
            <v>8.8604430617778007E-4</v>
          </cell>
          <cell r="I60">
            <v>1.9147961295735707E-3</v>
          </cell>
          <cell r="J60">
            <v>1.5320121624542438E-3</v>
          </cell>
          <cell r="K60">
            <v>2.23881255270536E-2</v>
          </cell>
          <cell r="L60">
            <v>0.31067508553578582</v>
          </cell>
          <cell r="M60">
            <v>0.48107256339585258</v>
          </cell>
          <cell r="N60">
            <v>0.32562656859592887</v>
          </cell>
          <cell r="O60">
            <v>0.20889769893256271</v>
          </cell>
          <cell r="P60">
            <v>8.7091827384638498E-2</v>
          </cell>
          <cell r="Q60">
            <v>9.6540040602572139E-2</v>
          </cell>
          <cell r="R60">
            <v>8.3633233630704296E-2</v>
          </cell>
          <cell r="S60">
            <v>4.5734155577685898E-2</v>
          </cell>
          <cell r="T60">
            <v>0.30224594721467557</v>
          </cell>
          <cell r="U60">
            <v>0.14405410253796525</v>
          </cell>
          <cell r="V60">
            <v>0.13675128493177469</v>
          </cell>
          <cell r="W60">
            <v>7.7948938668017442E-2</v>
          </cell>
          <cell r="X60">
            <v>0.28259975942441651</v>
          </cell>
          <cell r="Y60">
            <v>0.35996912942253256</v>
          </cell>
          <cell r="Z60">
            <v>0.30946927401229546</v>
          </cell>
          <cell r="AA60">
            <v>0.29151837448008944</v>
          </cell>
          <cell r="AB60">
            <v>0.14147770948021865</v>
          </cell>
          <cell r="AC60">
            <v>0.16442203484251516</v>
          </cell>
        </row>
        <row r="62">
          <cell r="F62">
            <v>0.9702313197485084</v>
          </cell>
          <cell r="G62">
            <v>0.70197328288006056</v>
          </cell>
          <cell r="H62">
            <v>0.39305157692595727</v>
          </cell>
          <cell r="I62">
            <v>0.36879246371346941</v>
          </cell>
          <cell r="J62">
            <v>0.36931490542092144</v>
          </cell>
          <cell r="K62">
            <v>0.44434719716879123</v>
          </cell>
          <cell r="L62">
            <v>0.88044708012618789</v>
          </cell>
          <cell r="M62">
            <v>0.97073473897667373</v>
          </cell>
          <cell r="N62">
            <v>0.9283884565000704</v>
          </cell>
          <cell r="O62">
            <v>0.76365064241007552</v>
          </cell>
          <cell r="P62">
            <v>0.72050548587787921</v>
          </cell>
          <cell r="Q62">
            <v>0.77295176711434233</v>
          </cell>
          <cell r="R62">
            <v>0.80049690487182557</v>
          </cell>
          <cell r="S62">
            <v>0.73950761548335253</v>
          </cell>
          <cell r="T62">
            <v>0.62803746719851494</v>
          </cell>
          <cell r="U62">
            <v>0.49587879042530614</v>
          </cell>
          <cell r="V62">
            <v>0.38169091048928705</v>
          </cell>
          <cell r="W62">
            <v>0.45890767913269975</v>
          </cell>
          <cell r="X62">
            <v>0.85235864651635629</v>
          </cell>
          <cell r="Y62">
            <v>0.92760806131230278</v>
          </cell>
          <cell r="Z62">
            <v>0.87581477144936137</v>
          </cell>
          <cell r="AA62">
            <v>0.65630503116437489</v>
          </cell>
          <cell r="AB62">
            <v>0.69439248525666508</v>
          </cell>
          <cell r="AC62">
            <v>0.75008950554069076</v>
          </cell>
        </row>
        <row r="63">
          <cell r="F63">
            <v>0.1885463896388869</v>
          </cell>
          <cell r="G63">
            <v>0.17494229714768317</v>
          </cell>
          <cell r="H63">
            <v>0.12532196722334576</v>
          </cell>
          <cell r="I63">
            <v>6.0298293417456406E-2</v>
          </cell>
          <cell r="J63">
            <v>3.9696214260220075E-2</v>
          </cell>
          <cell r="K63">
            <v>6.781005693668829E-2</v>
          </cell>
          <cell r="L63">
            <v>0.5719506984010897</v>
          </cell>
          <cell r="M63">
            <v>0.75043348604254578</v>
          </cell>
          <cell r="N63">
            <v>0.56020055885027265</v>
          </cell>
          <cell r="O63">
            <v>0.44401340362859532</v>
          </cell>
          <cell r="P63">
            <v>0.36320166691244538</v>
          </cell>
          <cell r="Q63">
            <v>0.38583822599897488</v>
          </cell>
          <cell r="R63">
            <v>0.34663339753358957</v>
          </cell>
          <cell r="S63">
            <v>0.23408619901155359</v>
          </cell>
          <cell r="T63">
            <v>0.46030203374725881</v>
          </cell>
          <cell r="U63">
            <v>0.28165910688398388</v>
          </cell>
          <cell r="V63">
            <v>0.2596531217364112</v>
          </cell>
          <cell r="W63">
            <v>0.16434392332106995</v>
          </cell>
          <cell r="X63">
            <v>0.57538947330938217</v>
          </cell>
          <cell r="Y63">
            <v>0.69094579939841172</v>
          </cell>
          <cell r="Z63">
            <v>0.60527535253751674</v>
          </cell>
          <cell r="AA63">
            <v>0.44217798960672383</v>
          </cell>
          <cell r="AB63">
            <v>0.37539598811831221</v>
          </cell>
          <cell r="AC63">
            <v>0.43704036523504131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46.674628819441" createdVersion="1" recordCount="161">
  <cacheSource type="worksheet">
    <worksheetSource ref="A14:AB175" sheet="OPEN SPEC"/>
  </cacheSource>
  <cacheFields count="28">
    <cacheField name="COUNTERPARTY" numFmtId="0">
      <sharedItems containsBlank="1" count="7">
        <s v="Sempra Energy Trading Corp."/>
        <s v="Allegheny Energy Supply Co., LLC"/>
        <s v="ConAgra Energy Services, Inc."/>
        <s v="TransAlta Energy Marketing (U.S.), Inc."/>
        <s v="IDACORP Energy L.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7192"/>
        <s v="P7193"/>
        <s v="P7243"/>
        <s v="P7244"/>
        <s v="P7280"/>
        <s v="P7281"/>
        <s v="P7289"/>
        <s v="P7290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1">
        <n v="8181"/>
        <n v="8180"/>
        <n v="8847"/>
        <n v="8848"/>
        <n v="9261"/>
        <n v="9262"/>
        <n v="9270"/>
        <n v="9269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2"/>
        <s v="2002/03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1">
        <n v="27.25"/>
        <n v="25"/>
        <n v="28"/>
        <n v="26.5"/>
        <n v="29.5"/>
        <n v="19"/>
        <n v="28.95"/>
        <n v="18.7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2">
        <n v="283400"/>
        <n v="272500"/>
        <n v="-260000"/>
        <n v="-250000"/>
        <n v="268800"/>
        <n v="291200"/>
        <n v="-254400"/>
        <n v="-275600"/>
        <n v="-306800"/>
        <n v="-295000"/>
        <n v="197600"/>
        <n v="190000"/>
        <n v="-301080"/>
        <n v="-289500"/>
        <n v="194480"/>
        <n v="1870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21T00:00:00" maxDate="2001-12-22T00:00:00" count="2">
        <d v="2001-12-21T00:00:00"/>
        <m/>
      </sharedItems>
    </cacheField>
    <cacheField name="MKT_PRICE" numFmtId="0">
      <sharedItems containsString="0" containsBlank="1" containsNumber="1" minValue="12" maxValue="33.25" count="16">
        <n v="20.350000000000001"/>
        <n v="20.5"/>
        <n v="22.9"/>
        <n v="18.350000000000001"/>
        <n v="18"/>
        <n v="19.149999999999999"/>
        <n v="25.2"/>
        <n v="21.5"/>
        <n v="23.2"/>
        <n v="19.5"/>
        <n v="25.75"/>
        <n v="26.75"/>
        <n v="33.25"/>
        <n v="13.75"/>
        <n v="12"/>
        <m/>
      </sharedItems>
    </cacheField>
    <cacheField name="NOMMTM" numFmtId="0">
      <sharedItems containsString="0" containsBlank="1" containsNumber="1" containsInteger="1" minValue="-107262" maxValue="85600" count="28">
        <n v="-71760"/>
        <n v="-70200"/>
        <n v="-43500"/>
        <n v="69056"/>
        <n v="72696"/>
        <n v="58400"/>
        <n v="-26880"/>
        <n v="-67600"/>
        <n v="31584"/>
        <n v="38896"/>
        <n v="28496"/>
        <n v="-37600"/>
        <n v="-6864"/>
        <n v="-10504"/>
        <n v="1400"/>
        <n v="33176"/>
        <n v="22776"/>
        <n v="-43100"/>
        <n v="-3640"/>
        <n v="-7280"/>
        <n v="4500"/>
        <n v="55744"/>
        <n v="41184"/>
        <n v="85600"/>
        <n v="-107262"/>
        <n v="-30012"/>
        <n v="-29280"/>
        <m/>
      </sharedItems>
    </cacheField>
    <cacheField name="PVMTM" numFmtId="0">
      <sharedItems containsString="0" containsBlank="1" containsNumber="1" containsInteger="1" minValue="-106281" maxValue="84599" count="29">
        <n v="-71104"/>
        <n v="-69538"/>
        <n v="-42991"/>
        <n v="68424"/>
        <n v="72010"/>
        <n v="57717"/>
        <n v="-26775"/>
        <n v="-67174"/>
        <n v="31461"/>
        <n v="72237"/>
        <n v="38540"/>
        <n v="28227"/>
        <n v="-37160"/>
        <n v="-6801"/>
        <n v="-10405"/>
        <n v="1384"/>
        <n v="32873"/>
        <n v="22561"/>
        <n v="-42596"/>
        <n v="-3607"/>
        <n v="-7211"/>
        <n v="4447"/>
        <n v="55234"/>
        <n v="40796"/>
        <n v="84599"/>
        <n v="-106281"/>
        <n v="-29729"/>
        <n v="-289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x v="5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4"/>
    <x v="2"/>
    <x v="0"/>
    <x v="0"/>
    <x v="4"/>
    <x v="0"/>
    <x v="6"/>
    <x v="6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7"/>
    <x v="7"/>
    <x v="7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5"/>
    <x v="3"/>
    <x v="0"/>
    <x v="0"/>
    <x v="6"/>
    <x v="0"/>
    <x v="8"/>
    <x v="8"/>
    <x v="8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7"/>
    <x v="0"/>
    <x v="9"/>
    <x v="4"/>
    <x v="9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0"/>
    <x v="9"/>
    <x v="10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1"/>
    <x v="10"/>
    <x v="11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2"/>
    <x v="11"/>
    <x v="12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x v="12"/>
    <x v="1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x v="13"/>
    <x v="1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5"/>
    <x v="14"/>
    <x v="15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10"/>
    <x v="15"/>
    <x v="16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1"/>
    <x v="16"/>
    <x v="17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2"/>
    <x v="17"/>
    <x v="18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x v="18"/>
    <x v="1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4"/>
    <x v="19"/>
    <x v="20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5"/>
    <x v="20"/>
    <x v="21"/>
  </r>
  <r>
    <x v="5"/>
    <x v="0"/>
    <x v="0"/>
    <x v="0"/>
    <x v="0"/>
    <x v="8"/>
    <x v="8"/>
    <x v="0"/>
    <x v="3"/>
    <x v="0"/>
    <x v="0"/>
    <x v="1"/>
    <x v="0"/>
    <x v="2"/>
    <x v="0"/>
    <x v="0"/>
    <x v="0"/>
    <x v="0"/>
    <x v="0"/>
    <x v="6"/>
    <x v="8"/>
    <x v="0"/>
    <x v="0"/>
    <x v="16"/>
    <x v="0"/>
    <x v="3"/>
    <x v="21"/>
    <x v="22"/>
  </r>
  <r>
    <x v="5"/>
    <x v="0"/>
    <x v="0"/>
    <x v="0"/>
    <x v="0"/>
    <x v="8"/>
    <x v="8"/>
    <x v="0"/>
    <x v="3"/>
    <x v="2"/>
    <x v="0"/>
    <x v="1"/>
    <x v="0"/>
    <x v="2"/>
    <x v="0"/>
    <x v="0"/>
    <x v="0"/>
    <x v="0"/>
    <x v="0"/>
    <x v="7"/>
    <x v="8"/>
    <x v="0"/>
    <x v="0"/>
    <x v="17"/>
    <x v="0"/>
    <x v="4"/>
    <x v="22"/>
    <x v="23"/>
  </r>
  <r>
    <x v="5"/>
    <x v="0"/>
    <x v="0"/>
    <x v="0"/>
    <x v="0"/>
    <x v="8"/>
    <x v="8"/>
    <x v="0"/>
    <x v="3"/>
    <x v="1"/>
    <x v="0"/>
    <x v="1"/>
    <x v="0"/>
    <x v="2"/>
    <x v="0"/>
    <x v="0"/>
    <x v="0"/>
    <x v="0"/>
    <x v="0"/>
    <x v="6"/>
    <x v="8"/>
    <x v="0"/>
    <x v="0"/>
    <x v="16"/>
    <x v="0"/>
    <x v="5"/>
    <x v="23"/>
    <x v="24"/>
  </r>
  <r>
    <x v="5"/>
    <x v="0"/>
    <x v="0"/>
    <x v="0"/>
    <x v="0"/>
    <x v="9"/>
    <x v="9"/>
    <x v="0"/>
    <x v="3"/>
    <x v="0"/>
    <x v="1"/>
    <x v="1"/>
    <x v="0"/>
    <x v="3"/>
    <x v="1"/>
    <x v="1"/>
    <x v="0"/>
    <x v="0"/>
    <x v="0"/>
    <x v="8"/>
    <x v="9"/>
    <x v="0"/>
    <x v="0"/>
    <x v="18"/>
    <x v="0"/>
    <x v="13"/>
    <x v="24"/>
    <x v="25"/>
  </r>
  <r>
    <x v="5"/>
    <x v="0"/>
    <x v="0"/>
    <x v="0"/>
    <x v="0"/>
    <x v="9"/>
    <x v="9"/>
    <x v="0"/>
    <x v="3"/>
    <x v="2"/>
    <x v="1"/>
    <x v="1"/>
    <x v="0"/>
    <x v="3"/>
    <x v="1"/>
    <x v="1"/>
    <x v="0"/>
    <x v="0"/>
    <x v="0"/>
    <x v="9"/>
    <x v="9"/>
    <x v="0"/>
    <x v="0"/>
    <x v="19"/>
    <x v="0"/>
    <x v="14"/>
    <x v="25"/>
    <x v="26"/>
  </r>
  <r>
    <x v="5"/>
    <x v="0"/>
    <x v="0"/>
    <x v="0"/>
    <x v="0"/>
    <x v="9"/>
    <x v="9"/>
    <x v="0"/>
    <x v="3"/>
    <x v="1"/>
    <x v="1"/>
    <x v="1"/>
    <x v="0"/>
    <x v="3"/>
    <x v="1"/>
    <x v="1"/>
    <x v="0"/>
    <x v="0"/>
    <x v="0"/>
    <x v="10"/>
    <x v="9"/>
    <x v="0"/>
    <x v="0"/>
    <x v="20"/>
    <x v="0"/>
    <x v="14"/>
    <x v="26"/>
    <x v="27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/>
  </sheetViews>
  <sheetFormatPr defaultRowHeight="10.199999999999999" x14ac:dyDescent="0.2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6" x14ac:dyDescent="0.25">
      <c r="A1" s="61" t="s">
        <v>11</v>
      </c>
    </row>
    <row r="2" spans="1:5" ht="12.6" x14ac:dyDescent="0.25">
      <c r="A2" s="61" t="s">
        <v>76</v>
      </c>
    </row>
    <row r="3" spans="1:5" ht="12.6" x14ac:dyDescent="0.25">
      <c r="A3" s="61" t="s">
        <v>267</v>
      </c>
      <c r="E3" s="123"/>
    </row>
    <row r="4" spans="1:5" ht="12.6" x14ac:dyDescent="0.25">
      <c r="A4" s="61" t="s">
        <v>13</v>
      </c>
    </row>
    <row r="7" spans="1:5" x14ac:dyDescent="0.2">
      <c r="A7" s="70" t="s">
        <v>78</v>
      </c>
      <c r="C7" s="94" t="s">
        <v>67</v>
      </c>
    </row>
    <row r="8" spans="1:5" x14ac:dyDescent="0.2">
      <c r="A8" s="62" t="s">
        <v>66</v>
      </c>
      <c r="C8" s="102">
        <v>2676092</v>
      </c>
    </row>
    <row r="9" spans="1:5" x14ac:dyDescent="0.2">
      <c r="A9" s="62" t="s">
        <v>62</v>
      </c>
      <c r="C9" s="63">
        <f>C16+C26</f>
        <v>208034</v>
      </c>
    </row>
    <row r="10" spans="1:5" x14ac:dyDescent="0.2">
      <c r="A10" s="62" t="s">
        <v>63</v>
      </c>
      <c r="C10" s="63">
        <f>C17+C27</f>
        <v>7415682</v>
      </c>
    </row>
    <row r="14" spans="1:5" x14ac:dyDescent="0.2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2">
      <c r="A15" s="62" t="s">
        <v>66</v>
      </c>
      <c r="B15" s="76"/>
      <c r="C15" s="103">
        <v>2669275</v>
      </c>
      <c r="D15" s="38">
        <v>7500000</v>
      </c>
      <c r="E15" s="106">
        <f>IF(ABS(C15)&gt;D15,ABS(C15)-D15,0)</f>
        <v>0</v>
      </c>
    </row>
    <row r="16" spans="1:5" x14ac:dyDescent="0.2">
      <c r="A16" s="62" t="s">
        <v>87</v>
      </c>
      <c r="C16" s="63">
        <f>'PLR SUM'!AA48</f>
        <v>166116</v>
      </c>
      <c r="D16" s="63">
        <v>-7500000</v>
      </c>
      <c r="E16" s="36">
        <f>IF(C16&lt;D16,C16-D16,0)</f>
        <v>0</v>
      </c>
    </row>
    <row r="17" spans="1:5" x14ac:dyDescent="0.2">
      <c r="A17" s="62" t="s">
        <v>88</v>
      </c>
      <c r="C17" s="63">
        <f>'5-DAY'!C1</f>
        <v>7352179</v>
      </c>
      <c r="D17" s="63">
        <v>-16875000</v>
      </c>
      <c r="E17" s="36">
        <f>IF(C17&lt;D17,C17-D17,0)</f>
        <v>0</v>
      </c>
    </row>
    <row r="18" spans="1:5" x14ac:dyDescent="0.2">
      <c r="A18" s="62" t="s">
        <v>77</v>
      </c>
      <c r="C18" s="73">
        <f>MWH!AA30</f>
        <v>-5728837.8721999973</v>
      </c>
      <c r="D18" s="73">
        <v>6500000</v>
      </c>
      <c r="E18" s="37">
        <f>IF(ABS(C18)&gt;D18,ABS(C18)-D18,0)</f>
        <v>0</v>
      </c>
    </row>
    <row r="19" spans="1:5" x14ac:dyDescent="0.2">
      <c r="A19" s="62" t="s">
        <v>107</v>
      </c>
      <c r="C19" s="73">
        <f>'Gap Risk'!B8</f>
        <v>-4808603.3682000004</v>
      </c>
      <c r="D19" s="73">
        <v>6500000</v>
      </c>
      <c r="E19" s="37">
        <f>IF(ABS(C19)&gt;D19,ABS(C19)-D19,0)</f>
        <v>0</v>
      </c>
    </row>
    <row r="22" spans="1:5" x14ac:dyDescent="0.2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2">
      <c r="A23" s="62" t="s">
        <v>66</v>
      </c>
      <c r="B23" s="76"/>
      <c r="C23" s="103">
        <v>59794</v>
      </c>
      <c r="D23" s="38">
        <v>3000000</v>
      </c>
      <c r="E23" s="39">
        <f>'SPEC REPORT'!K8</f>
        <v>0</v>
      </c>
    </row>
    <row r="24" spans="1:5" x14ac:dyDescent="0.2">
      <c r="A24" s="62" t="s">
        <v>77</v>
      </c>
      <c r="C24" s="73">
        <f>'SPEC REPORT'!I11</f>
        <v>-19450</v>
      </c>
      <c r="D24" s="73">
        <f>'SPEC REPORT'!J11</f>
        <v>1500000</v>
      </c>
      <c r="E24" s="37">
        <f>'SPEC REPORT'!K11</f>
        <v>0</v>
      </c>
    </row>
    <row r="25" spans="1:5" x14ac:dyDescent="0.2">
      <c r="A25" s="62" t="s">
        <v>107</v>
      </c>
      <c r="C25" s="73">
        <f>'SPEC REPORT'!I12</f>
        <v>-19450</v>
      </c>
      <c r="D25" s="73">
        <f>'SPEC REPORT'!J12</f>
        <v>1500000</v>
      </c>
      <c r="E25" s="37">
        <f>'SPEC REPORT'!K12</f>
        <v>0</v>
      </c>
    </row>
    <row r="26" spans="1:5" x14ac:dyDescent="0.2">
      <c r="A26" s="62" t="s">
        <v>87</v>
      </c>
      <c r="C26" s="63">
        <f>'SPEC REPORT'!I9</f>
        <v>41918</v>
      </c>
      <c r="D26" s="63">
        <v>-3000000</v>
      </c>
      <c r="E26" s="36">
        <f>'SPEC REPORT'!K9</f>
        <v>0</v>
      </c>
    </row>
    <row r="27" spans="1:5" x14ac:dyDescent="0.2">
      <c r="A27" s="62" t="s">
        <v>88</v>
      </c>
      <c r="C27" s="63">
        <f>'SPEC REPORT'!I10</f>
        <v>63503</v>
      </c>
      <c r="D27" s="63">
        <v>-6750000</v>
      </c>
      <c r="E27" s="36">
        <f>'SPEC REPORT'!K10</f>
        <v>0</v>
      </c>
    </row>
    <row r="28" spans="1:5" x14ac:dyDescent="0.2">
      <c r="A28" s="62" t="s">
        <v>86</v>
      </c>
      <c r="C28" s="155">
        <f>'5-DAY'!F2</f>
        <v>506985</v>
      </c>
    </row>
    <row r="29" spans="1:5" x14ac:dyDescent="0.2">
      <c r="A29" s="62" t="s">
        <v>85</v>
      </c>
      <c r="C29" s="155">
        <f>SUM('5-DAY'!C81:C143)</f>
        <v>1325625.0100000002</v>
      </c>
    </row>
    <row r="30" spans="1:5" x14ac:dyDescent="0.2">
      <c r="A30" s="62" t="s">
        <v>17</v>
      </c>
      <c r="C30" s="63">
        <f>'SPEC REPORT'!D12</f>
        <v>-12816652.558000006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289</v>
      </c>
    </row>
    <row r="2" spans="1:27" ht="12" customHeight="1" x14ac:dyDescent="0.2">
      <c r="A2" s="31" t="s">
        <v>269</v>
      </c>
    </row>
    <row r="3" spans="1:27" ht="12" customHeight="1" x14ac:dyDescent="0.2">
      <c r="A3" s="31" t="s">
        <v>273</v>
      </c>
    </row>
    <row r="4" spans="1:27" ht="12" customHeight="1" x14ac:dyDescent="0.2">
      <c r="A4" s="31" t="s">
        <v>274</v>
      </c>
    </row>
    <row r="5" spans="1:27" ht="11.25" customHeight="1" x14ac:dyDescent="0.2"/>
    <row r="6" spans="1:27" ht="12" customHeight="1" x14ac:dyDescent="0.2">
      <c r="A6" s="34" t="s">
        <v>276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100</v>
      </c>
      <c r="G7" s="98">
        <v>100</v>
      </c>
      <c r="H7" s="98">
        <v>100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12.540699999999999</v>
      </c>
    </row>
    <row r="8" spans="1:27" ht="11.25" customHeight="1" x14ac:dyDescent="0.2">
      <c r="A8" s="32" t="s">
        <v>277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278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100</v>
      </c>
      <c r="G10" s="30">
        <v>100</v>
      </c>
      <c r="H10" s="30">
        <v>100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12.540699999999999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277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278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279</v>
      </c>
      <c r="B16" s="99"/>
      <c r="C16" s="99">
        <v>0</v>
      </c>
      <c r="D16" s="99">
        <v>0</v>
      </c>
      <c r="E16" s="99">
        <v>0</v>
      </c>
      <c r="F16" s="99">
        <v>-5.3472</v>
      </c>
      <c r="G16" s="99">
        <v>-10.2151</v>
      </c>
      <c r="H16" s="99">
        <v>-11.1111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-1.1102000000000001</v>
      </c>
    </row>
    <row r="17" spans="1:27" ht="11.25" customHeight="1" x14ac:dyDescent="0.2"/>
    <row r="18" spans="1:27" ht="12" customHeight="1" x14ac:dyDescent="0.2">
      <c r="A18" s="34" t="s">
        <v>280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75</v>
      </c>
      <c r="G19" s="98">
        <v>75</v>
      </c>
      <c r="H19" s="98">
        <v>75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9.4055</v>
      </c>
    </row>
    <row r="20" spans="1:27" ht="11.25" customHeight="1" x14ac:dyDescent="0.2">
      <c r="A20" s="32" t="s">
        <v>277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278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75</v>
      </c>
      <c r="G22" s="30">
        <v>75</v>
      </c>
      <c r="H22" s="30">
        <v>75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9.4055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277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278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281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25</v>
      </c>
      <c r="G29" s="98">
        <v>25</v>
      </c>
      <c r="H29" s="98">
        <v>25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3.1351999999999993</v>
      </c>
    </row>
    <row r="30" spans="1:27" ht="11.25" customHeight="1" x14ac:dyDescent="0.2">
      <c r="A30" s="32" t="s">
        <v>277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278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282</v>
      </c>
      <c r="C32" s="30">
        <v>0</v>
      </c>
      <c r="D32" s="30">
        <v>0</v>
      </c>
      <c r="E32" s="30">
        <v>0</v>
      </c>
      <c r="F32" s="30">
        <v>25</v>
      </c>
      <c r="G32" s="30">
        <v>25</v>
      </c>
      <c r="H32" s="30">
        <v>25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3.1351999999999993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277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278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283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284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285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286</v>
      </c>
    </row>
    <row r="43" spans="1:27" ht="11.25" customHeight="1" x14ac:dyDescent="0.2">
      <c r="A43" s="32" t="s">
        <v>287</v>
      </c>
      <c r="C43" s="98">
        <v>268768</v>
      </c>
      <c r="D43" s="98">
        <v>471336</v>
      </c>
      <c r="E43" s="98">
        <v>547309</v>
      </c>
      <c r="F43" s="98">
        <v>127716</v>
      </c>
      <c r="G43" s="98">
        <v>179757</v>
      </c>
      <c r="H43" s="98">
        <v>132354</v>
      </c>
      <c r="I43" s="98">
        <v>339376</v>
      </c>
      <c r="J43" s="98">
        <v>351619</v>
      </c>
      <c r="K43" s="98">
        <v>311806</v>
      </c>
      <c r="L43" s="98">
        <v>194800</v>
      </c>
      <c r="M43" s="98">
        <v>179926</v>
      </c>
      <c r="N43" s="98">
        <v>177366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3282133</v>
      </c>
    </row>
    <row r="44" spans="1:27" ht="11.25" customHeight="1" x14ac:dyDescent="0.2">
      <c r="A44" s="32" t="s">
        <v>277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278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288</v>
      </c>
      <c r="B46" s="99"/>
      <c r="C46" s="99">
        <v>268768</v>
      </c>
      <c r="D46" s="99">
        <v>471336</v>
      </c>
      <c r="E46" s="99">
        <v>547309</v>
      </c>
      <c r="F46" s="99">
        <v>127716</v>
      </c>
      <c r="G46" s="99">
        <v>179757</v>
      </c>
      <c r="H46" s="99">
        <v>132354</v>
      </c>
      <c r="I46" s="99">
        <v>339376</v>
      </c>
      <c r="J46" s="99">
        <v>351619</v>
      </c>
      <c r="K46" s="99">
        <v>311806</v>
      </c>
      <c r="L46" s="99">
        <v>194800</v>
      </c>
      <c r="M46" s="99">
        <v>179926</v>
      </c>
      <c r="N46" s="99">
        <v>177366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3282133</v>
      </c>
    </row>
    <row r="47" spans="1:27" ht="11.25" customHeight="1" x14ac:dyDescent="0.2">
      <c r="A47" s="32" t="s">
        <v>0</v>
      </c>
      <c r="C47" s="98">
        <v>268743</v>
      </c>
      <c r="D47" s="98">
        <v>471292</v>
      </c>
      <c r="E47" s="98">
        <v>547260</v>
      </c>
      <c r="F47" s="98">
        <v>120957</v>
      </c>
      <c r="G47" s="98">
        <v>171427</v>
      </c>
      <c r="H47" s="98">
        <v>105761</v>
      </c>
      <c r="I47" s="98">
        <v>339351</v>
      </c>
      <c r="J47" s="98">
        <v>351593</v>
      </c>
      <c r="K47" s="98">
        <v>311783</v>
      </c>
      <c r="L47" s="98">
        <v>194786</v>
      </c>
      <c r="M47" s="98">
        <v>179913</v>
      </c>
      <c r="N47" s="98">
        <v>177346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3240212</v>
      </c>
    </row>
    <row r="48" spans="1:27" ht="11.25" customHeight="1" x14ac:dyDescent="0.2">
      <c r="A48" s="32" t="s">
        <v>1</v>
      </c>
      <c r="C48" s="101">
        <v>25</v>
      </c>
      <c r="D48" s="101">
        <v>44</v>
      </c>
      <c r="E48" s="101">
        <v>49</v>
      </c>
      <c r="F48" s="101">
        <v>6759</v>
      </c>
      <c r="G48" s="101">
        <v>8330</v>
      </c>
      <c r="H48" s="101">
        <v>26593</v>
      </c>
      <c r="I48" s="101">
        <v>25</v>
      </c>
      <c r="J48" s="101">
        <v>26</v>
      </c>
      <c r="K48" s="101">
        <v>23</v>
      </c>
      <c r="L48" s="101">
        <v>14</v>
      </c>
      <c r="M48" s="101">
        <v>13</v>
      </c>
      <c r="N48" s="101">
        <v>20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41921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290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291</v>
      </c>
      <c r="B7" s="161"/>
      <c r="C7" s="163">
        <v>25</v>
      </c>
      <c r="D7" s="163">
        <v>50</v>
      </c>
      <c r="E7" s="163">
        <v>50</v>
      </c>
      <c r="F7" s="163">
        <v>50</v>
      </c>
      <c r="G7" s="163">
        <v>50</v>
      </c>
      <c r="H7" s="163">
        <v>50</v>
      </c>
      <c r="I7" s="163">
        <v>50</v>
      </c>
      <c r="J7" s="163">
        <v>50</v>
      </c>
      <c r="K7" s="163">
        <v>50</v>
      </c>
      <c r="L7" s="163">
        <v>50</v>
      </c>
      <c r="M7" s="163">
        <v>50</v>
      </c>
      <c r="N7" s="163">
        <v>50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23.941400000000002</v>
      </c>
    </row>
    <row r="8" spans="1:27" ht="11.25" customHeight="1" thickBot="1" x14ac:dyDescent="0.25">
      <c r="A8" s="163" t="s">
        <v>292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279</v>
      </c>
      <c r="B9" s="166"/>
      <c r="C9" s="166">
        <v>13.9785</v>
      </c>
      <c r="D9" s="166">
        <v>28.571400000000001</v>
      </c>
      <c r="E9" s="166">
        <v>27.957000000000001</v>
      </c>
      <c r="F9" s="166">
        <v>28.8889</v>
      </c>
      <c r="G9" s="166">
        <v>27.957000000000001</v>
      </c>
      <c r="H9" s="166">
        <v>27.777799999999999</v>
      </c>
      <c r="I9" s="166">
        <v>27.957000000000001</v>
      </c>
      <c r="J9" s="166">
        <v>29.032299999999999</v>
      </c>
      <c r="K9" s="166">
        <v>26.666699999999999</v>
      </c>
      <c r="L9" s="166">
        <v>29.032299999999999</v>
      </c>
      <c r="M9" s="166">
        <v>27.777799999999999</v>
      </c>
      <c r="N9" s="166">
        <v>26.881699999999999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13.4247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293</v>
      </c>
      <c r="B11" s="161"/>
      <c r="C11" s="163">
        <v>27.957000000000001</v>
      </c>
      <c r="D11" s="163">
        <v>28.571400000000001</v>
      </c>
      <c r="E11" s="163">
        <v>27.957000000000001</v>
      </c>
      <c r="F11" s="163">
        <v>28.8889</v>
      </c>
      <c r="G11" s="163">
        <v>27.957000000000001</v>
      </c>
      <c r="H11" s="163">
        <v>27.777799999999999</v>
      </c>
      <c r="I11" s="163">
        <v>27.957000000000001</v>
      </c>
      <c r="J11" s="163">
        <v>29.032299999999999</v>
      </c>
      <c r="K11" s="163">
        <v>26.666699999999999</v>
      </c>
      <c r="L11" s="163">
        <v>29.032299999999999</v>
      </c>
      <c r="M11" s="163">
        <v>27.777799999999999</v>
      </c>
      <c r="N11" s="163">
        <v>26.881699999999999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14.0183</v>
      </c>
    </row>
    <row r="12" spans="1:27" ht="11.25" customHeight="1" x14ac:dyDescent="0.2">
      <c r="A12" s="163" t="s">
        <v>294</v>
      </c>
      <c r="B12" s="161"/>
      <c r="C12" s="254">
        <v>-13.9785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-0.59360000000000035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295</v>
      </c>
      <c r="B14" s="161"/>
      <c r="C14" s="163">
        <v>-943027</v>
      </c>
      <c r="D14" s="163">
        <v>-921444</v>
      </c>
      <c r="E14" s="163">
        <v>-1072296</v>
      </c>
      <c r="F14" s="163">
        <v>-1103757</v>
      </c>
      <c r="G14" s="163">
        <v>-1100349</v>
      </c>
      <c r="H14" s="163">
        <v>-1008172</v>
      </c>
      <c r="I14" s="163">
        <v>-800544</v>
      </c>
      <c r="J14" s="163">
        <v>-670028</v>
      </c>
      <c r="K14" s="163">
        <v>-683705</v>
      </c>
      <c r="L14" s="163">
        <v>-970406</v>
      </c>
      <c r="M14" s="163">
        <v>-862123</v>
      </c>
      <c r="N14" s="163">
        <v>-806523</v>
      </c>
      <c r="O14" s="163">
        <v>23330</v>
      </c>
      <c r="P14" s="163">
        <v>21424</v>
      </c>
      <c r="Q14" s="163">
        <v>23107</v>
      </c>
      <c r="R14" s="163">
        <v>22992</v>
      </c>
      <c r="S14" s="163">
        <v>22877</v>
      </c>
      <c r="T14" s="163">
        <v>21881</v>
      </c>
      <c r="U14" s="163">
        <v>22634</v>
      </c>
      <c r="V14" s="163">
        <v>22507</v>
      </c>
      <c r="W14" s="163">
        <v>21516</v>
      </c>
      <c r="X14" s="163">
        <v>23102</v>
      </c>
      <c r="Y14" s="163">
        <v>20409</v>
      </c>
      <c r="Z14" s="163">
        <v>21973</v>
      </c>
      <c r="AA14" s="163">
        <v>-10674622</v>
      </c>
    </row>
    <row r="15" spans="1:27" ht="11.25" customHeight="1" thickBot="1" x14ac:dyDescent="0.25">
      <c r="A15" s="163" t="s">
        <v>296</v>
      </c>
      <c r="B15" s="161"/>
      <c r="C15" s="163">
        <v>19168</v>
      </c>
      <c r="D15" s="163">
        <v>16782</v>
      </c>
      <c r="E15" s="163">
        <v>19067</v>
      </c>
      <c r="F15" s="163">
        <v>17563</v>
      </c>
      <c r="G15" s="163">
        <v>19007</v>
      </c>
      <c r="H15" s="163">
        <v>18501</v>
      </c>
      <c r="I15" s="163">
        <v>18921</v>
      </c>
      <c r="J15" s="163">
        <v>17957</v>
      </c>
      <c r="K15" s="163">
        <v>19293</v>
      </c>
      <c r="L15" s="163">
        <v>17930</v>
      </c>
      <c r="M15" s="163">
        <v>18286</v>
      </c>
      <c r="N15" s="163">
        <v>19377</v>
      </c>
      <c r="O15" s="163">
        <v>18394</v>
      </c>
      <c r="P15" s="163">
        <v>16068</v>
      </c>
      <c r="Q15" s="163">
        <v>18219</v>
      </c>
      <c r="R15" s="163">
        <v>16747</v>
      </c>
      <c r="S15" s="163">
        <v>18038</v>
      </c>
      <c r="T15" s="163">
        <v>17504</v>
      </c>
      <c r="U15" s="163">
        <v>17846</v>
      </c>
      <c r="V15" s="163">
        <v>17746</v>
      </c>
      <c r="W15" s="163">
        <v>17213</v>
      </c>
      <c r="X15" s="163">
        <v>16738</v>
      </c>
      <c r="Y15" s="163">
        <v>17858</v>
      </c>
      <c r="Z15" s="163">
        <v>17325</v>
      </c>
      <c r="AA15" s="163">
        <v>431548</v>
      </c>
    </row>
    <row r="16" spans="1:27" ht="11.25" customHeight="1" thickBot="1" x14ac:dyDescent="0.25">
      <c r="A16" s="165" t="s">
        <v>288</v>
      </c>
      <c r="B16" s="166"/>
      <c r="C16" s="166">
        <v>-923859</v>
      </c>
      <c r="D16" s="166">
        <v>-904662</v>
      </c>
      <c r="E16" s="166">
        <v>-1053229</v>
      </c>
      <c r="F16" s="166">
        <v>-1086194</v>
      </c>
      <c r="G16" s="166">
        <v>-1081342</v>
      </c>
      <c r="H16" s="166">
        <v>-989671</v>
      </c>
      <c r="I16" s="166">
        <v>-781623</v>
      </c>
      <c r="J16" s="166">
        <v>-652071</v>
      </c>
      <c r="K16" s="166">
        <v>-664412</v>
      </c>
      <c r="L16" s="166">
        <v>-952476</v>
      </c>
      <c r="M16" s="166">
        <v>-843837</v>
      </c>
      <c r="N16" s="166">
        <v>-787146</v>
      </c>
      <c r="O16" s="166">
        <v>41724</v>
      </c>
      <c r="P16" s="166">
        <v>37492</v>
      </c>
      <c r="Q16" s="166">
        <v>41326</v>
      </c>
      <c r="R16" s="166">
        <v>39739</v>
      </c>
      <c r="S16" s="166">
        <v>40915</v>
      </c>
      <c r="T16" s="166">
        <v>39385</v>
      </c>
      <c r="U16" s="166">
        <v>40480</v>
      </c>
      <c r="V16" s="166">
        <v>40253</v>
      </c>
      <c r="W16" s="166">
        <v>38729</v>
      </c>
      <c r="X16" s="166">
        <v>39840</v>
      </c>
      <c r="Y16" s="166">
        <v>38267</v>
      </c>
      <c r="Z16" s="166">
        <v>39298</v>
      </c>
      <c r="AA16" s="167">
        <v>-10243074</v>
      </c>
    </row>
    <row r="18" spans="1:27" ht="12" customHeight="1" x14ac:dyDescent="0.2">
      <c r="A18" s="253" t="s">
        <v>297</v>
      </c>
    </row>
    <row r="19" spans="1:27" ht="11.25" customHeight="1" x14ac:dyDescent="0.2">
      <c r="A19" s="255" t="s">
        <v>298</v>
      </c>
      <c r="B19" s="7"/>
      <c r="C19" s="255">
        <v>28.5</v>
      </c>
      <c r="D19" s="255">
        <v>25.2</v>
      </c>
      <c r="E19" s="255">
        <v>21.5</v>
      </c>
      <c r="F19" s="255">
        <v>20.350000000000001</v>
      </c>
      <c r="G19" s="255">
        <v>20.5</v>
      </c>
      <c r="H19" s="255">
        <v>22.9</v>
      </c>
      <c r="I19" s="255">
        <v>34.35</v>
      </c>
      <c r="J19" s="255">
        <v>41.85</v>
      </c>
      <c r="K19" s="255">
        <v>37.1</v>
      </c>
      <c r="L19" s="255">
        <v>27.5</v>
      </c>
      <c r="M19" s="255">
        <v>29.25</v>
      </c>
      <c r="N19" s="255">
        <v>31.5</v>
      </c>
      <c r="O19" s="255">
        <v>34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299</v>
      </c>
      <c r="B20" s="7"/>
      <c r="C20" s="255">
        <v>27.3</v>
      </c>
      <c r="D20" s="255">
        <v>24.7</v>
      </c>
      <c r="E20" s="255">
        <v>21.25</v>
      </c>
      <c r="F20" s="255">
        <v>19.75</v>
      </c>
      <c r="G20" s="255">
        <v>20</v>
      </c>
      <c r="H20" s="255">
        <v>22.25</v>
      </c>
      <c r="I20" s="255">
        <v>33.75</v>
      </c>
      <c r="J20" s="255">
        <v>41.5</v>
      </c>
      <c r="K20" s="255">
        <v>36.75</v>
      </c>
      <c r="L20" s="255">
        <v>27.5</v>
      </c>
      <c r="M20" s="255">
        <v>28.75</v>
      </c>
      <c r="N20" s="255">
        <v>31</v>
      </c>
      <c r="O20" s="255">
        <v>33.75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300</v>
      </c>
      <c r="B21" s="7"/>
      <c r="C21" s="8">
        <v>1.2</v>
      </c>
      <c r="D21" s="8">
        <v>0.5</v>
      </c>
      <c r="E21" s="8">
        <v>0.25</v>
      </c>
      <c r="F21" s="8">
        <v>0.60000000000000142</v>
      </c>
      <c r="G21" s="8">
        <v>0.5</v>
      </c>
      <c r="H21" s="8">
        <v>0.64999999999999858</v>
      </c>
      <c r="I21" s="8">
        <v>0.60000000000000142</v>
      </c>
      <c r="J21" s="8">
        <v>0.35000000000000142</v>
      </c>
      <c r="K21" s="8">
        <v>0.35000000000000142</v>
      </c>
      <c r="L21" s="8">
        <v>0</v>
      </c>
      <c r="M21" s="8">
        <v>0.5</v>
      </c>
      <c r="N21" s="8">
        <v>0.5</v>
      </c>
      <c r="O21" s="8">
        <v>0.25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301</v>
      </c>
      <c r="B23" s="7"/>
      <c r="C23" s="255">
        <v>22.25</v>
      </c>
      <c r="D23" s="255">
        <v>19.25</v>
      </c>
      <c r="E23" s="255">
        <v>17.25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302</v>
      </c>
      <c r="B24" s="7"/>
      <c r="C24" s="255">
        <v>22.25</v>
      </c>
      <c r="D24" s="255">
        <v>19.25</v>
      </c>
      <c r="E24" s="255">
        <v>17.25</v>
      </c>
      <c r="F24" s="255">
        <v>13.25</v>
      </c>
      <c r="G24" s="255">
        <v>11.75</v>
      </c>
      <c r="H24" s="255">
        <v>11.75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303</v>
      </c>
      <c r="B25" s="7"/>
      <c r="C25" s="8">
        <v>0</v>
      </c>
      <c r="D25" s="8">
        <v>0</v>
      </c>
      <c r="E25" s="8">
        <v>0</v>
      </c>
      <c r="F25" s="8">
        <v>0.5</v>
      </c>
      <c r="G25" s="8">
        <v>0.25</v>
      </c>
      <c r="H25" s="8">
        <v>0.25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70.083299999999994</v>
      </c>
      <c r="D28" s="255">
        <v>70.083299999999994</v>
      </c>
      <c r="E28" s="255">
        <v>70.083299999999994</v>
      </c>
      <c r="F28" s="255">
        <v>63.5</v>
      </c>
      <c r="G28" s="255">
        <v>63.5</v>
      </c>
      <c r="H28" s="255">
        <v>63.5</v>
      </c>
      <c r="I28" s="255">
        <v>70.083299999999994</v>
      </c>
      <c r="J28" s="255">
        <v>70.083299999999994</v>
      </c>
      <c r="K28" s="255">
        <v>70.083299999999994</v>
      </c>
      <c r="L28" s="255">
        <v>70.083299999999994</v>
      </c>
      <c r="M28" s="255">
        <v>70.083299999999994</v>
      </c>
      <c r="N28" s="255">
        <v>70.083299999999994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59.79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304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291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292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279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293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294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295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296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288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297</v>
      </c>
    </row>
    <row r="47" spans="1:27" ht="11.25" customHeight="1" x14ac:dyDescent="0.2">
      <c r="A47" s="255" t="s">
        <v>298</v>
      </c>
      <c r="B47" s="7"/>
      <c r="C47" s="255">
        <v>28.5</v>
      </c>
      <c r="D47" s="255">
        <v>25.2</v>
      </c>
      <c r="E47" s="255">
        <v>21.5</v>
      </c>
      <c r="F47" s="255">
        <v>20.350000000000001</v>
      </c>
      <c r="G47" s="255">
        <v>20.5</v>
      </c>
      <c r="H47" s="255">
        <v>22.9</v>
      </c>
      <c r="I47" s="255">
        <v>34.35</v>
      </c>
      <c r="J47" s="255">
        <v>41.85</v>
      </c>
      <c r="K47" s="255">
        <v>37.1</v>
      </c>
      <c r="L47" s="255">
        <v>27.5</v>
      </c>
      <c r="M47" s="255">
        <v>29.25</v>
      </c>
      <c r="N47" s="255">
        <v>31.5</v>
      </c>
      <c r="O47" s="255">
        <v>34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299</v>
      </c>
      <c r="B48" s="7"/>
      <c r="C48" s="255">
        <v>27.3</v>
      </c>
      <c r="D48" s="255">
        <v>24.7</v>
      </c>
      <c r="E48" s="255">
        <v>21.25</v>
      </c>
      <c r="F48" s="255">
        <v>19.75</v>
      </c>
      <c r="G48" s="255">
        <v>20</v>
      </c>
      <c r="H48" s="255">
        <v>22.25</v>
      </c>
      <c r="I48" s="255">
        <v>33.75</v>
      </c>
      <c r="J48" s="255">
        <v>41.5</v>
      </c>
      <c r="K48" s="255">
        <v>36.75</v>
      </c>
      <c r="L48" s="255">
        <v>27.5</v>
      </c>
      <c r="M48" s="255">
        <v>28.75</v>
      </c>
      <c r="N48" s="255">
        <v>31</v>
      </c>
      <c r="O48" s="255">
        <v>33.75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300</v>
      </c>
      <c r="B49" s="7"/>
      <c r="C49" s="8">
        <v>1.2</v>
      </c>
      <c r="D49" s="8">
        <v>0.5</v>
      </c>
      <c r="E49" s="8">
        <v>0.25</v>
      </c>
      <c r="F49" s="8">
        <v>0.60000000000000142</v>
      </c>
      <c r="G49" s="8">
        <v>0.5</v>
      </c>
      <c r="H49" s="8">
        <v>0.64999999999999858</v>
      </c>
      <c r="I49" s="8">
        <v>0.60000000000000142</v>
      </c>
      <c r="J49" s="8">
        <v>0.35000000000000142</v>
      </c>
      <c r="K49" s="8">
        <v>0.35000000000000142</v>
      </c>
      <c r="L49" s="8">
        <v>0</v>
      </c>
      <c r="M49" s="8">
        <v>0.5</v>
      </c>
      <c r="N49" s="8">
        <v>0.5</v>
      </c>
      <c r="O49" s="8">
        <v>0.25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301</v>
      </c>
      <c r="B51" s="7"/>
      <c r="C51" s="255">
        <v>22.25</v>
      </c>
      <c r="D51" s="255">
        <v>19.25</v>
      </c>
      <c r="E51" s="255">
        <v>17.25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302</v>
      </c>
      <c r="B52" s="7"/>
      <c r="C52" s="255">
        <v>22.25</v>
      </c>
      <c r="D52" s="255">
        <v>19.25</v>
      </c>
      <c r="E52" s="255">
        <v>17.25</v>
      </c>
      <c r="F52" s="255">
        <v>13.25</v>
      </c>
      <c r="G52" s="255">
        <v>11.75</v>
      </c>
      <c r="H52" s="255">
        <v>11.75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303</v>
      </c>
      <c r="B53" s="7"/>
      <c r="C53" s="8">
        <v>0</v>
      </c>
      <c r="D53" s="8">
        <v>0</v>
      </c>
      <c r="E53" s="8">
        <v>0</v>
      </c>
      <c r="F53" s="8">
        <v>0.5</v>
      </c>
      <c r="G53" s="8">
        <v>0.25</v>
      </c>
      <c r="H53" s="8">
        <v>0.25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291</v>
      </c>
      <c r="B63" s="161"/>
      <c r="C63" s="163">
        <v>753.87980000000005</v>
      </c>
      <c r="D63" s="163">
        <v>861.8297</v>
      </c>
      <c r="E63" s="163">
        <v>908.0154</v>
      </c>
      <c r="F63" s="163">
        <v>636.2269</v>
      </c>
      <c r="G63" s="163">
        <v>606.12689999999998</v>
      </c>
      <c r="H63" s="163">
        <v>543.85</v>
      </c>
      <c r="I63" s="163">
        <v>687.27689999999996</v>
      </c>
      <c r="J63" s="163">
        <v>709.13890000000004</v>
      </c>
      <c r="K63" s="163">
        <v>728.97500000000002</v>
      </c>
      <c r="L63" s="163">
        <v>767.38739999999996</v>
      </c>
      <c r="M63" s="163">
        <v>743.38750000000005</v>
      </c>
      <c r="N63" s="163">
        <v>750.08749999999998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517.44500000000005</v>
      </c>
    </row>
    <row r="64" spans="1:27" ht="11.25" customHeight="1" thickBot="1" x14ac:dyDescent="0.25">
      <c r="A64" s="163" t="s">
        <v>292</v>
      </c>
      <c r="B64" s="161"/>
      <c r="C64" s="163">
        <v>755.97799999999995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301.30849999999998</v>
      </c>
    </row>
    <row r="65" spans="1:27" ht="11.25" customHeight="1" thickBot="1" x14ac:dyDescent="0.25">
      <c r="A65" s="165" t="s">
        <v>279</v>
      </c>
      <c r="B65" s="166"/>
      <c r="C65" s="166">
        <v>754.8048</v>
      </c>
      <c r="D65" s="166">
        <v>765.11850000000004</v>
      </c>
      <c r="E65" s="166">
        <v>797.0086</v>
      </c>
      <c r="F65" s="166">
        <v>576.14359999999999</v>
      </c>
      <c r="G65" s="166">
        <v>557.06179999999995</v>
      </c>
      <c r="H65" s="166">
        <v>530.1028</v>
      </c>
      <c r="I65" s="166">
        <v>527.81129999999996</v>
      </c>
      <c r="J65" s="166">
        <v>545.51369999999997</v>
      </c>
      <c r="K65" s="166">
        <v>540.82579999999996</v>
      </c>
      <c r="L65" s="166">
        <v>609.65440000000001</v>
      </c>
      <c r="M65" s="166">
        <v>590.99720000000002</v>
      </c>
      <c r="N65" s="166">
        <v>591.65859999999998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422.50279999999998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293</v>
      </c>
      <c r="B67" s="161"/>
      <c r="C67" s="163">
        <v>719.8048</v>
      </c>
      <c r="D67" s="163">
        <v>765.11850000000004</v>
      </c>
      <c r="E67" s="163">
        <v>797.0086</v>
      </c>
      <c r="F67" s="163">
        <v>576.14359999999999</v>
      </c>
      <c r="G67" s="163">
        <v>557.06179999999995</v>
      </c>
      <c r="H67" s="163">
        <v>530.1028</v>
      </c>
      <c r="I67" s="163">
        <v>527.81129999999996</v>
      </c>
      <c r="J67" s="163">
        <v>545.51369999999997</v>
      </c>
      <c r="K67" s="163">
        <v>540.82579999999996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419.25850000000003</v>
      </c>
    </row>
    <row r="68" spans="1:27" ht="11.25" customHeight="1" x14ac:dyDescent="0.2">
      <c r="A68" s="163" t="s">
        <v>294</v>
      </c>
      <c r="B68" s="161"/>
      <c r="C68" s="254">
        <v>35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14.516100000000051</v>
      </c>
      <c r="M68" s="254">
        <v>13.888900000000035</v>
      </c>
      <c r="N68" s="254">
        <v>13.440899999999942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3.2442999999999529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295</v>
      </c>
      <c r="B70" s="161"/>
      <c r="C70" s="163">
        <v>-21920938</v>
      </c>
      <c r="D70" s="163">
        <v>-16310113</v>
      </c>
      <c r="E70" s="163">
        <v>-18644663</v>
      </c>
      <c r="F70" s="163">
        <v>-14906356</v>
      </c>
      <c r="G70" s="163">
        <v>-14958962</v>
      </c>
      <c r="H70" s="163">
        <v>-12839289</v>
      </c>
      <c r="I70" s="163">
        <v>-16424336</v>
      </c>
      <c r="J70" s="163">
        <v>-14227423</v>
      </c>
      <c r="K70" s="163">
        <v>-13526835</v>
      </c>
      <c r="L70" s="163">
        <v>-12610960</v>
      </c>
      <c r="M70" s="163">
        <v>-11289382</v>
      </c>
      <c r="N70" s="163">
        <v>-10159967</v>
      </c>
      <c r="O70" s="163">
        <v>-1372474</v>
      </c>
      <c r="P70" s="163">
        <v>-1621773</v>
      </c>
      <c r="Q70" s="163">
        <v>-2296995</v>
      </c>
      <c r="R70" s="163">
        <v>-2849570</v>
      </c>
      <c r="S70" s="163">
        <v>-3309044</v>
      </c>
      <c r="T70" s="163">
        <v>-2646483</v>
      </c>
      <c r="U70" s="163">
        <v>-322566</v>
      </c>
      <c r="V70" s="163">
        <v>359802</v>
      </c>
      <c r="W70" s="163">
        <v>-246285</v>
      </c>
      <c r="X70" s="163">
        <v>-2052018</v>
      </c>
      <c r="Y70" s="163">
        <v>-1676142</v>
      </c>
      <c r="Z70" s="163">
        <v>-1228298</v>
      </c>
      <c r="AA70" s="163">
        <v>-197081070</v>
      </c>
    </row>
    <row r="71" spans="1:27" ht="11.25" customHeight="1" thickBot="1" x14ac:dyDescent="0.25">
      <c r="A71" s="163" t="s">
        <v>296</v>
      </c>
      <c r="B71" s="161"/>
      <c r="C71" s="163">
        <v>-13844101</v>
      </c>
      <c r="D71" s="163">
        <v>-12661978</v>
      </c>
      <c r="E71" s="163">
        <v>-14671825</v>
      </c>
      <c r="F71" s="163">
        <v>-9564374</v>
      </c>
      <c r="G71" s="163">
        <v>-10608116</v>
      </c>
      <c r="H71" s="163">
        <v>-10504899</v>
      </c>
      <c r="I71" s="163">
        <v>-7508287</v>
      </c>
      <c r="J71" s="163">
        <v>-6781529</v>
      </c>
      <c r="K71" s="163">
        <v>-7649009</v>
      </c>
      <c r="L71" s="163">
        <v>-7743278</v>
      </c>
      <c r="M71" s="163">
        <v>-7696116</v>
      </c>
      <c r="N71" s="163">
        <v>-7858939</v>
      </c>
      <c r="O71" s="163">
        <v>-1335419</v>
      </c>
      <c r="P71" s="163">
        <v>-1356723</v>
      </c>
      <c r="Q71" s="163">
        <v>-1523115</v>
      </c>
      <c r="R71" s="163">
        <v>-1160459</v>
      </c>
      <c r="S71" s="163">
        <v>-1306721</v>
      </c>
      <c r="T71" s="163">
        <v>-1348786</v>
      </c>
      <c r="U71" s="163">
        <v>-981505</v>
      </c>
      <c r="V71" s="163">
        <v>-896750</v>
      </c>
      <c r="W71" s="163">
        <v>-927390</v>
      </c>
      <c r="X71" s="163">
        <v>-1136562</v>
      </c>
      <c r="Y71" s="163">
        <v>-1045949</v>
      </c>
      <c r="Z71" s="163">
        <v>-935496</v>
      </c>
      <c r="AA71" s="163">
        <v>-131047326</v>
      </c>
    </row>
    <row r="72" spans="1:27" ht="11.25" customHeight="1" thickBot="1" x14ac:dyDescent="0.25">
      <c r="A72" s="165" t="s">
        <v>288</v>
      </c>
      <c r="B72" s="166"/>
      <c r="C72" s="166">
        <v>-35765039</v>
      </c>
      <c r="D72" s="166">
        <v>-28972091</v>
      </c>
      <c r="E72" s="166">
        <v>-33316488</v>
      </c>
      <c r="F72" s="166">
        <v>-24470730</v>
      </c>
      <c r="G72" s="166">
        <v>-25567078</v>
      </c>
      <c r="H72" s="166">
        <v>-23344188</v>
      </c>
      <c r="I72" s="166">
        <v>-23932623</v>
      </c>
      <c r="J72" s="166">
        <v>-21008952</v>
      </c>
      <c r="K72" s="166">
        <v>-21175844</v>
      </c>
      <c r="L72" s="166">
        <v>-20354238</v>
      </c>
      <c r="M72" s="166">
        <v>-18985498</v>
      </c>
      <c r="N72" s="166">
        <v>-18018906</v>
      </c>
      <c r="O72" s="166">
        <v>-2707893</v>
      </c>
      <c r="P72" s="166">
        <v>-2978496</v>
      </c>
      <c r="Q72" s="166">
        <v>-3820110</v>
      </c>
      <c r="R72" s="166">
        <v>-4010029</v>
      </c>
      <c r="S72" s="166">
        <v>-4615765</v>
      </c>
      <c r="T72" s="166">
        <v>-3995269</v>
      </c>
      <c r="U72" s="166">
        <v>-1304071</v>
      </c>
      <c r="V72" s="166">
        <v>-536948</v>
      </c>
      <c r="W72" s="166">
        <v>-1173675</v>
      </c>
      <c r="X72" s="166">
        <v>-3188580</v>
      </c>
      <c r="Y72" s="166">
        <v>-2722091</v>
      </c>
      <c r="Z72" s="166">
        <v>-2163794</v>
      </c>
      <c r="AA72" s="167">
        <v>-328128396</v>
      </c>
    </row>
    <row r="74" spans="1:27" ht="12" customHeight="1" x14ac:dyDescent="0.2">
      <c r="A74" s="253" t="s">
        <v>297</v>
      </c>
    </row>
    <row r="75" spans="1:27" ht="11.25" customHeight="1" x14ac:dyDescent="0.2">
      <c r="A75" s="255" t="s">
        <v>298</v>
      </c>
      <c r="B75" s="7"/>
      <c r="C75" s="255">
        <v>26.5</v>
      </c>
      <c r="D75" s="255">
        <v>23.2</v>
      </c>
      <c r="E75" s="255">
        <v>19.5</v>
      </c>
      <c r="F75" s="255">
        <v>18.350000000000001</v>
      </c>
      <c r="G75" s="255">
        <v>18</v>
      </c>
      <c r="H75" s="255">
        <v>19.149999999999999</v>
      </c>
      <c r="I75" s="255">
        <v>29.35</v>
      </c>
      <c r="J75" s="255">
        <v>38.35</v>
      </c>
      <c r="K75" s="255">
        <v>35.35</v>
      </c>
      <c r="L75" s="255">
        <v>26</v>
      </c>
      <c r="M75" s="255">
        <v>28</v>
      </c>
      <c r="N75" s="255">
        <v>31</v>
      </c>
      <c r="O75" s="255">
        <v>33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299</v>
      </c>
      <c r="B76" s="7"/>
      <c r="C76" s="255">
        <v>25.4</v>
      </c>
      <c r="D76" s="255">
        <v>22.7</v>
      </c>
      <c r="E76" s="255">
        <v>19.25</v>
      </c>
      <c r="F76" s="255">
        <v>17.75</v>
      </c>
      <c r="G76" s="255">
        <v>17.5</v>
      </c>
      <c r="H76" s="255">
        <v>18.5</v>
      </c>
      <c r="I76" s="255">
        <v>28.75</v>
      </c>
      <c r="J76" s="255">
        <v>38</v>
      </c>
      <c r="K76" s="255">
        <v>35</v>
      </c>
      <c r="L76" s="255">
        <v>26</v>
      </c>
      <c r="M76" s="255">
        <v>27.5</v>
      </c>
      <c r="N76" s="255">
        <v>30.5</v>
      </c>
      <c r="O76" s="255">
        <v>32.75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300</v>
      </c>
      <c r="B77" s="7"/>
      <c r="C77" s="8">
        <v>1.1000000000000001</v>
      </c>
      <c r="D77" s="8">
        <v>0.5</v>
      </c>
      <c r="E77" s="8">
        <v>0.25</v>
      </c>
      <c r="F77" s="8">
        <v>0.60000000000000142</v>
      </c>
      <c r="G77" s="8">
        <v>0.5</v>
      </c>
      <c r="H77" s="8">
        <v>0.64999999999999858</v>
      </c>
      <c r="I77" s="8">
        <v>0.60000000000000142</v>
      </c>
      <c r="J77" s="8">
        <v>0.35000000000000142</v>
      </c>
      <c r="K77" s="8">
        <v>0.35000000000000142</v>
      </c>
      <c r="L77" s="8">
        <v>0</v>
      </c>
      <c r="M77" s="8">
        <v>0.5</v>
      </c>
      <c r="N77" s="8">
        <v>0.5</v>
      </c>
      <c r="O77" s="8">
        <v>0.25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301</v>
      </c>
      <c r="B79" s="7"/>
      <c r="C79" s="255">
        <v>22.25</v>
      </c>
      <c r="D79" s="255">
        <v>19.25</v>
      </c>
      <c r="E79" s="255">
        <v>17.25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302</v>
      </c>
      <c r="B80" s="7"/>
      <c r="C80" s="255">
        <v>22.25</v>
      </c>
      <c r="D80" s="255">
        <v>19.25</v>
      </c>
      <c r="E80" s="255">
        <v>17.25</v>
      </c>
      <c r="F80" s="255">
        <v>13.25</v>
      </c>
      <c r="G80" s="255">
        <v>11.75</v>
      </c>
      <c r="H80" s="255">
        <v>11.75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303</v>
      </c>
      <c r="B81" s="7"/>
      <c r="C81" s="8">
        <v>0</v>
      </c>
      <c r="D81" s="8">
        <v>0</v>
      </c>
      <c r="E81" s="8">
        <v>0</v>
      </c>
      <c r="F81" s="8">
        <v>0.5</v>
      </c>
      <c r="G81" s="8">
        <v>0.25</v>
      </c>
      <c r="H81" s="8">
        <v>0.25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78.297600000000003</v>
      </c>
      <c r="D84" s="255">
        <v>83.241900000000001</v>
      </c>
      <c r="E84" s="255">
        <v>82.929199999999994</v>
      </c>
      <c r="F84" s="255">
        <v>76.55</v>
      </c>
      <c r="G84" s="255">
        <v>78.309700000000007</v>
      </c>
      <c r="H84" s="255">
        <v>78.309700000000007</v>
      </c>
      <c r="I84" s="255">
        <v>100.2444</v>
      </c>
      <c r="J84" s="255">
        <v>100.2444</v>
      </c>
      <c r="K84" s="255">
        <v>100.2444</v>
      </c>
      <c r="L84" s="255">
        <v>75.42</v>
      </c>
      <c r="M84" s="255">
        <v>75.42</v>
      </c>
      <c r="N84" s="255">
        <v>75.42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46.645200000000003</v>
      </c>
      <c r="D85" s="255">
        <v>83.235699999999994</v>
      </c>
      <c r="E85" s="255">
        <v>120.41249999999999</v>
      </c>
      <c r="F85" s="255">
        <v>89.8917</v>
      </c>
      <c r="G85" s="255">
        <v>89.8917</v>
      </c>
      <c r="H85" s="255">
        <v>71.959999999999994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69.050899999999999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305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291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292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279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293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294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295</v>
      </c>
      <c r="B98" s="161"/>
      <c r="C98" s="163">
        <v>246264</v>
      </c>
      <c r="D98" s="163">
        <v>225102</v>
      </c>
      <c r="E98" s="163">
        <v>78541</v>
      </c>
      <c r="F98" s="163">
        <v>87798</v>
      </c>
      <c r="G98" s="163">
        <v>86536</v>
      </c>
      <c r="H98" s="163">
        <v>-105699</v>
      </c>
      <c r="I98" s="163">
        <v>-151704</v>
      </c>
      <c r="J98" s="163">
        <v>-360382</v>
      </c>
      <c r="K98" s="163">
        <v>-205460</v>
      </c>
      <c r="L98" s="163">
        <v>29611</v>
      </c>
      <c r="M98" s="163">
        <v>219389</v>
      </c>
      <c r="N98" s="163">
        <v>225453</v>
      </c>
      <c r="O98" s="163">
        <v>234216</v>
      </c>
      <c r="P98" s="163">
        <v>201625</v>
      </c>
      <c r="Q98" s="163">
        <v>21724</v>
      </c>
      <c r="R98" s="163">
        <v>58168</v>
      </c>
      <c r="S98" s="163">
        <v>74301</v>
      </c>
      <c r="T98" s="163">
        <v>-134065</v>
      </c>
      <c r="U98" s="163">
        <v>-319445</v>
      </c>
      <c r="V98" s="163">
        <v>-440281</v>
      </c>
      <c r="W98" s="163">
        <v>-281012</v>
      </c>
      <c r="X98" s="163">
        <v>23694</v>
      </c>
      <c r="Y98" s="163">
        <v>192641</v>
      </c>
      <c r="Z98" s="163">
        <v>220330</v>
      </c>
      <c r="AA98" s="163">
        <v>227345</v>
      </c>
    </row>
    <row r="99" spans="1:27" ht="11.25" customHeight="1" thickBot="1" x14ac:dyDescent="0.25">
      <c r="A99" s="163" t="s">
        <v>296</v>
      </c>
      <c r="B99" s="161"/>
      <c r="C99" s="163">
        <v>65342</v>
      </c>
      <c r="D99" s="163">
        <v>67416</v>
      </c>
      <c r="E99" s="163">
        <v>89631</v>
      </c>
      <c r="F99" s="163">
        <v>103579</v>
      </c>
      <c r="G99" s="163">
        <v>123465</v>
      </c>
      <c r="H99" s="163">
        <v>120178</v>
      </c>
      <c r="I99" s="163">
        <v>38182</v>
      </c>
      <c r="J99" s="163">
        <v>18417</v>
      </c>
      <c r="K99" s="163">
        <v>29210</v>
      </c>
      <c r="L99" s="163">
        <v>58234</v>
      </c>
      <c r="M99" s="163">
        <v>61050</v>
      </c>
      <c r="N99" s="163">
        <v>53123</v>
      </c>
      <c r="O99" s="163">
        <v>50818</v>
      </c>
      <c r="P99" s="163">
        <v>53561</v>
      </c>
      <c r="Q99" s="163">
        <v>73186</v>
      </c>
      <c r="R99" s="163">
        <v>87311</v>
      </c>
      <c r="S99" s="163">
        <v>106375</v>
      </c>
      <c r="T99" s="163">
        <v>106223</v>
      </c>
      <c r="U99" s="163">
        <v>15277</v>
      </c>
      <c r="V99" s="163">
        <v>4550</v>
      </c>
      <c r="W99" s="163">
        <v>2156</v>
      </c>
      <c r="X99" s="163">
        <v>55793</v>
      </c>
      <c r="Y99" s="163">
        <v>54920</v>
      </c>
      <c r="Z99" s="163">
        <v>36668</v>
      </c>
      <c r="AA99" s="163">
        <v>1474665</v>
      </c>
    </row>
    <row r="100" spans="1:27" ht="11.25" customHeight="1" thickBot="1" x14ac:dyDescent="0.25">
      <c r="A100" s="165" t="s">
        <v>288</v>
      </c>
      <c r="B100" s="166"/>
      <c r="C100" s="166">
        <v>311606</v>
      </c>
      <c r="D100" s="166">
        <v>292518</v>
      </c>
      <c r="E100" s="166">
        <v>168172</v>
      </c>
      <c r="F100" s="166">
        <v>191377</v>
      </c>
      <c r="G100" s="166">
        <v>210001</v>
      </c>
      <c r="H100" s="166">
        <v>14479</v>
      </c>
      <c r="I100" s="166">
        <v>-113522</v>
      </c>
      <c r="J100" s="166">
        <v>-341965</v>
      </c>
      <c r="K100" s="166">
        <v>-176250</v>
      </c>
      <c r="L100" s="166">
        <v>87845</v>
      </c>
      <c r="M100" s="166">
        <v>280439</v>
      </c>
      <c r="N100" s="166">
        <v>278576</v>
      </c>
      <c r="O100" s="166">
        <v>285034</v>
      </c>
      <c r="P100" s="166">
        <v>255186</v>
      </c>
      <c r="Q100" s="166">
        <v>94910</v>
      </c>
      <c r="R100" s="166">
        <v>145479</v>
      </c>
      <c r="S100" s="166">
        <v>180676</v>
      </c>
      <c r="T100" s="166">
        <v>-27842</v>
      </c>
      <c r="U100" s="166">
        <v>-304168</v>
      </c>
      <c r="V100" s="166">
        <v>-435731</v>
      </c>
      <c r="W100" s="166">
        <v>-278856</v>
      </c>
      <c r="X100" s="166">
        <v>79487</v>
      </c>
      <c r="Y100" s="166">
        <v>247561</v>
      </c>
      <c r="Z100" s="166">
        <v>256998</v>
      </c>
      <c r="AA100" s="167">
        <v>1702010</v>
      </c>
    </row>
    <row r="102" spans="1:27" ht="12" customHeight="1" x14ac:dyDescent="0.2">
      <c r="A102" s="253" t="s">
        <v>297</v>
      </c>
    </row>
    <row r="103" spans="1:27" ht="11.25" customHeight="1" x14ac:dyDescent="0.2">
      <c r="A103" s="255" t="s">
        <v>298</v>
      </c>
      <c r="B103" s="7"/>
      <c r="C103" s="255">
        <v>28.5</v>
      </c>
      <c r="D103" s="255">
        <v>25.2</v>
      </c>
      <c r="E103" s="255">
        <v>21.5</v>
      </c>
      <c r="F103" s="255">
        <v>20.350000000000001</v>
      </c>
      <c r="G103" s="255">
        <v>20.5</v>
      </c>
      <c r="H103" s="255">
        <v>22.9</v>
      </c>
      <c r="I103" s="255">
        <v>34.35</v>
      </c>
      <c r="J103" s="255">
        <v>41.85</v>
      </c>
      <c r="K103" s="255">
        <v>37.1</v>
      </c>
      <c r="L103" s="255">
        <v>27.5</v>
      </c>
      <c r="M103" s="255">
        <v>29.25</v>
      </c>
      <c r="N103" s="255">
        <v>31.5</v>
      </c>
      <c r="O103" s="255">
        <v>34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299</v>
      </c>
      <c r="B104" s="7"/>
      <c r="C104" s="255">
        <v>27.3</v>
      </c>
      <c r="D104" s="255">
        <v>24.7</v>
      </c>
      <c r="E104" s="255">
        <v>21.25</v>
      </c>
      <c r="F104" s="255">
        <v>19.75</v>
      </c>
      <c r="G104" s="255">
        <v>20</v>
      </c>
      <c r="H104" s="255">
        <v>22.25</v>
      </c>
      <c r="I104" s="255">
        <v>33.75</v>
      </c>
      <c r="J104" s="255">
        <v>41.5</v>
      </c>
      <c r="K104" s="255">
        <v>36.75</v>
      </c>
      <c r="L104" s="255">
        <v>27.5</v>
      </c>
      <c r="M104" s="255">
        <v>28.75</v>
      </c>
      <c r="N104" s="255">
        <v>31</v>
      </c>
      <c r="O104" s="255">
        <v>33.75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300</v>
      </c>
      <c r="B105" s="7"/>
      <c r="C105" s="8">
        <v>1.2</v>
      </c>
      <c r="D105" s="8">
        <v>0.5</v>
      </c>
      <c r="E105" s="8">
        <v>0.25</v>
      </c>
      <c r="F105" s="8">
        <v>0.60000000000000142</v>
      </c>
      <c r="G105" s="8">
        <v>0.5</v>
      </c>
      <c r="H105" s="8">
        <v>0.64999999999999858</v>
      </c>
      <c r="I105" s="8">
        <v>0.60000000000000142</v>
      </c>
      <c r="J105" s="8">
        <v>0.35000000000000142</v>
      </c>
      <c r="K105" s="8">
        <v>0.35000000000000142</v>
      </c>
      <c r="L105" s="8">
        <v>0</v>
      </c>
      <c r="M105" s="8">
        <v>0.5</v>
      </c>
      <c r="N105" s="8">
        <v>0.5</v>
      </c>
      <c r="O105" s="8">
        <v>0.25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301</v>
      </c>
      <c r="B107" s="7"/>
      <c r="C107" s="255">
        <v>22.25</v>
      </c>
      <c r="D107" s="255">
        <v>19.25</v>
      </c>
      <c r="E107" s="255">
        <v>17.25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302</v>
      </c>
      <c r="B108" s="7"/>
      <c r="C108" s="255">
        <v>22.25</v>
      </c>
      <c r="D108" s="255">
        <v>19.25</v>
      </c>
      <c r="E108" s="255">
        <v>17.25</v>
      </c>
      <c r="F108" s="255">
        <v>13.25</v>
      </c>
      <c r="G108" s="255">
        <v>11.75</v>
      </c>
      <c r="H108" s="255">
        <v>11.75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303</v>
      </c>
      <c r="B109" s="7"/>
      <c r="C109" s="8">
        <v>0</v>
      </c>
      <c r="D109" s="8">
        <v>0</v>
      </c>
      <c r="E109" s="8">
        <v>0</v>
      </c>
      <c r="F109" s="8">
        <v>0.5</v>
      </c>
      <c r="G109" s="8">
        <v>0.25</v>
      </c>
      <c r="H109" s="8">
        <v>0.25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291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292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279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293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294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295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296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288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297</v>
      </c>
    </row>
    <row r="131" spans="1:27" ht="11.25" customHeight="1" x14ac:dyDescent="0.2">
      <c r="A131" s="255" t="s">
        <v>298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299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300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301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302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303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306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291</v>
      </c>
      <c r="B147" s="161"/>
      <c r="C147" s="163">
        <v>-891.94709999999998</v>
      </c>
      <c r="D147" s="163">
        <v>-922.11040000000003</v>
      </c>
      <c r="E147" s="163">
        <v>-862.226</v>
      </c>
      <c r="F147" s="163">
        <v>-799.76089999999999</v>
      </c>
      <c r="G147" s="163">
        <v>-697.7097</v>
      </c>
      <c r="H147" s="163">
        <v>-847.04570000000001</v>
      </c>
      <c r="I147" s="163">
        <v>-545.20060000000001</v>
      </c>
      <c r="J147" s="163">
        <v>-540.83169999999996</v>
      </c>
      <c r="K147" s="163">
        <v>-552.13940000000002</v>
      </c>
      <c r="L147" s="163">
        <v>-623.45050000000003</v>
      </c>
      <c r="M147" s="163">
        <v>-785.98710000000005</v>
      </c>
      <c r="N147" s="163">
        <v>-862.13720000000001</v>
      </c>
      <c r="O147" s="163">
        <v>-915.02539999999999</v>
      </c>
      <c r="P147" s="163">
        <v>-850.85400000000004</v>
      </c>
      <c r="Q147" s="163">
        <v>-781.21690000000001</v>
      </c>
      <c r="R147" s="163">
        <v>-895.44209999999998</v>
      </c>
      <c r="S147" s="163">
        <v>-912.06849999999997</v>
      </c>
      <c r="T147" s="163">
        <v>-917.21500000000003</v>
      </c>
      <c r="U147" s="163">
        <v>-646.2165</v>
      </c>
      <c r="V147" s="163">
        <v>-693.97209999999995</v>
      </c>
      <c r="W147" s="163">
        <v>-607.10490000000004</v>
      </c>
      <c r="X147" s="163">
        <v>-747.38</v>
      </c>
      <c r="Y147" s="163">
        <v>-783.42840000000001</v>
      </c>
      <c r="Z147" s="163">
        <v>-949.34950000000003</v>
      </c>
      <c r="AA147" s="163">
        <v>-775.32640000000004</v>
      </c>
    </row>
    <row r="148" spans="1:27" ht="11.25" customHeight="1" thickBot="1" x14ac:dyDescent="0.25">
      <c r="A148" s="163" t="s">
        <v>292</v>
      </c>
      <c r="B148" s="161"/>
      <c r="C148" s="163">
        <v>-1037.8689999999999</v>
      </c>
      <c r="D148" s="163">
        <v>-902.76919999999996</v>
      </c>
      <c r="E148" s="163">
        <v>-848.17399999999998</v>
      </c>
      <c r="F148" s="163">
        <v>-741.92729999999995</v>
      </c>
      <c r="G148" s="163">
        <v>-652.66499999999996</v>
      </c>
      <c r="H148" s="163">
        <v>-828.11500000000001</v>
      </c>
      <c r="I148" s="163">
        <v>-375.35359999999997</v>
      </c>
      <c r="J148" s="163">
        <v>-377.4547</v>
      </c>
      <c r="K148" s="163">
        <v>-488.96749999999997</v>
      </c>
      <c r="L148" s="163">
        <v>-642.94269999999995</v>
      </c>
      <c r="M148" s="163">
        <v>-855.28880000000004</v>
      </c>
      <c r="N148" s="163">
        <v>-837.03210000000001</v>
      </c>
      <c r="O148" s="163">
        <v>-965.6019</v>
      </c>
      <c r="P148" s="163">
        <v>-933.83320000000003</v>
      </c>
      <c r="Q148" s="163">
        <v>-756.71590000000003</v>
      </c>
      <c r="R148" s="163">
        <v>-811.66790000000003</v>
      </c>
      <c r="S148" s="163">
        <v>-772.01679999999999</v>
      </c>
      <c r="T148" s="163">
        <v>-803.11630000000002</v>
      </c>
      <c r="U148" s="163">
        <v>-416.536</v>
      </c>
      <c r="V148" s="163">
        <v>-485.29969999999997</v>
      </c>
      <c r="W148" s="163">
        <v>-439.01799999999997</v>
      </c>
      <c r="X148" s="163">
        <v>-623.34199999999998</v>
      </c>
      <c r="Y148" s="163">
        <v>-802.66830000000004</v>
      </c>
      <c r="Z148" s="163">
        <v>-848.36260000000004</v>
      </c>
      <c r="AA148" s="163">
        <v>-717.28179999999998</v>
      </c>
    </row>
    <row r="149" spans="1:27" ht="11.25" customHeight="1" thickBot="1" x14ac:dyDescent="0.25">
      <c r="A149" s="165" t="s">
        <v>279</v>
      </c>
      <c r="B149" s="166"/>
      <c r="C149" s="166">
        <v>-956.27819999999997</v>
      </c>
      <c r="D149" s="166">
        <v>-913.82129999999995</v>
      </c>
      <c r="E149" s="166">
        <v>-856.03099999999995</v>
      </c>
      <c r="F149" s="166">
        <v>-775.34230000000002</v>
      </c>
      <c r="G149" s="166">
        <v>-677.85130000000004</v>
      </c>
      <c r="H149" s="166">
        <v>-838.63210000000004</v>
      </c>
      <c r="I149" s="166">
        <v>-470.3218</v>
      </c>
      <c r="J149" s="166">
        <v>-472.31869999999998</v>
      </c>
      <c r="K149" s="166">
        <v>-522.65920000000006</v>
      </c>
      <c r="L149" s="166">
        <v>-631.62469999999996</v>
      </c>
      <c r="M149" s="166">
        <v>-816.78790000000004</v>
      </c>
      <c r="N149" s="166">
        <v>-850.52949999999998</v>
      </c>
      <c r="O149" s="166">
        <v>-937.32259999999997</v>
      </c>
      <c r="P149" s="166">
        <v>-886.41660000000002</v>
      </c>
      <c r="Q149" s="166">
        <v>-770.41539999999998</v>
      </c>
      <c r="R149" s="166">
        <v>-860.07079999999996</v>
      </c>
      <c r="S149" s="166">
        <v>-850.32529999999997</v>
      </c>
      <c r="T149" s="166">
        <v>-866.50440000000003</v>
      </c>
      <c r="U149" s="166">
        <v>-544.95950000000005</v>
      </c>
      <c r="V149" s="166">
        <v>-601.97680000000003</v>
      </c>
      <c r="W149" s="166">
        <v>-532.39959999999996</v>
      </c>
      <c r="X149" s="166">
        <v>-695.36400000000003</v>
      </c>
      <c r="Y149" s="166">
        <v>-792.40700000000004</v>
      </c>
      <c r="Z149" s="166">
        <v>-904.82839999999999</v>
      </c>
      <c r="AA149" s="167">
        <v>-749.82920000000001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293</v>
      </c>
      <c r="B151" s="161"/>
      <c r="C151" s="163">
        <v>-878.93979999999999</v>
      </c>
      <c r="D151" s="163">
        <v>-873.78549999999996</v>
      </c>
      <c r="E151" s="163">
        <v>-844.01859999999999</v>
      </c>
      <c r="F151" s="163">
        <v>-770.66959999999995</v>
      </c>
      <c r="G151" s="163">
        <v>-673.59069999999997</v>
      </c>
      <c r="H151" s="163">
        <v>-835.84879999999998</v>
      </c>
      <c r="I151" s="163">
        <v>-453.30930000000001</v>
      </c>
      <c r="J151" s="163">
        <v>-457.79730000000001</v>
      </c>
      <c r="K151" s="163">
        <v>-507.99279999999999</v>
      </c>
      <c r="L151" s="163">
        <v>-634.50739999999996</v>
      </c>
      <c r="M151" s="163">
        <v>-805.30439999999999</v>
      </c>
      <c r="N151" s="163">
        <v>-834.98360000000002</v>
      </c>
      <c r="O151" s="163">
        <v>-917.21</v>
      </c>
      <c r="P151" s="163">
        <v>-868.41</v>
      </c>
      <c r="Q151" s="163">
        <v>-757.61410000000001</v>
      </c>
      <c r="R151" s="163">
        <v>-843.99379999999996</v>
      </c>
      <c r="S151" s="163">
        <v>-842.72990000000004</v>
      </c>
      <c r="T151" s="163">
        <v>-852.58929999999998</v>
      </c>
      <c r="U151" s="163">
        <v>-526.87279999999998</v>
      </c>
      <c r="V151" s="163">
        <v>-584.72199999999998</v>
      </c>
      <c r="W151" s="163">
        <v>-514.62639999999999</v>
      </c>
      <c r="X151" s="163">
        <v>-680.84529999999995</v>
      </c>
      <c r="Y151" s="163">
        <v>-777.70590000000004</v>
      </c>
      <c r="Z151" s="163">
        <v>-889.40869999999995</v>
      </c>
      <c r="AA151" s="163">
        <v>-733.31020000000001</v>
      </c>
    </row>
    <row r="152" spans="1:27" ht="11.25" customHeight="1" x14ac:dyDescent="0.2">
      <c r="A152" s="163" t="s">
        <v>294</v>
      </c>
      <c r="B152" s="161"/>
      <c r="C152" s="254">
        <v>-77.338399999999979</v>
      </c>
      <c r="D152" s="254">
        <v>-40.035799999999995</v>
      </c>
      <c r="E152" s="254">
        <v>-12.012399999999957</v>
      </c>
      <c r="F152" s="254">
        <v>-4.6727000000000771</v>
      </c>
      <c r="G152" s="254">
        <v>-4.2606000000000677</v>
      </c>
      <c r="H152" s="254">
        <v>-2.7833000000000538</v>
      </c>
      <c r="I152" s="254">
        <v>-17.012499999999999</v>
      </c>
      <c r="J152" s="254">
        <v>-14.521399999999971</v>
      </c>
      <c r="K152" s="254">
        <v>-14.666400000000067</v>
      </c>
      <c r="L152" s="254">
        <v>2.8826999999999998</v>
      </c>
      <c r="M152" s="254">
        <v>-11.483500000000049</v>
      </c>
      <c r="N152" s="254">
        <v>-15.545899999999961</v>
      </c>
      <c r="O152" s="254">
        <v>-20.112599999999929</v>
      </c>
      <c r="P152" s="254">
        <v>-18.006600000000049</v>
      </c>
      <c r="Q152" s="254">
        <v>-12.801299999999969</v>
      </c>
      <c r="R152" s="254">
        <v>-16.076999999999998</v>
      </c>
      <c r="S152" s="254">
        <v>-7.5953999999999269</v>
      </c>
      <c r="T152" s="254">
        <v>-13.915100000000052</v>
      </c>
      <c r="U152" s="254">
        <v>-18.086700000000064</v>
      </c>
      <c r="V152" s="254">
        <v>-17.254800000000046</v>
      </c>
      <c r="W152" s="254">
        <v>-17.773199999999974</v>
      </c>
      <c r="X152" s="254">
        <v>-14.518700000000081</v>
      </c>
      <c r="Y152" s="254">
        <v>-14.701099999999997</v>
      </c>
      <c r="Z152" s="254">
        <v>-15.419700000000034</v>
      </c>
      <c r="AA152" s="254">
        <v>-16.519000000000005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295</v>
      </c>
      <c r="B154" s="161"/>
      <c r="C154" s="163">
        <v>-24319329</v>
      </c>
      <c r="D154" s="163">
        <v>-19665260</v>
      </c>
      <c r="E154" s="163">
        <v>-14837996</v>
      </c>
      <c r="F154" s="163">
        <v>-13251927</v>
      </c>
      <c r="G154" s="163">
        <v>-13195840</v>
      </c>
      <c r="H154" s="163">
        <v>-13676138</v>
      </c>
      <c r="I154" s="163">
        <v>-19561354</v>
      </c>
      <c r="J154" s="163">
        <v>-23476084</v>
      </c>
      <c r="K154" s="163">
        <v>-19863557</v>
      </c>
      <c r="L154" s="163">
        <v>-19737614</v>
      </c>
      <c r="M154" s="163">
        <v>-20847624</v>
      </c>
      <c r="N154" s="163">
        <v>-23123808</v>
      </c>
      <c r="O154" s="163">
        <v>-28127912</v>
      </c>
      <c r="P154" s="163">
        <v>-22753404</v>
      </c>
      <c r="Q154" s="163">
        <v>-20298565</v>
      </c>
      <c r="R154" s="163">
        <v>-16983884</v>
      </c>
      <c r="S154" s="163">
        <v>-14216714</v>
      </c>
      <c r="T154" s="163">
        <v>-14566581</v>
      </c>
      <c r="U154" s="163">
        <v>-22030306</v>
      </c>
      <c r="V154" s="163">
        <v>-24890674</v>
      </c>
      <c r="W154" s="163">
        <v>-20504549</v>
      </c>
      <c r="X154" s="163">
        <v>-19387445</v>
      </c>
      <c r="Y154" s="163">
        <v>-18822953</v>
      </c>
      <c r="Z154" s="163">
        <v>-24278077</v>
      </c>
      <c r="AA154" s="163">
        <v>-472417595</v>
      </c>
    </row>
    <row r="155" spans="1:27" ht="11.25" customHeight="1" thickBot="1" x14ac:dyDescent="0.25">
      <c r="A155" s="163" t="s">
        <v>296</v>
      </c>
      <c r="B155" s="161"/>
      <c r="C155" s="163">
        <v>-14830902</v>
      </c>
      <c r="D155" s="163">
        <v>-11317037</v>
      </c>
      <c r="E155" s="163">
        <v>-9938038</v>
      </c>
      <c r="F155" s="163">
        <v>-7452647</v>
      </c>
      <c r="G155" s="163">
        <v>-7191218</v>
      </c>
      <c r="H155" s="163">
        <v>-6612243</v>
      </c>
      <c r="I155" s="163">
        <v>-10569133</v>
      </c>
      <c r="J155" s="163">
        <v>-11291089</v>
      </c>
      <c r="K155" s="163">
        <v>-11714014</v>
      </c>
      <c r="L155" s="163">
        <v>-11178705</v>
      </c>
      <c r="M155" s="163">
        <v>-13212365</v>
      </c>
      <c r="N155" s="163">
        <v>-14642627</v>
      </c>
      <c r="O155" s="163">
        <v>-16309003</v>
      </c>
      <c r="P155" s="163">
        <v>-12371282</v>
      </c>
      <c r="Q155" s="163">
        <v>-13250078</v>
      </c>
      <c r="R155" s="163">
        <v>-9584688</v>
      </c>
      <c r="S155" s="163">
        <v>-8644250</v>
      </c>
      <c r="T155" s="163">
        <v>-7552142</v>
      </c>
      <c r="U155" s="163">
        <v>-11374130</v>
      </c>
      <c r="V155" s="163">
        <v>-12795687</v>
      </c>
      <c r="W155" s="163">
        <v>-11352662</v>
      </c>
      <c r="X155" s="163">
        <v>-11070260</v>
      </c>
      <c r="Y155" s="163">
        <v>-12928293</v>
      </c>
      <c r="Z155" s="163">
        <v>-13818301</v>
      </c>
      <c r="AA155" s="163">
        <v>-271000794</v>
      </c>
    </row>
    <row r="156" spans="1:27" ht="11.25" customHeight="1" thickBot="1" x14ac:dyDescent="0.25">
      <c r="A156" s="165" t="s">
        <v>288</v>
      </c>
      <c r="B156" s="166"/>
      <c r="C156" s="166">
        <v>-39150231</v>
      </c>
      <c r="D156" s="166">
        <v>-30982297</v>
      </c>
      <c r="E156" s="166">
        <v>-24776034</v>
      </c>
      <c r="F156" s="166">
        <v>-20704574</v>
      </c>
      <c r="G156" s="166">
        <v>-20387058</v>
      </c>
      <c r="H156" s="166">
        <v>-20288381</v>
      </c>
      <c r="I156" s="166">
        <v>-30130487</v>
      </c>
      <c r="J156" s="166">
        <v>-34767173</v>
      </c>
      <c r="K156" s="166">
        <v>-31577571</v>
      </c>
      <c r="L156" s="166">
        <v>-30916319</v>
      </c>
      <c r="M156" s="166">
        <v>-34059989</v>
      </c>
      <c r="N156" s="166">
        <v>-37766435</v>
      </c>
      <c r="O156" s="166">
        <v>-44436915</v>
      </c>
      <c r="P156" s="166">
        <v>-35124686</v>
      </c>
      <c r="Q156" s="166">
        <v>-33548643</v>
      </c>
      <c r="R156" s="166">
        <v>-26568572</v>
      </c>
      <c r="S156" s="166">
        <v>-22860964</v>
      </c>
      <c r="T156" s="166">
        <v>-22118723</v>
      </c>
      <c r="U156" s="166">
        <v>-33404436</v>
      </c>
      <c r="V156" s="166">
        <v>-37686361</v>
      </c>
      <c r="W156" s="166">
        <v>-31857211</v>
      </c>
      <c r="X156" s="166">
        <v>-30457705</v>
      </c>
      <c r="Y156" s="166">
        <v>-31751246</v>
      </c>
      <c r="Z156" s="166">
        <v>-38096378</v>
      </c>
      <c r="AA156" s="167">
        <v>-743418389</v>
      </c>
    </row>
    <row r="158" spans="1:27" ht="12" customHeight="1" x14ac:dyDescent="0.2">
      <c r="A158" s="253" t="s">
        <v>297</v>
      </c>
    </row>
    <row r="159" spans="1:27" ht="11.25" customHeight="1" x14ac:dyDescent="0.2">
      <c r="A159" s="255" t="s">
        <v>298</v>
      </c>
      <c r="B159" s="7"/>
      <c r="C159" s="255">
        <v>27</v>
      </c>
      <c r="D159" s="255">
        <v>23.64</v>
      </c>
      <c r="E159" s="255">
        <v>19.87</v>
      </c>
      <c r="F159" s="255">
        <v>18.7</v>
      </c>
      <c r="G159" s="255">
        <v>18.34</v>
      </c>
      <c r="H159" s="255">
        <v>19.510000000000002</v>
      </c>
      <c r="I159" s="255">
        <v>29.91</v>
      </c>
      <c r="J159" s="255">
        <v>39.08</v>
      </c>
      <c r="K159" s="255">
        <v>36.020000000000003</v>
      </c>
      <c r="L159" s="255">
        <v>26.49</v>
      </c>
      <c r="M159" s="255">
        <v>28.53</v>
      </c>
      <c r="N159" s="255">
        <v>31.59</v>
      </c>
      <c r="O159" s="255">
        <v>33.630000000000003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299</v>
      </c>
      <c r="B160" s="7"/>
      <c r="C160" s="255">
        <v>25.88</v>
      </c>
      <c r="D160" s="255">
        <v>23.13</v>
      </c>
      <c r="E160" s="255">
        <v>19.62</v>
      </c>
      <c r="F160" s="255">
        <v>18.09</v>
      </c>
      <c r="G160" s="255">
        <v>17.829999999999998</v>
      </c>
      <c r="H160" s="255">
        <v>18.850000000000001</v>
      </c>
      <c r="I160" s="255">
        <v>29.3</v>
      </c>
      <c r="J160" s="255">
        <v>38.72</v>
      </c>
      <c r="K160" s="255">
        <v>35.67</v>
      </c>
      <c r="L160" s="255">
        <v>26.49</v>
      </c>
      <c r="M160" s="255">
        <v>28.02</v>
      </c>
      <c r="N160" s="255">
        <v>31.08</v>
      </c>
      <c r="O160" s="255">
        <v>33.369999999999997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300</v>
      </c>
      <c r="B161" s="7"/>
      <c r="C161" s="8">
        <v>1.1200000000000001</v>
      </c>
      <c r="D161" s="8">
        <v>0.51000000000000156</v>
      </c>
      <c r="E161" s="8">
        <v>0.25</v>
      </c>
      <c r="F161" s="8">
        <v>0.60999999999999943</v>
      </c>
      <c r="G161" s="8">
        <v>0.51000000000000156</v>
      </c>
      <c r="H161" s="8">
        <v>0.66</v>
      </c>
      <c r="I161" s="8">
        <v>0.60999999999999943</v>
      </c>
      <c r="J161" s="8">
        <v>0.35999999999999943</v>
      </c>
      <c r="K161" s="8">
        <v>0.35000000000000142</v>
      </c>
      <c r="L161" s="8">
        <v>0</v>
      </c>
      <c r="M161" s="8">
        <v>0.51000000000000156</v>
      </c>
      <c r="N161" s="8">
        <v>0.51000000000000156</v>
      </c>
      <c r="O161" s="8">
        <v>0.26000000000000512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301</v>
      </c>
      <c r="B163" s="7"/>
      <c r="C163" s="255">
        <v>22.67</v>
      </c>
      <c r="D163" s="255">
        <v>19.62</v>
      </c>
      <c r="E163" s="255">
        <v>17.579999999999998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302</v>
      </c>
      <c r="B164" s="7"/>
      <c r="C164" s="255">
        <v>22.67</v>
      </c>
      <c r="D164" s="255">
        <v>19.62</v>
      </c>
      <c r="E164" s="255">
        <v>17.579999999999998</v>
      </c>
      <c r="F164" s="255">
        <v>13.5</v>
      </c>
      <c r="G164" s="255">
        <v>11.97</v>
      </c>
      <c r="H164" s="255">
        <v>11.97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303</v>
      </c>
      <c r="B165" s="7"/>
      <c r="C165" s="8">
        <v>0</v>
      </c>
      <c r="D165" s="8">
        <v>0</v>
      </c>
      <c r="E165" s="8">
        <v>0</v>
      </c>
      <c r="F165" s="8">
        <v>0.51</v>
      </c>
      <c r="G165" s="8">
        <v>0.26</v>
      </c>
      <c r="H165" s="8">
        <v>0.26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291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292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279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293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294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295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296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288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297</v>
      </c>
    </row>
    <row r="187" spans="1:27" ht="11.25" customHeight="1" x14ac:dyDescent="0.2">
      <c r="A187" s="255" t="s">
        <v>298</v>
      </c>
      <c r="B187" s="7"/>
      <c r="C187" s="255">
        <v>27.75</v>
      </c>
      <c r="D187" s="255">
        <v>27</v>
      </c>
      <c r="E187" s="255">
        <v>26</v>
      </c>
      <c r="F187" s="255">
        <v>25.75</v>
      </c>
      <c r="G187" s="255">
        <v>26.75</v>
      </c>
      <c r="H187" s="255">
        <v>33.25</v>
      </c>
      <c r="I187" s="255">
        <v>46</v>
      </c>
      <c r="J187" s="255">
        <v>50.5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28.98</v>
      </c>
      <c r="P187" s="255">
        <v>28.19</v>
      </c>
      <c r="Q187" s="255">
        <v>27.15</v>
      </c>
      <c r="R187" s="255">
        <v>26.89</v>
      </c>
      <c r="S187" s="255">
        <v>27.93</v>
      </c>
      <c r="T187" s="255">
        <v>34.72</v>
      </c>
      <c r="U187" s="255">
        <v>48.03</v>
      </c>
      <c r="V187" s="255">
        <v>52.73</v>
      </c>
      <c r="W187" s="255">
        <v>41.77</v>
      </c>
      <c r="X187" s="255">
        <v>31.06</v>
      </c>
      <c r="Y187" s="255">
        <v>28.98</v>
      </c>
      <c r="Z187" s="255">
        <v>31.59</v>
      </c>
      <c r="AA187" s="255"/>
    </row>
    <row r="188" spans="1:27" ht="11.25" customHeight="1" x14ac:dyDescent="0.2">
      <c r="A188" s="255" t="s">
        <v>299</v>
      </c>
      <c r="B188" s="7"/>
      <c r="C188" s="255">
        <v>27.75</v>
      </c>
      <c r="D188" s="255">
        <v>26.75</v>
      </c>
      <c r="E188" s="255">
        <v>25.75</v>
      </c>
      <c r="F188" s="255">
        <v>25.75</v>
      </c>
      <c r="G188" s="255">
        <v>26.75</v>
      </c>
      <c r="H188" s="255">
        <v>33.25</v>
      </c>
      <c r="I188" s="255">
        <v>45.75</v>
      </c>
      <c r="J188" s="255">
        <v>50.25</v>
      </c>
      <c r="K188" s="255">
        <v>39.5</v>
      </c>
      <c r="L188" s="255">
        <v>29.75</v>
      </c>
      <c r="M188" s="255">
        <v>27.75</v>
      </c>
      <c r="N188" s="255">
        <v>30.25</v>
      </c>
      <c r="O188" s="255">
        <v>29.09</v>
      </c>
      <c r="P188" s="255">
        <v>28.04</v>
      </c>
      <c r="Q188" s="255">
        <v>26.99</v>
      </c>
      <c r="R188" s="255">
        <v>26.99</v>
      </c>
      <c r="S188" s="255">
        <v>28.04</v>
      </c>
      <c r="T188" s="255">
        <v>34.85</v>
      </c>
      <c r="U188" s="255">
        <v>47.95</v>
      </c>
      <c r="V188" s="255">
        <v>52.67</v>
      </c>
      <c r="W188" s="255">
        <v>41.4</v>
      </c>
      <c r="X188" s="255">
        <v>31.18</v>
      </c>
      <c r="Y188" s="255">
        <v>29.09</v>
      </c>
      <c r="Z188" s="255">
        <v>31.71</v>
      </c>
      <c r="AA188" s="255"/>
    </row>
    <row r="189" spans="1:27" ht="11.25" customHeight="1" x14ac:dyDescent="0.2">
      <c r="A189" s="255" t="s">
        <v>300</v>
      </c>
      <c r="B189" s="7"/>
      <c r="C189" s="8">
        <v>0</v>
      </c>
      <c r="D189" s="8">
        <v>0.25</v>
      </c>
      <c r="E189" s="8">
        <v>0.25</v>
      </c>
      <c r="F189" s="8">
        <v>0</v>
      </c>
      <c r="G189" s="8">
        <v>0</v>
      </c>
      <c r="H189" s="8">
        <v>0</v>
      </c>
      <c r="I189" s="8">
        <v>0.25</v>
      </c>
      <c r="J189" s="8">
        <v>0.25</v>
      </c>
      <c r="K189" s="8">
        <v>0.5</v>
      </c>
      <c r="L189" s="8">
        <v>0</v>
      </c>
      <c r="M189" s="8">
        <v>0</v>
      </c>
      <c r="N189" s="8">
        <v>0</v>
      </c>
      <c r="O189" s="8">
        <v>-0.10999999999999943</v>
      </c>
      <c r="P189" s="8">
        <v>0.15000000000000213</v>
      </c>
      <c r="Q189" s="8">
        <v>0.16</v>
      </c>
      <c r="R189" s="8">
        <v>-9.9999999999997868E-2</v>
      </c>
      <c r="S189" s="8">
        <v>-0.10999999999999943</v>
      </c>
      <c r="T189" s="8">
        <v>-0.13000000000000256</v>
      </c>
      <c r="U189" s="8">
        <v>7.9999999999998295E-2</v>
      </c>
      <c r="V189" s="8">
        <v>5.9999999999995168E-2</v>
      </c>
      <c r="W189" s="8">
        <v>0.37000000000000455</v>
      </c>
      <c r="X189" s="8">
        <v>-0.12000000000000099</v>
      </c>
      <c r="Y189" s="8">
        <v>-0.10999999999999943</v>
      </c>
      <c r="Z189" s="8">
        <v>-0.12000000000000099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301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302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303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307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291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292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279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293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294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295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296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288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297</v>
      </c>
    </row>
    <row r="215" spans="1:27" ht="11.25" customHeight="1" x14ac:dyDescent="0.2">
      <c r="A215" s="255" t="s">
        <v>298</v>
      </c>
      <c r="B215" s="7"/>
      <c r="C215" s="255">
        <v>28.37</v>
      </c>
      <c r="D215" s="255">
        <v>25.01</v>
      </c>
      <c r="E215" s="255">
        <v>21.24</v>
      </c>
      <c r="F215" s="255">
        <v>20.07</v>
      </c>
      <c r="G215" s="255">
        <v>19.71</v>
      </c>
      <c r="H215" s="255">
        <v>20.88</v>
      </c>
      <c r="I215" s="255">
        <v>31.28</v>
      </c>
      <c r="J215" s="255">
        <v>40.450000000000003</v>
      </c>
      <c r="K215" s="255">
        <v>37.39</v>
      </c>
      <c r="L215" s="255">
        <v>27.86</v>
      </c>
      <c r="M215" s="255">
        <v>29.9</v>
      </c>
      <c r="N215" s="255">
        <v>32.96</v>
      </c>
      <c r="O215" s="255">
        <v>35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299</v>
      </c>
      <c r="B216" s="7"/>
      <c r="C216" s="255">
        <v>27.25</v>
      </c>
      <c r="D216" s="255">
        <v>24.5</v>
      </c>
      <c r="E216" s="255">
        <v>20.99</v>
      </c>
      <c r="F216" s="255">
        <v>19.46</v>
      </c>
      <c r="G216" s="255">
        <v>19.2</v>
      </c>
      <c r="H216" s="255">
        <v>20.22</v>
      </c>
      <c r="I216" s="255">
        <v>30.67</v>
      </c>
      <c r="J216" s="255">
        <v>40.090000000000003</v>
      </c>
      <c r="K216" s="255">
        <v>37.04</v>
      </c>
      <c r="L216" s="255">
        <v>27.86</v>
      </c>
      <c r="M216" s="255">
        <v>29.39</v>
      </c>
      <c r="N216" s="255">
        <v>32.450000000000003</v>
      </c>
      <c r="O216" s="255">
        <v>34.74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300</v>
      </c>
      <c r="B217" s="7"/>
      <c r="C217" s="8">
        <v>1.1200000000000001</v>
      </c>
      <c r="D217" s="8">
        <v>0.51000000000000156</v>
      </c>
      <c r="E217" s="8">
        <v>0.25</v>
      </c>
      <c r="F217" s="8">
        <v>0.60999999999999943</v>
      </c>
      <c r="G217" s="8">
        <v>0.51000000000000156</v>
      </c>
      <c r="H217" s="8">
        <v>0.66</v>
      </c>
      <c r="I217" s="8">
        <v>0.60999999999999943</v>
      </c>
      <c r="J217" s="8">
        <v>0.35999999999999943</v>
      </c>
      <c r="K217" s="8">
        <v>0.35000000000000142</v>
      </c>
      <c r="L217" s="8">
        <v>0</v>
      </c>
      <c r="M217" s="8">
        <v>0.50999999999999801</v>
      </c>
      <c r="N217" s="8">
        <v>0.50999999999999801</v>
      </c>
      <c r="O217" s="8">
        <v>0.25999999999999801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301</v>
      </c>
      <c r="B219" s="7"/>
      <c r="C219" s="255">
        <v>24.04</v>
      </c>
      <c r="D219" s="255">
        <v>20.99</v>
      </c>
      <c r="E219" s="255">
        <v>18.95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302</v>
      </c>
      <c r="B220" s="7"/>
      <c r="C220" s="255">
        <v>24.04</v>
      </c>
      <c r="D220" s="255">
        <v>20.99</v>
      </c>
      <c r="E220" s="255">
        <v>18.95</v>
      </c>
      <c r="F220" s="255">
        <v>14.87</v>
      </c>
      <c r="G220" s="255">
        <v>13.34</v>
      </c>
      <c r="H220" s="255">
        <v>13.34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303</v>
      </c>
      <c r="B221" s="7"/>
      <c r="C221" s="8">
        <v>0</v>
      </c>
      <c r="D221" s="8">
        <v>0</v>
      </c>
      <c r="E221" s="8">
        <v>0</v>
      </c>
      <c r="F221" s="8">
        <v>0.51000000000000156</v>
      </c>
      <c r="G221" s="8">
        <v>0.26</v>
      </c>
      <c r="H221" s="8">
        <v>0.26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308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291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292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279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293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294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295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296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288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297</v>
      </c>
    </row>
    <row r="243" spans="1:27" ht="11.25" customHeight="1" x14ac:dyDescent="0.2">
      <c r="A243" s="255" t="s">
        <v>298</v>
      </c>
      <c r="B243" s="7"/>
      <c r="C243" s="255">
        <v>26.5</v>
      </c>
      <c r="D243" s="255">
        <v>23.2</v>
      </c>
      <c r="E243" s="255">
        <v>19.5</v>
      </c>
      <c r="F243" s="255">
        <v>18.350000000000001</v>
      </c>
      <c r="G243" s="255">
        <v>18</v>
      </c>
      <c r="H243" s="255">
        <v>19.149999999999999</v>
      </c>
      <c r="I243" s="255">
        <v>29.35</v>
      </c>
      <c r="J243" s="255">
        <v>38.35</v>
      </c>
      <c r="K243" s="255">
        <v>35.35</v>
      </c>
      <c r="L243" s="255">
        <v>26</v>
      </c>
      <c r="M243" s="255">
        <v>28</v>
      </c>
      <c r="N243" s="255">
        <v>31</v>
      </c>
      <c r="O243" s="255">
        <v>33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299</v>
      </c>
      <c r="B244" s="7"/>
      <c r="C244" s="255">
        <v>25.4</v>
      </c>
      <c r="D244" s="255">
        <v>22.7</v>
      </c>
      <c r="E244" s="255">
        <v>19.25</v>
      </c>
      <c r="F244" s="255">
        <v>17.75</v>
      </c>
      <c r="G244" s="255">
        <v>17.5</v>
      </c>
      <c r="H244" s="255">
        <v>18.5</v>
      </c>
      <c r="I244" s="255">
        <v>28.75</v>
      </c>
      <c r="J244" s="255">
        <v>38</v>
      </c>
      <c r="K244" s="255">
        <v>35</v>
      </c>
      <c r="L244" s="255">
        <v>26</v>
      </c>
      <c r="M244" s="255">
        <v>27.5</v>
      </c>
      <c r="N244" s="255">
        <v>30.5</v>
      </c>
      <c r="O244" s="255">
        <v>32.75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300</v>
      </c>
      <c r="B245" s="7"/>
      <c r="C245" s="8">
        <v>1.1000000000000001</v>
      </c>
      <c r="D245" s="8">
        <v>0.5</v>
      </c>
      <c r="E245" s="8">
        <v>0.25</v>
      </c>
      <c r="F245" s="8">
        <v>0.60000000000000142</v>
      </c>
      <c r="G245" s="8">
        <v>0.5</v>
      </c>
      <c r="H245" s="8">
        <v>0.64999999999999858</v>
      </c>
      <c r="I245" s="8">
        <v>0.60000000000000142</v>
      </c>
      <c r="J245" s="8">
        <v>0.35000000000000142</v>
      </c>
      <c r="K245" s="8">
        <v>0.35000000000000142</v>
      </c>
      <c r="L245" s="8">
        <v>0</v>
      </c>
      <c r="M245" s="8">
        <v>0.5</v>
      </c>
      <c r="N245" s="8">
        <v>0.5</v>
      </c>
      <c r="O245" s="8">
        <v>0.25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301</v>
      </c>
      <c r="B247" s="7"/>
      <c r="C247" s="255">
        <v>22.25</v>
      </c>
      <c r="D247" s="255">
        <v>19.25</v>
      </c>
      <c r="E247" s="255">
        <v>17.25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302</v>
      </c>
      <c r="B248" s="7"/>
      <c r="C248" s="255">
        <v>22.25</v>
      </c>
      <c r="D248" s="255">
        <v>19.25</v>
      </c>
      <c r="E248" s="255">
        <v>17.25</v>
      </c>
      <c r="F248" s="255">
        <v>13.25</v>
      </c>
      <c r="G248" s="255">
        <v>11.75</v>
      </c>
      <c r="H248" s="255">
        <v>11.75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303</v>
      </c>
      <c r="B249" s="7"/>
      <c r="C249" s="8">
        <v>0</v>
      </c>
      <c r="D249" s="8">
        <v>0</v>
      </c>
      <c r="E249" s="8">
        <v>0</v>
      </c>
      <c r="F249" s="8">
        <v>0.5</v>
      </c>
      <c r="G249" s="8">
        <v>0.25</v>
      </c>
      <c r="H249" s="8">
        <v>0.25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309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291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292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279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293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294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295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-75891</v>
      </c>
      <c r="J266" s="163">
        <v>17000</v>
      </c>
      <c r="K266" s="163">
        <v>-13192</v>
      </c>
      <c r="L266" s="163">
        <v>-113686</v>
      </c>
      <c r="M266" s="163">
        <v>-85470</v>
      </c>
      <c r="N266" s="163">
        <v>-55367</v>
      </c>
      <c r="O266" s="163">
        <v>-37387</v>
      </c>
      <c r="P266" s="163">
        <v>-59512</v>
      </c>
      <c r="Q266" s="163">
        <v>-103683</v>
      </c>
      <c r="R266" s="163">
        <v>-149841</v>
      </c>
      <c r="S266" s="163">
        <v>-180864</v>
      </c>
      <c r="T266" s="163">
        <v>-154286</v>
      </c>
      <c r="U266" s="163">
        <v>-2418</v>
      </c>
      <c r="V266" s="163">
        <v>55306</v>
      </c>
      <c r="W266" s="163">
        <v>4597</v>
      </c>
      <c r="X266" s="163">
        <v>-98725</v>
      </c>
      <c r="Y266" s="163">
        <v>-61052</v>
      </c>
      <c r="Z266" s="163">
        <v>-30519</v>
      </c>
      <c r="AA266" s="163">
        <v>-1144990</v>
      </c>
    </row>
    <row r="267" spans="1:27" ht="11.25" customHeight="1" thickBot="1" x14ac:dyDescent="0.25">
      <c r="A267" s="163" t="s">
        <v>296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288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-75891</v>
      </c>
      <c r="J268" s="166">
        <v>17000</v>
      </c>
      <c r="K268" s="166">
        <v>-13192</v>
      </c>
      <c r="L268" s="166">
        <v>-113686</v>
      </c>
      <c r="M268" s="166">
        <v>-85470</v>
      </c>
      <c r="N268" s="166">
        <v>-55367</v>
      </c>
      <c r="O268" s="166">
        <v>-37387</v>
      </c>
      <c r="P268" s="166">
        <v>-59512</v>
      </c>
      <c r="Q268" s="166">
        <v>-103683</v>
      </c>
      <c r="R268" s="166">
        <v>-149841</v>
      </c>
      <c r="S268" s="166">
        <v>-180864</v>
      </c>
      <c r="T268" s="166">
        <v>-154286</v>
      </c>
      <c r="U268" s="166">
        <v>-2418</v>
      </c>
      <c r="V268" s="166">
        <v>55306</v>
      </c>
      <c r="W268" s="166">
        <v>4597</v>
      </c>
      <c r="X268" s="166">
        <v>-98725</v>
      </c>
      <c r="Y268" s="166">
        <v>-61052</v>
      </c>
      <c r="Z268" s="166">
        <v>-30519</v>
      </c>
      <c r="AA268" s="167">
        <v>-1144990</v>
      </c>
    </row>
    <row r="270" spans="1:27" ht="12" customHeight="1" x14ac:dyDescent="0.2">
      <c r="A270" s="253" t="s">
        <v>297</v>
      </c>
    </row>
    <row r="271" spans="1:27" ht="11.25" customHeight="1" x14ac:dyDescent="0.2">
      <c r="A271" s="255" t="s">
        <v>298</v>
      </c>
      <c r="B271" s="7"/>
      <c r="C271" s="255">
        <v>26.5</v>
      </c>
      <c r="D271" s="255">
        <v>23.2</v>
      </c>
      <c r="E271" s="255">
        <v>19.5</v>
      </c>
      <c r="F271" s="255">
        <v>18.350000000000001</v>
      </c>
      <c r="G271" s="255">
        <v>18</v>
      </c>
      <c r="H271" s="255">
        <v>19.149999999999999</v>
      </c>
      <c r="I271" s="255">
        <v>29.35</v>
      </c>
      <c r="J271" s="255">
        <v>38.35</v>
      </c>
      <c r="K271" s="255">
        <v>35.35</v>
      </c>
      <c r="L271" s="255">
        <v>26</v>
      </c>
      <c r="M271" s="255">
        <v>28</v>
      </c>
      <c r="N271" s="255">
        <v>31</v>
      </c>
      <c r="O271" s="255">
        <v>33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299</v>
      </c>
      <c r="B272" s="7"/>
      <c r="C272" s="255">
        <v>25.4</v>
      </c>
      <c r="D272" s="255">
        <v>22.7</v>
      </c>
      <c r="E272" s="255">
        <v>19.25</v>
      </c>
      <c r="F272" s="255">
        <v>17.75</v>
      </c>
      <c r="G272" s="255">
        <v>17.5</v>
      </c>
      <c r="H272" s="255">
        <v>18.5</v>
      </c>
      <c r="I272" s="255">
        <v>28.75</v>
      </c>
      <c r="J272" s="255">
        <v>38</v>
      </c>
      <c r="K272" s="255">
        <v>35</v>
      </c>
      <c r="L272" s="255">
        <v>26</v>
      </c>
      <c r="M272" s="255">
        <v>27.5</v>
      </c>
      <c r="N272" s="255">
        <v>30.5</v>
      </c>
      <c r="O272" s="255">
        <v>32.75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300</v>
      </c>
      <c r="B273" s="7"/>
      <c r="C273" s="8">
        <v>1.1000000000000001</v>
      </c>
      <c r="D273" s="8">
        <v>0.5</v>
      </c>
      <c r="E273" s="8">
        <v>0.25</v>
      </c>
      <c r="F273" s="8">
        <v>0.60000000000000142</v>
      </c>
      <c r="G273" s="8">
        <v>0.5</v>
      </c>
      <c r="H273" s="8">
        <v>0.64999999999999858</v>
      </c>
      <c r="I273" s="8">
        <v>0.60000000000000142</v>
      </c>
      <c r="J273" s="8">
        <v>0.35000000000000142</v>
      </c>
      <c r="K273" s="8">
        <v>0.35000000000000142</v>
      </c>
      <c r="L273" s="8">
        <v>0</v>
      </c>
      <c r="M273" s="8">
        <v>0.5</v>
      </c>
      <c r="N273" s="8">
        <v>0.5</v>
      </c>
      <c r="O273" s="8">
        <v>0.25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301</v>
      </c>
      <c r="B275" s="7"/>
      <c r="C275" s="255">
        <v>22.25</v>
      </c>
      <c r="D275" s="255">
        <v>19.25</v>
      </c>
      <c r="E275" s="255">
        <v>17.25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302</v>
      </c>
      <c r="B276" s="7"/>
      <c r="C276" s="255">
        <v>22.25</v>
      </c>
      <c r="D276" s="255">
        <v>19.25</v>
      </c>
      <c r="E276" s="255">
        <v>17.25</v>
      </c>
      <c r="F276" s="255">
        <v>13.25</v>
      </c>
      <c r="G276" s="255">
        <v>11.75</v>
      </c>
      <c r="H276" s="255">
        <v>11.75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303</v>
      </c>
      <c r="B277" s="7"/>
      <c r="C277" s="8">
        <v>0</v>
      </c>
      <c r="D277" s="8">
        <v>0</v>
      </c>
      <c r="E277" s="8">
        <v>0</v>
      </c>
      <c r="F277" s="8">
        <v>0.5</v>
      </c>
      <c r="G277" s="8">
        <v>0.25</v>
      </c>
      <c r="H277" s="8">
        <v>0.25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310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291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292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279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293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294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295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296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288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297</v>
      </c>
    </row>
    <row r="299" spans="1:27" ht="11.25" customHeight="1" x14ac:dyDescent="0.2">
      <c r="A299" s="255" t="s">
        <v>298</v>
      </c>
      <c r="B299" s="7"/>
      <c r="C299" s="255">
        <v>26.5</v>
      </c>
      <c r="D299" s="255">
        <v>23.2</v>
      </c>
      <c r="E299" s="255">
        <v>19.5</v>
      </c>
      <c r="F299" s="255">
        <v>18.350000000000001</v>
      </c>
      <c r="G299" s="255">
        <v>18</v>
      </c>
      <c r="H299" s="255">
        <v>19.149999999999999</v>
      </c>
      <c r="I299" s="255">
        <v>29.35</v>
      </c>
      <c r="J299" s="255">
        <v>38.35</v>
      </c>
      <c r="K299" s="255">
        <v>35.35</v>
      </c>
      <c r="L299" s="255">
        <v>26</v>
      </c>
      <c r="M299" s="255">
        <v>28</v>
      </c>
      <c r="N299" s="255">
        <v>31</v>
      </c>
      <c r="O299" s="255">
        <v>33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299</v>
      </c>
      <c r="B300" s="7"/>
      <c r="C300" s="255">
        <v>25.4</v>
      </c>
      <c r="D300" s="255">
        <v>22.7</v>
      </c>
      <c r="E300" s="255">
        <v>19.25</v>
      </c>
      <c r="F300" s="255">
        <v>17.75</v>
      </c>
      <c r="G300" s="255">
        <v>17.5</v>
      </c>
      <c r="H300" s="255">
        <v>18.5</v>
      </c>
      <c r="I300" s="255">
        <v>28.75</v>
      </c>
      <c r="J300" s="255">
        <v>38</v>
      </c>
      <c r="K300" s="255">
        <v>35</v>
      </c>
      <c r="L300" s="255">
        <v>26</v>
      </c>
      <c r="M300" s="255">
        <v>27.5</v>
      </c>
      <c r="N300" s="255">
        <v>30.5</v>
      </c>
      <c r="O300" s="255">
        <v>32.75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300</v>
      </c>
      <c r="B301" s="7"/>
      <c r="C301" s="8">
        <v>1.1000000000000001</v>
      </c>
      <c r="D301" s="8">
        <v>0.5</v>
      </c>
      <c r="E301" s="8">
        <v>0.25</v>
      </c>
      <c r="F301" s="8">
        <v>0.60000000000000142</v>
      </c>
      <c r="G301" s="8">
        <v>0.5</v>
      </c>
      <c r="H301" s="8">
        <v>0.64999999999999858</v>
      </c>
      <c r="I301" s="8">
        <v>0.60000000000000142</v>
      </c>
      <c r="J301" s="8">
        <v>0.35000000000000142</v>
      </c>
      <c r="K301" s="8">
        <v>0.35000000000000142</v>
      </c>
      <c r="L301" s="8">
        <v>0</v>
      </c>
      <c r="M301" s="8">
        <v>0.5</v>
      </c>
      <c r="N301" s="8">
        <v>0.5</v>
      </c>
      <c r="O301" s="8">
        <v>0.25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301</v>
      </c>
      <c r="B303" s="7"/>
      <c r="C303" s="255">
        <v>22.25</v>
      </c>
      <c r="D303" s="255">
        <v>19.25</v>
      </c>
      <c r="E303" s="255">
        <v>17.25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302</v>
      </c>
      <c r="B304" s="7"/>
      <c r="C304" s="255">
        <v>22.25</v>
      </c>
      <c r="D304" s="255">
        <v>19.25</v>
      </c>
      <c r="E304" s="255">
        <v>17.25</v>
      </c>
      <c r="F304" s="255">
        <v>13.25</v>
      </c>
      <c r="G304" s="255">
        <v>11.75</v>
      </c>
      <c r="H304" s="255">
        <v>11.75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303</v>
      </c>
      <c r="B305" s="7"/>
      <c r="C305" s="8">
        <v>0</v>
      </c>
      <c r="D305" s="8">
        <v>0</v>
      </c>
      <c r="E305" s="8">
        <v>0</v>
      </c>
      <c r="F305" s="8">
        <v>0.5</v>
      </c>
      <c r="G305" s="8">
        <v>0.25</v>
      </c>
      <c r="H305" s="8">
        <v>0.25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311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291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292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279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293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294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295</v>
      </c>
      <c r="B14" s="161"/>
      <c r="C14" s="163">
        <v>-66699</v>
      </c>
      <c r="D14" s="163">
        <v>-82811</v>
      </c>
      <c r="E14" s="163">
        <v>-127733</v>
      </c>
      <c r="F14" s="163">
        <v>-216197</v>
      </c>
      <c r="G14" s="163">
        <v>-214589</v>
      </c>
      <c r="H14" s="163">
        <v>-182145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-890174</v>
      </c>
    </row>
    <row r="15" spans="1:27" ht="11.25" customHeight="1" thickBot="1" x14ac:dyDescent="0.25">
      <c r="A15" s="163" t="s">
        <v>296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288</v>
      </c>
      <c r="B16" s="166"/>
      <c r="C16" s="166">
        <v>-66699</v>
      </c>
      <c r="D16" s="166">
        <v>-82811</v>
      </c>
      <c r="E16" s="166">
        <v>-127733</v>
      </c>
      <c r="F16" s="166">
        <v>-216197</v>
      </c>
      <c r="G16" s="166">
        <v>-214589</v>
      </c>
      <c r="H16" s="166">
        <v>-182145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-890174</v>
      </c>
    </row>
    <row r="18" spans="1:27" ht="12" customHeight="1" x14ac:dyDescent="0.2">
      <c r="A18" s="253" t="s">
        <v>297</v>
      </c>
    </row>
    <row r="19" spans="1:27" ht="11.25" customHeight="1" x14ac:dyDescent="0.2">
      <c r="A19" s="255" t="s">
        <v>298</v>
      </c>
      <c r="B19" s="7"/>
      <c r="C19" s="255">
        <v>28.5</v>
      </c>
      <c r="D19" s="255">
        <v>25.2</v>
      </c>
      <c r="E19" s="255">
        <v>21.5</v>
      </c>
      <c r="F19" s="255">
        <v>20.350000000000001</v>
      </c>
      <c r="G19" s="255">
        <v>20.5</v>
      </c>
      <c r="H19" s="255">
        <v>22.9</v>
      </c>
      <c r="I19" s="255">
        <v>34.35</v>
      </c>
      <c r="J19" s="255">
        <v>41.85</v>
      </c>
      <c r="K19" s="255">
        <v>37.1</v>
      </c>
      <c r="L19" s="255">
        <v>27.5</v>
      </c>
      <c r="M19" s="255">
        <v>29.25</v>
      </c>
      <c r="N19" s="255">
        <v>31.5</v>
      </c>
      <c r="O19" s="255">
        <v>34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299</v>
      </c>
      <c r="B20" s="7"/>
      <c r="C20" s="255">
        <v>27.3</v>
      </c>
      <c r="D20" s="255">
        <v>24.7</v>
      </c>
      <c r="E20" s="255">
        <v>21.25</v>
      </c>
      <c r="F20" s="255">
        <v>19.75</v>
      </c>
      <c r="G20" s="255">
        <v>20</v>
      </c>
      <c r="H20" s="255">
        <v>22.25</v>
      </c>
      <c r="I20" s="255">
        <v>33.75</v>
      </c>
      <c r="J20" s="255">
        <v>41.5</v>
      </c>
      <c r="K20" s="255">
        <v>36.75</v>
      </c>
      <c r="L20" s="255">
        <v>27.5</v>
      </c>
      <c r="M20" s="255">
        <v>28.75</v>
      </c>
      <c r="N20" s="255">
        <v>31</v>
      </c>
      <c r="O20" s="255">
        <v>33.75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300</v>
      </c>
      <c r="B21" s="7"/>
      <c r="C21" s="8">
        <v>1.2</v>
      </c>
      <c r="D21" s="8">
        <v>0.5</v>
      </c>
      <c r="E21" s="8">
        <v>0.25</v>
      </c>
      <c r="F21" s="8">
        <v>0.60000000000000142</v>
      </c>
      <c r="G21" s="8">
        <v>0.5</v>
      </c>
      <c r="H21" s="8">
        <v>0.64999999999999858</v>
      </c>
      <c r="I21" s="8">
        <v>0.60000000000000142</v>
      </c>
      <c r="J21" s="8">
        <v>0.35000000000000142</v>
      </c>
      <c r="K21" s="8">
        <v>0.35000000000000142</v>
      </c>
      <c r="L21" s="8">
        <v>0</v>
      </c>
      <c r="M21" s="8">
        <v>0.5</v>
      </c>
      <c r="N21" s="8">
        <v>0.5</v>
      </c>
      <c r="O21" s="8">
        <v>0.25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301</v>
      </c>
      <c r="B23" s="7"/>
      <c r="C23" s="255">
        <v>22.25</v>
      </c>
      <c r="D23" s="255">
        <v>19.25</v>
      </c>
      <c r="E23" s="255">
        <v>17.25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302</v>
      </c>
      <c r="B24" s="7"/>
      <c r="C24" s="255">
        <v>22.25</v>
      </c>
      <c r="D24" s="255">
        <v>19.25</v>
      </c>
      <c r="E24" s="255">
        <v>17.25</v>
      </c>
      <c r="F24" s="255">
        <v>13.25</v>
      </c>
      <c r="G24" s="255">
        <v>11.75</v>
      </c>
      <c r="H24" s="255">
        <v>11.75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303</v>
      </c>
      <c r="B25" s="7"/>
      <c r="C25" s="8">
        <v>0</v>
      </c>
      <c r="D25" s="8">
        <v>0</v>
      </c>
      <c r="E25" s="8">
        <v>0</v>
      </c>
      <c r="F25" s="8">
        <v>0.5</v>
      </c>
      <c r="G25" s="8">
        <v>0.25</v>
      </c>
      <c r="H25" s="8">
        <v>0.25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304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291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292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279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293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294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295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296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288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297</v>
      </c>
    </row>
    <row r="47" spans="1:27" ht="11.25" customHeight="1" x14ac:dyDescent="0.2">
      <c r="A47" s="255" t="s">
        <v>298</v>
      </c>
      <c r="B47" s="7"/>
      <c r="C47" s="255">
        <v>28.5</v>
      </c>
      <c r="D47" s="255">
        <v>25.2</v>
      </c>
      <c r="E47" s="255">
        <v>21.5</v>
      </c>
      <c r="F47" s="255">
        <v>20.350000000000001</v>
      </c>
      <c r="G47" s="255">
        <v>20.5</v>
      </c>
      <c r="H47" s="255">
        <v>22.9</v>
      </c>
      <c r="I47" s="255">
        <v>34.35</v>
      </c>
      <c r="J47" s="255">
        <v>41.85</v>
      </c>
      <c r="K47" s="255">
        <v>37.1</v>
      </c>
      <c r="L47" s="255">
        <v>27.5</v>
      </c>
      <c r="M47" s="255">
        <v>29.25</v>
      </c>
      <c r="N47" s="255">
        <v>31.5</v>
      </c>
      <c r="O47" s="255">
        <v>34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299</v>
      </c>
      <c r="B48" s="7"/>
      <c r="C48" s="255">
        <v>27.3</v>
      </c>
      <c r="D48" s="255">
        <v>24.7</v>
      </c>
      <c r="E48" s="255">
        <v>21.25</v>
      </c>
      <c r="F48" s="255">
        <v>19.75</v>
      </c>
      <c r="G48" s="255">
        <v>20</v>
      </c>
      <c r="H48" s="255">
        <v>22.25</v>
      </c>
      <c r="I48" s="255">
        <v>33.75</v>
      </c>
      <c r="J48" s="255">
        <v>41.5</v>
      </c>
      <c r="K48" s="255">
        <v>36.75</v>
      </c>
      <c r="L48" s="255">
        <v>27.5</v>
      </c>
      <c r="M48" s="255">
        <v>28.75</v>
      </c>
      <c r="N48" s="255">
        <v>31</v>
      </c>
      <c r="O48" s="255">
        <v>33.75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300</v>
      </c>
      <c r="B49" s="7"/>
      <c r="C49" s="8">
        <v>1.2</v>
      </c>
      <c r="D49" s="8">
        <v>0.5</v>
      </c>
      <c r="E49" s="8">
        <v>0.25</v>
      </c>
      <c r="F49" s="8">
        <v>0.60000000000000142</v>
      </c>
      <c r="G49" s="8">
        <v>0.5</v>
      </c>
      <c r="H49" s="8">
        <v>0.64999999999999858</v>
      </c>
      <c r="I49" s="8">
        <v>0.60000000000000142</v>
      </c>
      <c r="J49" s="8">
        <v>0.35000000000000142</v>
      </c>
      <c r="K49" s="8">
        <v>0.35000000000000142</v>
      </c>
      <c r="L49" s="8">
        <v>0</v>
      </c>
      <c r="M49" s="8">
        <v>0.5</v>
      </c>
      <c r="N49" s="8">
        <v>0.5</v>
      </c>
      <c r="O49" s="8">
        <v>0.25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301</v>
      </c>
      <c r="B51" s="7"/>
      <c r="C51" s="255">
        <v>22.25</v>
      </c>
      <c r="D51" s="255">
        <v>19.25</v>
      </c>
      <c r="E51" s="255">
        <v>17.25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302</v>
      </c>
      <c r="B52" s="7"/>
      <c r="C52" s="255">
        <v>22.25</v>
      </c>
      <c r="D52" s="255">
        <v>19.25</v>
      </c>
      <c r="E52" s="255">
        <v>17.25</v>
      </c>
      <c r="F52" s="255">
        <v>13.25</v>
      </c>
      <c r="G52" s="255">
        <v>11.75</v>
      </c>
      <c r="H52" s="255">
        <v>11.75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303</v>
      </c>
      <c r="B53" s="7"/>
      <c r="C53" s="8">
        <v>0</v>
      </c>
      <c r="D53" s="8">
        <v>0</v>
      </c>
      <c r="E53" s="8">
        <v>0</v>
      </c>
      <c r="F53" s="8">
        <v>0.5</v>
      </c>
      <c r="G53" s="8">
        <v>0.25</v>
      </c>
      <c r="H53" s="8">
        <v>0.25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291</v>
      </c>
      <c r="B63" s="161"/>
      <c r="C63" s="163">
        <v>0</v>
      </c>
      <c r="D63" s="163">
        <v>-25</v>
      </c>
      <c r="E63" s="163">
        <v>-25</v>
      </c>
      <c r="F63" s="163">
        <v>125</v>
      </c>
      <c r="G63" s="163">
        <v>125</v>
      </c>
      <c r="H63" s="163">
        <v>125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13.6401</v>
      </c>
    </row>
    <row r="64" spans="1:27" ht="11.25" customHeight="1" thickBot="1" x14ac:dyDescent="0.25">
      <c r="A64" s="163" t="s">
        <v>292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279</v>
      </c>
      <c r="B65" s="166"/>
      <c r="C65" s="166">
        <v>0</v>
      </c>
      <c r="D65" s="166">
        <v>-14.2857</v>
      </c>
      <c r="E65" s="166">
        <v>-13.9785</v>
      </c>
      <c r="F65" s="166">
        <v>9.0972000000000008</v>
      </c>
      <c r="G65" s="166">
        <v>3.7633999999999999</v>
      </c>
      <c r="H65" s="166">
        <v>2.7778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-0.49370000000000003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293</v>
      </c>
      <c r="B67" s="161"/>
      <c r="C67" s="163">
        <v>0</v>
      </c>
      <c r="D67" s="163">
        <v>-14.2857</v>
      </c>
      <c r="E67" s="163">
        <v>-13.9785</v>
      </c>
      <c r="F67" s="163">
        <v>-5.3472</v>
      </c>
      <c r="G67" s="163">
        <v>-10.2151</v>
      </c>
      <c r="H67" s="163">
        <v>-11.1111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-2.2517</v>
      </c>
    </row>
    <row r="68" spans="1:27" ht="11.25" customHeight="1" x14ac:dyDescent="0.2">
      <c r="A68" s="163" t="s">
        <v>294</v>
      </c>
      <c r="B68" s="161"/>
      <c r="C68" s="254">
        <v>0</v>
      </c>
      <c r="D68" s="254">
        <v>0</v>
      </c>
      <c r="E68" s="254">
        <v>0</v>
      </c>
      <c r="F68" s="254">
        <v>14.444400000000002</v>
      </c>
      <c r="G68" s="254">
        <v>13.9785</v>
      </c>
      <c r="H68" s="254">
        <v>13.8889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1.758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295</v>
      </c>
      <c r="B70" s="161"/>
      <c r="C70" s="163">
        <v>214121</v>
      </c>
      <c r="D70" s="163">
        <v>433182</v>
      </c>
      <c r="E70" s="163">
        <v>547929</v>
      </c>
      <c r="F70" s="163">
        <v>219597</v>
      </c>
      <c r="G70" s="163">
        <v>216649</v>
      </c>
      <c r="H70" s="163">
        <v>269511</v>
      </c>
      <c r="I70" s="163">
        <v>527337</v>
      </c>
      <c r="J70" s="163">
        <v>546351</v>
      </c>
      <c r="K70" s="163">
        <v>484511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3459188</v>
      </c>
    </row>
    <row r="71" spans="1:27" ht="11.25" customHeight="1" thickBot="1" x14ac:dyDescent="0.25">
      <c r="A71" s="163" t="s">
        <v>296</v>
      </c>
      <c r="B71" s="161"/>
      <c r="C71" s="163">
        <v>0</v>
      </c>
      <c r="D71" s="163">
        <v>0</v>
      </c>
      <c r="E71" s="163">
        <v>0</v>
      </c>
      <c r="F71" s="163">
        <v>-136604</v>
      </c>
      <c r="G71" s="163">
        <v>-62545</v>
      </c>
      <c r="H71" s="163">
        <v>-57006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-256395</v>
      </c>
    </row>
    <row r="72" spans="1:27" ht="11.25" customHeight="1" thickBot="1" x14ac:dyDescent="0.25">
      <c r="A72" s="165" t="s">
        <v>288</v>
      </c>
      <c r="B72" s="166"/>
      <c r="C72" s="166">
        <v>214121</v>
      </c>
      <c r="D72" s="166">
        <v>433182</v>
      </c>
      <c r="E72" s="166">
        <v>547929</v>
      </c>
      <c r="F72" s="166">
        <v>82993</v>
      </c>
      <c r="G72" s="166">
        <v>154104</v>
      </c>
      <c r="H72" s="166">
        <v>212505</v>
      </c>
      <c r="I72" s="166">
        <v>527256</v>
      </c>
      <c r="J72" s="166">
        <v>546274</v>
      </c>
      <c r="K72" s="166">
        <v>484429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3202793</v>
      </c>
    </row>
    <row r="74" spans="1:27" ht="12" customHeight="1" x14ac:dyDescent="0.2">
      <c r="A74" s="253" t="s">
        <v>297</v>
      </c>
    </row>
    <row r="75" spans="1:27" ht="11.25" customHeight="1" x14ac:dyDescent="0.2">
      <c r="A75" s="255" t="s">
        <v>298</v>
      </c>
      <c r="B75" s="7"/>
      <c r="C75" s="255">
        <v>26.5</v>
      </c>
      <c r="D75" s="255">
        <v>23.2</v>
      </c>
      <c r="E75" s="255">
        <v>19.5</v>
      </c>
      <c r="F75" s="255">
        <v>18.350000000000001</v>
      </c>
      <c r="G75" s="255">
        <v>18</v>
      </c>
      <c r="H75" s="255">
        <v>19.149999999999999</v>
      </c>
      <c r="I75" s="255">
        <v>29.35</v>
      </c>
      <c r="J75" s="255">
        <v>38.35</v>
      </c>
      <c r="K75" s="255">
        <v>35.35</v>
      </c>
      <c r="L75" s="255">
        <v>26</v>
      </c>
      <c r="M75" s="255">
        <v>28</v>
      </c>
      <c r="N75" s="255">
        <v>31</v>
      </c>
      <c r="O75" s="255">
        <v>33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299</v>
      </c>
      <c r="B76" s="7"/>
      <c r="C76" s="255">
        <v>25.4</v>
      </c>
      <c r="D76" s="255">
        <v>22.7</v>
      </c>
      <c r="E76" s="255">
        <v>19.25</v>
      </c>
      <c r="F76" s="255">
        <v>17.75</v>
      </c>
      <c r="G76" s="255">
        <v>17.5</v>
      </c>
      <c r="H76" s="255">
        <v>18.5</v>
      </c>
      <c r="I76" s="255">
        <v>28.75</v>
      </c>
      <c r="J76" s="255">
        <v>38</v>
      </c>
      <c r="K76" s="255">
        <v>35</v>
      </c>
      <c r="L76" s="255">
        <v>26</v>
      </c>
      <c r="M76" s="255">
        <v>27.5</v>
      </c>
      <c r="N76" s="255">
        <v>30.5</v>
      </c>
      <c r="O76" s="255">
        <v>32.75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300</v>
      </c>
      <c r="B77" s="7"/>
      <c r="C77" s="8">
        <v>1.1000000000000001</v>
      </c>
      <c r="D77" s="8">
        <v>0.5</v>
      </c>
      <c r="E77" s="8">
        <v>0.25</v>
      </c>
      <c r="F77" s="8">
        <v>0.60000000000000142</v>
      </c>
      <c r="G77" s="8">
        <v>0.5</v>
      </c>
      <c r="H77" s="8">
        <v>0.64999999999999858</v>
      </c>
      <c r="I77" s="8">
        <v>0.60000000000000142</v>
      </c>
      <c r="J77" s="8">
        <v>0.35000000000000142</v>
      </c>
      <c r="K77" s="8">
        <v>0.35000000000000142</v>
      </c>
      <c r="L77" s="8">
        <v>0</v>
      </c>
      <c r="M77" s="8">
        <v>0.5</v>
      </c>
      <c r="N77" s="8">
        <v>0.5</v>
      </c>
      <c r="O77" s="8">
        <v>0.25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301</v>
      </c>
      <c r="B79" s="7"/>
      <c r="C79" s="255">
        <v>22.25</v>
      </c>
      <c r="D79" s="255">
        <v>19.25</v>
      </c>
      <c r="E79" s="255">
        <v>17.25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302</v>
      </c>
      <c r="B80" s="7"/>
      <c r="C80" s="255">
        <v>22.25</v>
      </c>
      <c r="D80" s="255">
        <v>19.25</v>
      </c>
      <c r="E80" s="255">
        <v>17.25</v>
      </c>
      <c r="F80" s="255">
        <v>13.25</v>
      </c>
      <c r="G80" s="255">
        <v>11.75</v>
      </c>
      <c r="H80" s="255">
        <v>11.75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303</v>
      </c>
      <c r="B81" s="7"/>
      <c r="C81" s="8">
        <v>0</v>
      </c>
      <c r="D81" s="8">
        <v>0</v>
      </c>
      <c r="E81" s="8">
        <v>0</v>
      </c>
      <c r="F81" s="8">
        <v>0.5</v>
      </c>
      <c r="G81" s="8">
        <v>0.25</v>
      </c>
      <c r="H81" s="8">
        <v>0.25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36.855899999999998</v>
      </c>
      <c r="D84" s="255">
        <v>35.729199999999999</v>
      </c>
      <c r="E84" s="255">
        <v>36.108699999999999</v>
      </c>
      <c r="F84" s="255">
        <v>32.9529</v>
      </c>
      <c r="G84" s="255">
        <v>32.659999999999997</v>
      </c>
      <c r="H84" s="255">
        <v>34.236400000000003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37.475000000000001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305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291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292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279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293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294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295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296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288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297</v>
      </c>
    </row>
    <row r="103" spans="1:27" ht="11.25" customHeight="1" x14ac:dyDescent="0.2">
      <c r="A103" s="255" t="s">
        <v>298</v>
      </c>
      <c r="B103" s="7"/>
      <c r="C103" s="255">
        <v>28.5</v>
      </c>
      <c r="D103" s="255">
        <v>25.2</v>
      </c>
      <c r="E103" s="255">
        <v>21.5</v>
      </c>
      <c r="F103" s="255">
        <v>20.350000000000001</v>
      </c>
      <c r="G103" s="255">
        <v>20.5</v>
      </c>
      <c r="H103" s="255">
        <v>22.9</v>
      </c>
      <c r="I103" s="255">
        <v>34.35</v>
      </c>
      <c r="J103" s="255">
        <v>41.85</v>
      </c>
      <c r="K103" s="255">
        <v>37.1</v>
      </c>
      <c r="L103" s="255">
        <v>27.5</v>
      </c>
      <c r="M103" s="255">
        <v>29.25</v>
      </c>
      <c r="N103" s="255">
        <v>31.5</v>
      </c>
      <c r="O103" s="255">
        <v>34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299</v>
      </c>
      <c r="B104" s="7"/>
      <c r="C104" s="255">
        <v>27.3</v>
      </c>
      <c r="D104" s="255">
        <v>24.7</v>
      </c>
      <c r="E104" s="255">
        <v>21.25</v>
      </c>
      <c r="F104" s="255">
        <v>19.75</v>
      </c>
      <c r="G104" s="255">
        <v>20</v>
      </c>
      <c r="H104" s="255">
        <v>22.25</v>
      </c>
      <c r="I104" s="255">
        <v>33.75</v>
      </c>
      <c r="J104" s="255">
        <v>41.5</v>
      </c>
      <c r="K104" s="255">
        <v>36.75</v>
      </c>
      <c r="L104" s="255">
        <v>27.5</v>
      </c>
      <c r="M104" s="255">
        <v>28.75</v>
      </c>
      <c r="N104" s="255">
        <v>31</v>
      </c>
      <c r="O104" s="255">
        <v>33.75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300</v>
      </c>
      <c r="B105" s="7"/>
      <c r="C105" s="8">
        <v>1.2</v>
      </c>
      <c r="D105" s="8">
        <v>0.5</v>
      </c>
      <c r="E105" s="8">
        <v>0.25</v>
      </c>
      <c r="F105" s="8">
        <v>0.60000000000000142</v>
      </c>
      <c r="G105" s="8">
        <v>0.5</v>
      </c>
      <c r="H105" s="8">
        <v>0.64999999999999858</v>
      </c>
      <c r="I105" s="8">
        <v>0.60000000000000142</v>
      </c>
      <c r="J105" s="8">
        <v>0.35000000000000142</v>
      </c>
      <c r="K105" s="8">
        <v>0.35000000000000142</v>
      </c>
      <c r="L105" s="8">
        <v>0</v>
      </c>
      <c r="M105" s="8">
        <v>0.5</v>
      </c>
      <c r="N105" s="8">
        <v>0.5</v>
      </c>
      <c r="O105" s="8">
        <v>0.25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301</v>
      </c>
      <c r="B107" s="7"/>
      <c r="C107" s="255">
        <v>22.25</v>
      </c>
      <c r="D107" s="255">
        <v>19.25</v>
      </c>
      <c r="E107" s="255">
        <v>17.25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302</v>
      </c>
      <c r="B108" s="7"/>
      <c r="C108" s="255">
        <v>22.25</v>
      </c>
      <c r="D108" s="255">
        <v>19.25</v>
      </c>
      <c r="E108" s="255">
        <v>17.25</v>
      </c>
      <c r="F108" s="255">
        <v>13.25</v>
      </c>
      <c r="G108" s="255">
        <v>11.75</v>
      </c>
      <c r="H108" s="255">
        <v>11.75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303</v>
      </c>
      <c r="B109" s="7"/>
      <c r="C109" s="8">
        <v>0</v>
      </c>
      <c r="D109" s="8">
        <v>0</v>
      </c>
      <c r="E109" s="8">
        <v>0</v>
      </c>
      <c r="F109" s="8">
        <v>0.5</v>
      </c>
      <c r="G109" s="8">
        <v>0.25</v>
      </c>
      <c r="H109" s="8">
        <v>0.25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291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292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279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293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294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295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296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288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297</v>
      </c>
    </row>
    <row r="131" spans="1:27" ht="11.25" customHeight="1" x14ac:dyDescent="0.2">
      <c r="A131" s="255" t="s">
        <v>298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299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300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301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302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303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306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291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292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279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293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294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295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296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288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297</v>
      </c>
    </row>
    <row r="159" spans="1:27" ht="11.25" customHeight="1" x14ac:dyDescent="0.2">
      <c r="A159" s="255" t="s">
        <v>298</v>
      </c>
      <c r="B159" s="7"/>
      <c r="C159" s="255">
        <v>27</v>
      </c>
      <c r="D159" s="255">
        <v>23.64</v>
      </c>
      <c r="E159" s="255">
        <v>19.87</v>
      </c>
      <c r="F159" s="255">
        <v>18.7</v>
      </c>
      <c r="G159" s="255">
        <v>18.34</v>
      </c>
      <c r="H159" s="255">
        <v>19.510000000000002</v>
      </c>
      <c r="I159" s="255">
        <v>29.91</v>
      </c>
      <c r="J159" s="255">
        <v>39.08</v>
      </c>
      <c r="K159" s="255">
        <v>36.020000000000003</v>
      </c>
      <c r="L159" s="255">
        <v>26.49</v>
      </c>
      <c r="M159" s="255">
        <v>28.53</v>
      </c>
      <c r="N159" s="255">
        <v>31.59</v>
      </c>
      <c r="O159" s="255">
        <v>33.630000000000003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299</v>
      </c>
      <c r="B160" s="7"/>
      <c r="C160" s="255">
        <v>25.88</v>
      </c>
      <c r="D160" s="255">
        <v>23.13</v>
      </c>
      <c r="E160" s="255">
        <v>19.62</v>
      </c>
      <c r="F160" s="255">
        <v>18.09</v>
      </c>
      <c r="G160" s="255">
        <v>17.829999999999998</v>
      </c>
      <c r="H160" s="255">
        <v>18.850000000000001</v>
      </c>
      <c r="I160" s="255">
        <v>29.3</v>
      </c>
      <c r="J160" s="255">
        <v>38.72</v>
      </c>
      <c r="K160" s="255">
        <v>35.67</v>
      </c>
      <c r="L160" s="255">
        <v>26.49</v>
      </c>
      <c r="M160" s="255">
        <v>28.02</v>
      </c>
      <c r="N160" s="255">
        <v>31.08</v>
      </c>
      <c r="O160" s="255">
        <v>33.369999999999997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300</v>
      </c>
      <c r="B161" s="7"/>
      <c r="C161" s="8">
        <v>1.1200000000000001</v>
      </c>
      <c r="D161" s="8">
        <v>0.51000000000000156</v>
      </c>
      <c r="E161" s="8">
        <v>0.25</v>
      </c>
      <c r="F161" s="8">
        <v>0.60999999999999943</v>
      </c>
      <c r="G161" s="8">
        <v>0.51000000000000156</v>
      </c>
      <c r="H161" s="8">
        <v>0.66</v>
      </c>
      <c r="I161" s="8">
        <v>0.60999999999999943</v>
      </c>
      <c r="J161" s="8">
        <v>0.35999999999999943</v>
      </c>
      <c r="K161" s="8">
        <v>0.35000000000000142</v>
      </c>
      <c r="L161" s="8">
        <v>0</v>
      </c>
      <c r="M161" s="8">
        <v>0.51000000000000156</v>
      </c>
      <c r="N161" s="8">
        <v>0.51000000000000156</v>
      </c>
      <c r="O161" s="8">
        <v>0.26000000000000512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301</v>
      </c>
      <c r="B163" s="7"/>
      <c r="C163" s="255">
        <v>22.67</v>
      </c>
      <c r="D163" s="255">
        <v>19.62</v>
      </c>
      <c r="E163" s="255">
        <v>17.579999999999998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302</v>
      </c>
      <c r="B164" s="7"/>
      <c r="C164" s="255">
        <v>22.67</v>
      </c>
      <c r="D164" s="255">
        <v>19.62</v>
      </c>
      <c r="E164" s="255">
        <v>17.579999999999998</v>
      </c>
      <c r="F164" s="255">
        <v>13.5</v>
      </c>
      <c r="G164" s="255">
        <v>11.97</v>
      </c>
      <c r="H164" s="255">
        <v>11.97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303</v>
      </c>
      <c r="B165" s="7"/>
      <c r="C165" s="8">
        <v>0</v>
      </c>
      <c r="D165" s="8">
        <v>0</v>
      </c>
      <c r="E165" s="8">
        <v>0</v>
      </c>
      <c r="F165" s="8">
        <v>0.51</v>
      </c>
      <c r="G165" s="8">
        <v>0.26</v>
      </c>
      <c r="H165" s="8">
        <v>0.26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291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292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279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293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294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295</v>
      </c>
      <c r="B182" s="161"/>
      <c r="C182" s="163">
        <v>121346</v>
      </c>
      <c r="D182" s="163">
        <v>120966</v>
      </c>
      <c r="E182" s="163">
        <v>127113</v>
      </c>
      <c r="F182" s="163">
        <v>260920</v>
      </c>
      <c r="G182" s="163">
        <v>240241</v>
      </c>
      <c r="H182" s="163">
        <v>101993</v>
      </c>
      <c r="I182" s="163">
        <v>-187881</v>
      </c>
      <c r="J182" s="163">
        <v>-194655</v>
      </c>
      <c r="K182" s="163">
        <v>-172622</v>
      </c>
      <c r="L182" s="163">
        <v>194800</v>
      </c>
      <c r="M182" s="163">
        <v>179926</v>
      </c>
      <c r="N182" s="163">
        <v>177366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969513</v>
      </c>
    </row>
    <row r="183" spans="1:27" ht="11.25" customHeight="1" thickBot="1" x14ac:dyDescent="0.25">
      <c r="A183" s="163" t="s">
        <v>296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288</v>
      </c>
      <c r="B184" s="166"/>
      <c r="C184" s="166">
        <v>121346</v>
      </c>
      <c r="D184" s="166">
        <v>120966</v>
      </c>
      <c r="E184" s="166">
        <v>127113</v>
      </c>
      <c r="F184" s="166">
        <v>260920</v>
      </c>
      <c r="G184" s="166">
        <v>240241</v>
      </c>
      <c r="H184" s="166">
        <v>101993</v>
      </c>
      <c r="I184" s="166">
        <v>-187881</v>
      </c>
      <c r="J184" s="166">
        <v>-194655</v>
      </c>
      <c r="K184" s="166">
        <v>-172622</v>
      </c>
      <c r="L184" s="166">
        <v>194800</v>
      </c>
      <c r="M184" s="166">
        <v>179926</v>
      </c>
      <c r="N184" s="166">
        <v>177366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969513</v>
      </c>
    </row>
    <row r="186" spans="1:27" ht="12" customHeight="1" x14ac:dyDescent="0.2">
      <c r="A186" s="253" t="s">
        <v>297</v>
      </c>
    </row>
    <row r="187" spans="1:27" ht="11.25" customHeight="1" x14ac:dyDescent="0.2">
      <c r="A187" s="255" t="s">
        <v>298</v>
      </c>
      <c r="B187" s="7"/>
      <c r="C187" s="255">
        <v>27.75</v>
      </c>
      <c r="D187" s="255">
        <v>27</v>
      </c>
      <c r="E187" s="255">
        <v>26</v>
      </c>
      <c r="F187" s="255">
        <v>25.75</v>
      </c>
      <c r="G187" s="255">
        <v>26.75</v>
      </c>
      <c r="H187" s="255">
        <v>33.25</v>
      </c>
      <c r="I187" s="255">
        <v>46</v>
      </c>
      <c r="J187" s="255">
        <v>50.5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28.98</v>
      </c>
      <c r="P187" s="255">
        <v>28.19</v>
      </c>
      <c r="Q187" s="255">
        <v>27.15</v>
      </c>
      <c r="R187" s="255">
        <v>26.89</v>
      </c>
      <c r="S187" s="255">
        <v>27.93</v>
      </c>
      <c r="T187" s="255">
        <v>34.72</v>
      </c>
      <c r="U187" s="255">
        <v>48.03</v>
      </c>
      <c r="V187" s="255">
        <v>52.73</v>
      </c>
      <c r="W187" s="255">
        <v>41.77</v>
      </c>
      <c r="X187" s="255">
        <v>31.06</v>
      </c>
      <c r="Y187" s="255">
        <v>28.98</v>
      </c>
      <c r="Z187" s="255">
        <v>31.59</v>
      </c>
      <c r="AA187" s="255"/>
    </row>
    <row r="188" spans="1:27" ht="11.25" customHeight="1" x14ac:dyDescent="0.2">
      <c r="A188" s="255" t="s">
        <v>299</v>
      </c>
      <c r="B188" s="7"/>
      <c r="C188" s="255">
        <v>27.75</v>
      </c>
      <c r="D188" s="255">
        <v>26.75</v>
      </c>
      <c r="E188" s="255">
        <v>25.75</v>
      </c>
      <c r="F188" s="255">
        <v>25.75</v>
      </c>
      <c r="G188" s="255">
        <v>26.75</v>
      </c>
      <c r="H188" s="255">
        <v>33.25</v>
      </c>
      <c r="I188" s="255">
        <v>45.75</v>
      </c>
      <c r="J188" s="255">
        <v>50.25</v>
      </c>
      <c r="K188" s="255">
        <v>39.5</v>
      </c>
      <c r="L188" s="255">
        <v>29.75</v>
      </c>
      <c r="M188" s="255">
        <v>27.75</v>
      </c>
      <c r="N188" s="255">
        <v>30.25</v>
      </c>
      <c r="O188" s="255">
        <v>29.09</v>
      </c>
      <c r="P188" s="255">
        <v>28.04</v>
      </c>
      <c r="Q188" s="255">
        <v>26.99</v>
      </c>
      <c r="R188" s="255">
        <v>26.99</v>
      </c>
      <c r="S188" s="255">
        <v>28.04</v>
      </c>
      <c r="T188" s="255">
        <v>34.85</v>
      </c>
      <c r="U188" s="255">
        <v>47.95</v>
      </c>
      <c r="V188" s="255">
        <v>52.67</v>
      </c>
      <c r="W188" s="255">
        <v>41.4</v>
      </c>
      <c r="X188" s="255">
        <v>31.18</v>
      </c>
      <c r="Y188" s="255">
        <v>29.09</v>
      </c>
      <c r="Z188" s="255">
        <v>31.71</v>
      </c>
      <c r="AA188" s="255"/>
    </row>
    <row r="189" spans="1:27" ht="11.25" customHeight="1" x14ac:dyDescent="0.2">
      <c r="A189" s="255" t="s">
        <v>300</v>
      </c>
      <c r="B189" s="7"/>
      <c r="C189" s="8">
        <v>0</v>
      </c>
      <c r="D189" s="8">
        <v>0.25</v>
      </c>
      <c r="E189" s="8">
        <v>0.25</v>
      </c>
      <c r="F189" s="8">
        <v>0</v>
      </c>
      <c r="G189" s="8">
        <v>0</v>
      </c>
      <c r="H189" s="8">
        <v>0</v>
      </c>
      <c r="I189" s="8">
        <v>0.25</v>
      </c>
      <c r="J189" s="8">
        <v>0.25</v>
      </c>
      <c r="K189" s="8">
        <v>0.5</v>
      </c>
      <c r="L189" s="8">
        <v>0</v>
      </c>
      <c r="M189" s="8">
        <v>0</v>
      </c>
      <c r="N189" s="8">
        <v>0</v>
      </c>
      <c r="O189" s="8">
        <v>-0.10999999999999943</v>
      </c>
      <c r="P189" s="8">
        <v>0.15000000000000213</v>
      </c>
      <c r="Q189" s="8">
        <v>0.16</v>
      </c>
      <c r="R189" s="8">
        <v>-9.9999999999997868E-2</v>
      </c>
      <c r="S189" s="8">
        <v>-0.10999999999999943</v>
      </c>
      <c r="T189" s="8">
        <v>-0.13000000000000256</v>
      </c>
      <c r="U189" s="8">
        <v>7.9999999999998295E-2</v>
      </c>
      <c r="V189" s="8">
        <v>5.9999999999995168E-2</v>
      </c>
      <c r="W189" s="8">
        <v>0.37000000000000455</v>
      </c>
      <c r="X189" s="8">
        <v>-0.12000000000000099</v>
      </c>
      <c r="Y189" s="8">
        <v>-0.10999999999999943</v>
      </c>
      <c r="Z189" s="8">
        <v>-0.12000000000000099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301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302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303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113.35</v>
      </c>
      <c r="G196" s="255">
        <v>113.35</v>
      </c>
      <c r="H196" s="255">
        <v>113.35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307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291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292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279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293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294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295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296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288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297</v>
      </c>
    </row>
    <row r="215" spans="1:27" ht="11.25" customHeight="1" x14ac:dyDescent="0.2">
      <c r="A215" s="255" t="s">
        <v>298</v>
      </c>
      <c r="B215" s="7"/>
      <c r="C215" s="255">
        <v>28.37</v>
      </c>
      <c r="D215" s="255">
        <v>25.01</v>
      </c>
      <c r="E215" s="255">
        <v>21.24</v>
      </c>
      <c r="F215" s="255">
        <v>20.07</v>
      </c>
      <c r="G215" s="255">
        <v>19.71</v>
      </c>
      <c r="H215" s="255">
        <v>20.88</v>
      </c>
      <c r="I215" s="255">
        <v>31.28</v>
      </c>
      <c r="J215" s="255">
        <v>40.450000000000003</v>
      </c>
      <c r="K215" s="255">
        <v>37.39</v>
      </c>
      <c r="L215" s="255">
        <v>27.86</v>
      </c>
      <c r="M215" s="255">
        <v>29.9</v>
      </c>
      <c r="N215" s="255">
        <v>32.96</v>
      </c>
      <c r="O215" s="255">
        <v>35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299</v>
      </c>
      <c r="B216" s="7"/>
      <c r="C216" s="255">
        <v>27.25</v>
      </c>
      <c r="D216" s="255">
        <v>24.5</v>
      </c>
      <c r="E216" s="255">
        <v>20.99</v>
      </c>
      <c r="F216" s="255">
        <v>19.46</v>
      </c>
      <c r="G216" s="255">
        <v>19.2</v>
      </c>
      <c r="H216" s="255">
        <v>20.22</v>
      </c>
      <c r="I216" s="255">
        <v>30.67</v>
      </c>
      <c r="J216" s="255">
        <v>40.090000000000003</v>
      </c>
      <c r="K216" s="255">
        <v>37.04</v>
      </c>
      <c r="L216" s="255">
        <v>27.86</v>
      </c>
      <c r="M216" s="255">
        <v>29.39</v>
      </c>
      <c r="N216" s="255">
        <v>32.450000000000003</v>
      </c>
      <c r="O216" s="255">
        <v>34.74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300</v>
      </c>
      <c r="B217" s="7"/>
      <c r="C217" s="8">
        <v>1.1200000000000001</v>
      </c>
      <c r="D217" s="8">
        <v>0.51000000000000156</v>
      </c>
      <c r="E217" s="8">
        <v>0.25</v>
      </c>
      <c r="F217" s="8">
        <v>0.60999999999999943</v>
      </c>
      <c r="G217" s="8">
        <v>0.51000000000000156</v>
      </c>
      <c r="H217" s="8">
        <v>0.66</v>
      </c>
      <c r="I217" s="8">
        <v>0.60999999999999943</v>
      </c>
      <c r="J217" s="8">
        <v>0.35999999999999943</v>
      </c>
      <c r="K217" s="8">
        <v>0.35000000000000142</v>
      </c>
      <c r="L217" s="8">
        <v>0</v>
      </c>
      <c r="M217" s="8">
        <v>0.50999999999999801</v>
      </c>
      <c r="N217" s="8">
        <v>0.50999999999999801</v>
      </c>
      <c r="O217" s="8">
        <v>0.25999999999999801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301</v>
      </c>
      <c r="B219" s="7"/>
      <c r="C219" s="255">
        <v>24.04</v>
      </c>
      <c r="D219" s="255">
        <v>20.99</v>
      </c>
      <c r="E219" s="255">
        <v>18.95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302</v>
      </c>
      <c r="B220" s="7"/>
      <c r="C220" s="255">
        <v>24.04</v>
      </c>
      <c r="D220" s="255">
        <v>20.99</v>
      </c>
      <c r="E220" s="255">
        <v>18.95</v>
      </c>
      <c r="F220" s="255">
        <v>14.87</v>
      </c>
      <c r="G220" s="255">
        <v>13.34</v>
      </c>
      <c r="H220" s="255">
        <v>13.34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303</v>
      </c>
      <c r="B221" s="7"/>
      <c r="C221" s="8">
        <v>0</v>
      </c>
      <c r="D221" s="8">
        <v>0</v>
      </c>
      <c r="E221" s="8">
        <v>0</v>
      </c>
      <c r="F221" s="8">
        <v>0.51000000000000156</v>
      </c>
      <c r="G221" s="8">
        <v>0.26</v>
      </c>
      <c r="H221" s="8">
        <v>0.26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308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291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292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279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293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294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295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296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288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297</v>
      </c>
    </row>
    <row r="243" spans="1:27" ht="11.25" customHeight="1" x14ac:dyDescent="0.2">
      <c r="A243" s="255" t="s">
        <v>298</v>
      </c>
      <c r="B243" s="7"/>
      <c r="C243" s="255">
        <v>26.5</v>
      </c>
      <c r="D243" s="255">
        <v>23.2</v>
      </c>
      <c r="E243" s="255">
        <v>19.5</v>
      </c>
      <c r="F243" s="255">
        <v>18.350000000000001</v>
      </c>
      <c r="G243" s="255">
        <v>18</v>
      </c>
      <c r="H243" s="255">
        <v>19.149999999999999</v>
      </c>
      <c r="I243" s="255">
        <v>29.35</v>
      </c>
      <c r="J243" s="255">
        <v>38.35</v>
      </c>
      <c r="K243" s="255">
        <v>35.35</v>
      </c>
      <c r="L243" s="255">
        <v>26</v>
      </c>
      <c r="M243" s="255">
        <v>28</v>
      </c>
      <c r="N243" s="255">
        <v>31</v>
      </c>
      <c r="O243" s="255">
        <v>33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299</v>
      </c>
      <c r="B244" s="7"/>
      <c r="C244" s="255">
        <v>25.4</v>
      </c>
      <c r="D244" s="255">
        <v>22.7</v>
      </c>
      <c r="E244" s="255">
        <v>19.25</v>
      </c>
      <c r="F244" s="255">
        <v>17.75</v>
      </c>
      <c r="G244" s="255">
        <v>17.5</v>
      </c>
      <c r="H244" s="255">
        <v>18.5</v>
      </c>
      <c r="I244" s="255">
        <v>28.75</v>
      </c>
      <c r="J244" s="255">
        <v>38</v>
      </c>
      <c r="K244" s="255">
        <v>35</v>
      </c>
      <c r="L244" s="255">
        <v>26</v>
      </c>
      <c r="M244" s="255">
        <v>27.5</v>
      </c>
      <c r="N244" s="255">
        <v>30.5</v>
      </c>
      <c r="O244" s="255">
        <v>32.75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300</v>
      </c>
      <c r="B245" s="7"/>
      <c r="C245" s="8">
        <v>1.1000000000000001</v>
      </c>
      <c r="D245" s="8">
        <v>0.5</v>
      </c>
      <c r="E245" s="8">
        <v>0.25</v>
      </c>
      <c r="F245" s="8">
        <v>0.60000000000000142</v>
      </c>
      <c r="G245" s="8">
        <v>0.5</v>
      </c>
      <c r="H245" s="8">
        <v>0.64999999999999858</v>
      </c>
      <c r="I245" s="8">
        <v>0.60000000000000142</v>
      </c>
      <c r="J245" s="8">
        <v>0.35000000000000142</v>
      </c>
      <c r="K245" s="8">
        <v>0.35000000000000142</v>
      </c>
      <c r="L245" s="8">
        <v>0</v>
      </c>
      <c r="M245" s="8">
        <v>0.5</v>
      </c>
      <c r="N245" s="8">
        <v>0.5</v>
      </c>
      <c r="O245" s="8">
        <v>0.25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301</v>
      </c>
      <c r="B247" s="7"/>
      <c r="C247" s="255">
        <v>22.25</v>
      </c>
      <c r="D247" s="255">
        <v>19.25</v>
      </c>
      <c r="E247" s="255">
        <v>17.25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302</v>
      </c>
      <c r="B248" s="7"/>
      <c r="C248" s="255">
        <v>22.25</v>
      </c>
      <c r="D248" s="255">
        <v>19.25</v>
      </c>
      <c r="E248" s="255">
        <v>17.25</v>
      </c>
      <c r="F248" s="255">
        <v>13.25</v>
      </c>
      <c r="G248" s="255">
        <v>11.75</v>
      </c>
      <c r="H248" s="255">
        <v>11.75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303</v>
      </c>
      <c r="B249" s="7"/>
      <c r="C249" s="8">
        <v>0</v>
      </c>
      <c r="D249" s="8">
        <v>0</v>
      </c>
      <c r="E249" s="8">
        <v>0</v>
      </c>
      <c r="F249" s="8">
        <v>0.5</v>
      </c>
      <c r="G249" s="8">
        <v>0.25</v>
      </c>
      <c r="H249" s="8">
        <v>0.25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309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291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292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279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293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294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295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296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288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297</v>
      </c>
    </row>
    <row r="271" spans="1:27" ht="11.25" customHeight="1" x14ac:dyDescent="0.2">
      <c r="A271" s="255" t="s">
        <v>298</v>
      </c>
      <c r="B271" s="7"/>
      <c r="C271" s="255">
        <v>26.5</v>
      </c>
      <c r="D271" s="255">
        <v>23.2</v>
      </c>
      <c r="E271" s="255">
        <v>19.5</v>
      </c>
      <c r="F271" s="255">
        <v>18.350000000000001</v>
      </c>
      <c r="G271" s="255">
        <v>18</v>
      </c>
      <c r="H271" s="255">
        <v>19.149999999999999</v>
      </c>
      <c r="I271" s="255">
        <v>29.35</v>
      </c>
      <c r="J271" s="255">
        <v>38.35</v>
      </c>
      <c r="K271" s="255">
        <v>35.35</v>
      </c>
      <c r="L271" s="255">
        <v>26</v>
      </c>
      <c r="M271" s="255">
        <v>28</v>
      </c>
      <c r="N271" s="255">
        <v>31</v>
      </c>
      <c r="O271" s="255">
        <v>33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299</v>
      </c>
      <c r="B272" s="7"/>
      <c r="C272" s="255">
        <v>25.4</v>
      </c>
      <c r="D272" s="255">
        <v>22.7</v>
      </c>
      <c r="E272" s="255">
        <v>19.25</v>
      </c>
      <c r="F272" s="255">
        <v>17.75</v>
      </c>
      <c r="G272" s="255">
        <v>17.5</v>
      </c>
      <c r="H272" s="255">
        <v>18.5</v>
      </c>
      <c r="I272" s="255">
        <v>28.75</v>
      </c>
      <c r="J272" s="255">
        <v>38</v>
      </c>
      <c r="K272" s="255">
        <v>35</v>
      </c>
      <c r="L272" s="255">
        <v>26</v>
      </c>
      <c r="M272" s="255">
        <v>27.5</v>
      </c>
      <c r="N272" s="255">
        <v>30.5</v>
      </c>
      <c r="O272" s="255">
        <v>32.75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300</v>
      </c>
      <c r="B273" s="7"/>
      <c r="C273" s="8">
        <v>1.1000000000000001</v>
      </c>
      <c r="D273" s="8">
        <v>0.5</v>
      </c>
      <c r="E273" s="8">
        <v>0.25</v>
      </c>
      <c r="F273" s="8">
        <v>0.60000000000000142</v>
      </c>
      <c r="G273" s="8">
        <v>0.5</v>
      </c>
      <c r="H273" s="8">
        <v>0.64999999999999858</v>
      </c>
      <c r="I273" s="8">
        <v>0.60000000000000142</v>
      </c>
      <c r="J273" s="8">
        <v>0.35000000000000142</v>
      </c>
      <c r="K273" s="8">
        <v>0.35000000000000142</v>
      </c>
      <c r="L273" s="8">
        <v>0</v>
      </c>
      <c r="M273" s="8">
        <v>0.5</v>
      </c>
      <c r="N273" s="8">
        <v>0.5</v>
      </c>
      <c r="O273" s="8">
        <v>0.25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301</v>
      </c>
      <c r="B275" s="7"/>
      <c r="C275" s="255">
        <v>22.25</v>
      </c>
      <c r="D275" s="255">
        <v>19.25</v>
      </c>
      <c r="E275" s="255">
        <v>17.25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302</v>
      </c>
      <c r="B276" s="7"/>
      <c r="C276" s="255">
        <v>22.25</v>
      </c>
      <c r="D276" s="255">
        <v>19.25</v>
      </c>
      <c r="E276" s="255">
        <v>17.25</v>
      </c>
      <c r="F276" s="255">
        <v>13.25</v>
      </c>
      <c r="G276" s="255">
        <v>11.75</v>
      </c>
      <c r="H276" s="255">
        <v>11.75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303</v>
      </c>
      <c r="B277" s="7"/>
      <c r="C277" s="8">
        <v>0</v>
      </c>
      <c r="D277" s="8">
        <v>0</v>
      </c>
      <c r="E277" s="8">
        <v>0</v>
      </c>
      <c r="F277" s="8">
        <v>0.5</v>
      </c>
      <c r="G277" s="8">
        <v>0.25</v>
      </c>
      <c r="H277" s="8">
        <v>0.25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310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291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292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279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293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294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295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296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288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297</v>
      </c>
    </row>
    <row r="299" spans="1:27" ht="11.25" customHeight="1" x14ac:dyDescent="0.2">
      <c r="A299" s="255" t="s">
        <v>298</v>
      </c>
      <c r="B299" s="7"/>
      <c r="C299" s="255">
        <v>26.5</v>
      </c>
      <c r="D299" s="255">
        <v>23.2</v>
      </c>
      <c r="E299" s="255">
        <v>19.5</v>
      </c>
      <c r="F299" s="255">
        <v>18.350000000000001</v>
      </c>
      <c r="G299" s="255">
        <v>18</v>
      </c>
      <c r="H299" s="255">
        <v>19.149999999999999</v>
      </c>
      <c r="I299" s="255">
        <v>29.35</v>
      </c>
      <c r="J299" s="255">
        <v>38.35</v>
      </c>
      <c r="K299" s="255">
        <v>35.35</v>
      </c>
      <c r="L299" s="255">
        <v>26</v>
      </c>
      <c r="M299" s="255">
        <v>28</v>
      </c>
      <c r="N299" s="255">
        <v>31</v>
      </c>
      <c r="O299" s="255">
        <v>33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299</v>
      </c>
      <c r="B300" s="7"/>
      <c r="C300" s="255">
        <v>25.4</v>
      </c>
      <c r="D300" s="255">
        <v>22.7</v>
      </c>
      <c r="E300" s="255">
        <v>19.25</v>
      </c>
      <c r="F300" s="255">
        <v>17.75</v>
      </c>
      <c r="G300" s="255">
        <v>17.5</v>
      </c>
      <c r="H300" s="255">
        <v>18.5</v>
      </c>
      <c r="I300" s="255">
        <v>28.75</v>
      </c>
      <c r="J300" s="255">
        <v>38</v>
      </c>
      <c r="K300" s="255">
        <v>35</v>
      </c>
      <c r="L300" s="255">
        <v>26</v>
      </c>
      <c r="M300" s="255">
        <v>27.5</v>
      </c>
      <c r="N300" s="255">
        <v>30.5</v>
      </c>
      <c r="O300" s="255">
        <v>32.75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300</v>
      </c>
      <c r="B301" s="7"/>
      <c r="C301" s="8">
        <v>1.1000000000000001</v>
      </c>
      <c r="D301" s="8">
        <v>0.5</v>
      </c>
      <c r="E301" s="8">
        <v>0.25</v>
      </c>
      <c r="F301" s="8">
        <v>0.60000000000000142</v>
      </c>
      <c r="G301" s="8">
        <v>0.5</v>
      </c>
      <c r="H301" s="8">
        <v>0.64999999999999858</v>
      </c>
      <c r="I301" s="8">
        <v>0.60000000000000142</v>
      </c>
      <c r="J301" s="8">
        <v>0.35000000000000142</v>
      </c>
      <c r="K301" s="8">
        <v>0.35000000000000142</v>
      </c>
      <c r="L301" s="8">
        <v>0</v>
      </c>
      <c r="M301" s="8">
        <v>0.5</v>
      </c>
      <c r="N301" s="8">
        <v>0.5</v>
      </c>
      <c r="O301" s="8">
        <v>0.25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301</v>
      </c>
      <c r="B303" s="7"/>
      <c r="C303" s="255">
        <v>22.25</v>
      </c>
      <c r="D303" s="255">
        <v>19.25</v>
      </c>
      <c r="E303" s="255">
        <v>17.25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302</v>
      </c>
      <c r="B304" s="7"/>
      <c r="C304" s="255">
        <v>22.25</v>
      </c>
      <c r="D304" s="255">
        <v>19.25</v>
      </c>
      <c r="E304" s="255">
        <v>17.25</v>
      </c>
      <c r="F304" s="255">
        <v>13.25</v>
      </c>
      <c r="G304" s="255">
        <v>11.75</v>
      </c>
      <c r="H304" s="255">
        <v>11.75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303</v>
      </c>
      <c r="B305" s="7"/>
      <c r="C305" s="8">
        <v>0</v>
      </c>
      <c r="D305" s="8">
        <v>0</v>
      </c>
      <c r="E305" s="8">
        <v>0</v>
      </c>
      <c r="F305" s="8">
        <v>0.5</v>
      </c>
      <c r="G305" s="8">
        <v>0.25</v>
      </c>
      <c r="H305" s="8">
        <v>0.25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/>
  </sheetViews>
  <sheetFormatPr defaultRowHeight="10.199999999999999" x14ac:dyDescent="0.2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6" x14ac:dyDescent="0.25">
      <c r="A1" s="61" t="s">
        <v>11</v>
      </c>
    </row>
    <row r="2" spans="1:37" ht="12.6" x14ac:dyDescent="0.25">
      <c r="A2" s="61" t="s">
        <v>12</v>
      </c>
      <c r="F2" s="74"/>
    </row>
    <row r="3" spans="1:37" ht="12.6" x14ac:dyDescent="0.25">
      <c r="A3" s="61" t="str">
        <f>'POWER SUM'!A3</f>
        <v>As of December 21, 2001</v>
      </c>
    </row>
    <row r="4" spans="1:37" ht="12.6" x14ac:dyDescent="0.25">
      <c r="A4" s="61" t="s">
        <v>13</v>
      </c>
      <c r="F4" s="74"/>
      <c r="I4" s="74"/>
    </row>
    <row r="5" spans="1:37" x14ac:dyDescent="0.2">
      <c r="I5" s="74"/>
    </row>
    <row r="6" spans="1:37" ht="12.6" x14ac:dyDescent="0.25">
      <c r="A6" s="61" t="s">
        <v>14</v>
      </c>
    </row>
    <row r="7" spans="1:37" x14ac:dyDescent="0.2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2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59794</v>
      </c>
      <c r="J8" s="38">
        <v>3000000</v>
      </c>
      <c r="K8" s="39">
        <f>IF(I8&gt;J8,I8-J8,0)</f>
        <v>0</v>
      </c>
    </row>
    <row r="9" spans="1:37" x14ac:dyDescent="0.2">
      <c r="A9" s="62" t="s">
        <v>15</v>
      </c>
      <c r="B9" s="64"/>
      <c r="C9" s="63">
        <f>C23</f>
        <v>3282132</v>
      </c>
      <c r="F9" s="62" t="s">
        <v>62</v>
      </c>
      <c r="I9" s="155">
        <f>O59</f>
        <v>41918</v>
      </c>
      <c r="J9" s="63">
        <v>-3000000</v>
      </c>
      <c r="K9" s="36">
        <f>IF(I9&lt;J9,I9-J9,0)</f>
        <v>0</v>
      </c>
    </row>
    <row r="10" spans="1:37" x14ac:dyDescent="0.2">
      <c r="A10" s="62" t="s">
        <v>16</v>
      </c>
      <c r="B10" s="65"/>
      <c r="C10" s="93">
        <v>-16056742</v>
      </c>
      <c r="F10" s="62" t="s">
        <v>63</v>
      </c>
      <c r="I10" s="63">
        <f>'5-DAY'!C2</f>
        <v>63503</v>
      </c>
      <c r="J10" s="63">
        <v>-6750000</v>
      </c>
      <c r="K10" s="36">
        <f>IF(I10&lt;J10,I10-J10,0)</f>
        <v>0</v>
      </c>
    </row>
    <row r="11" spans="1:37" x14ac:dyDescent="0.2">
      <c r="A11" s="62" t="s">
        <v>65</v>
      </c>
      <c r="B11" s="65"/>
      <c r="C11" s="66"/>
      <c r="D11" s="63">
        <f>SUM(C9:C10)</f>
        <v>-12774610</v>
      </c>
      <c r="F11" s="62" t="s">
        <v>70</v>
      </c>
      <c r="I11" s="73">
        <f>MWH!AA38</f>
        <v>-19450</v>
      </c>
      <c r="J11" s="95">
        <v>1500000</v>
      </c>
      <c r="K11" s="37">
        <f>IF(ABS(I11)&gt;J11,ABS(I11)-J11,0)</f>
        <v>0</v>
      </c>
    </row>
    <row r="12" spans="1:37" x14ac:dyDescent="0.2">
      <c r="A12" s="43" t="s">
        <v>17</v>
      </c>
      <c r="B12" s="44"/>
      <c r="C12" s="44"/>
      <c r="D12" s="45">
        <f>SUM(D7:D11)</f>
        <v>-12816652.558000006</v>
      </c>
      <c r="F12" s="62" t="s">
        <v>106</v>
      </c>
      <c r="I12" s="73">
        <f>'Gap Risk'!B15</f>
        <v>-19450</v>
      </c>
      <c r="J12" s="95">
        <v>1500000</v>
      </c>
      <c r="K12" s="37">
        <f>IF(ABS(I12)&gt;J12,ABS(I12)-J12,0)</f>
        <v>0</v>
      </c>
    </row>
    <row r="13" spans="1:37" x14ac:dyDescent="0.2">
      <c r="D13" s="63"/>
      <c r="E13" s="184"/>
    </row>
    <row r="14" spans="1:37" x14ac:dyDescent="0.2">
      <c r="D14" s="63"/>
      <c r="E14" s="63"/>
      <c r="F14" s="63"/>
    </row>
    <row r="15" spans="1:37" s="70" customFormat="1" ht="12.6" x14ac:dyDescent="0.25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2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2">
      <c r="J17" s="119"/>
      <c r="M17" s="73"/>
      <c r="AF17" s="73"/>
      <c r="AG17" s="73"/>
      <c r="AH17" s="73"/>
      <c r="AI17" s="73"/>
      <c r="AJ17" s="73"/>
      <c r="AK17" s="73"/>
    </row>
    <row r="18" spans="1:37" x14ac:dyDescent="0.2">
      <c r="J18" s="119"/>
      <c r="M18" s="73"/>
      <c r="AF18" s="73"/>
      <c r="AG18" s="73"/>
      <c r="AH18" s="73"/>
      <c r="AI18" s="73"/>
      <c r="AJ18" s="73"/>
      <c r="AK18" s="73"/>
    </row>
    <row r="19" spans="1:37" ht="12.6" x14ac:dyDescent="0.25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2">
      <c r="A20" s="62" t="s">
        <v>20</v>
      </c>
      <c r="C20" s="63">
        <f>(O36+O54)</f>
        <v>3221932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0.8" thickBot="1" x14ac:dyDescent="0.25">
      <c r="A21" s="62" t="s">
        <v>21</v>
      </c>
      <c r="C21" s="63">
        <f>O37+O55</f>
        <v>60200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0.8" thickTop="1" x14ac:dyDescent="0.2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2">
      <c r="A23" s="67" t="s">
        <v>15</v>
      </c>
      <c r="B23" s="68"/>
      <c r="C23" s="69">
        <f>SUM(C20:C22)</f>
        <v>3282132</v>
      </c>
      <c r="AF23" s="73"/>
      <c r="AG23" s="73"/>
      <c r="AH23" s="73"/>
      <c r="AI23" s="73"/>
      <c r="AJ23" s="73"/>
      <c r="AK23" s="73"/>
    </row>
    <row r="24" spans="1:37" x14ac:dyDescent="0.2">
      <c r="AF24" s="73"/>
      <c r="AG24" s="73"/>
      <c r="AH24" s="73"/>
      <c r="AI24" s="73"/>
      <c r="AJ24" s="73"/>
      <c r="AK24" s="73"/>
    </row>
    <row r="25" spans="1:37" x14ac:dyDescent="0.2">
      <c r="AF25" s="73"/>
      <c r="AG25" s="73"/>
      <c r="AH25" s="73"/>
      <c r="AI25" s="73"/>
      <c r="AJ25" s="73"/>
      <c r="AK25" s="73"/>
    </row>
    <row r="26" spans="1:37" ht="12.6" x14ac:dyDescent="0.25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2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2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-5</v>
      </c>
      <c r="G28" s="77">
        <f>ROUND(('SPEC REPORT DETAILS'!N7+'SPEC REPORT DETAILS'!N20+'SPEC REPORT DETAILS'!N46),0)</f>
        <v>-10</v>
      </c>
      <c r="H28" s="77">
        <f>ROUND(('SPEC REPORT DETAILS'!O7+'SPEC REPORT DETAILS'!O20+'SPEC REPORT DETAILS'!O46),0)</f>
        <v>-11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2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-20</v>
      </c>
      <c r="G29" s="41">
        <f>ROUND(('SPEC DETAILS'!G11+'SPEC DETAILS'!G39+'SPEC DETAILS'!G67+'SPEC DETAILS'!G151+'SPEC DETAILS'!G179),0)</f>
        <v>-24</v>
      </c>
      <c r="H29" s="41">
        <f>ROUND(('SPEC DETAILS'!H11+'SPEC DETAILS'!H39+'SPEC DETAILS'!H67+'SPEC DETAILS'!H151+'SPEC DETAILS'!H179),0)</f>
        <v>-25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2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15</v>
      </c>
      <c r="G30" s="40">
        <f t="shared" si="0"/>
        <v>14</v>
      </c>
      <c r="H30" s="40">
        <f t="shared" si="0"/>
        <v>14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2">
      <c r="N31" s="73"/>
    </row>
    <row r="32" spans="1:37" s="78" customFormat="1" x14ac:dyDescent="0.2">
      <c r="A32" s="74" t="s">
        <v>73</v>
      </c>
      <c r="N32" s="73"/>
    </row>
    <row r="33" spans="1:37" s="78" customFormat="1" x14ac:dyDescent="0.2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2">
      <c r="N34" s="73"/>
    </row>
    <row r="35" spans="1:37" x14ac:dyDescent="0.2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2">
      <c r="A36" s="63" t="s">
        <v>25</v>
      </c>
      <c r="C36" s="63">
        <f>'SPEC REPORT DETAILS'!J9+'SPEC REPORT DETAILS'!J22+'SPEC REPORT DETAILS'!J48</f>
        <v>268768</v>
      </c>
      <c r="D36" s="63">
        <f>'SPEC REPORT DETAILS'!K9+'SPEC REPORT DETAILS'!K22+'SPEC REPORT DETAILS'!K48</f>
        <v>466651</v>
      </c>
      <c r="E36" s="63">
        <f>'SPEC REPORT DETAILS'!L9+'SPEC REPORT DETAILS'!L22+'SPEC REPORT DETAILS'!L48</f>
        <v>542246</v>
      </c>
      <c r="F36" s="63">
        <f>'SPEC REPORT DETAILS'!M9+'SPEC REPORT DETAILS'!M22+'SPEC REPORT DETAILS'!M48</f>
        <v>120438</v>
      </c>
      <c r="G36" s="63">
        <f>'SPEC REPORT DETAILS'!N9+'SPEC REPORT DETAILS'!N22+'SPEC REPORT DETAILS'!N48</f>
        <v>88451</v>
      </c>
      <c r="H36" s="63">
        <f>'SPEC REPORT DETAILS'!O9+'SPEC REPORT DETAILS'!O22+'SPEC REPORT DETAILS'!O48</f>
        <v>180485</v>
      </c>
      <c r="I36" s="63">
        <f>'SPEC REPORT DETAILS'!P9+'SPEC REPORT DETAILS'!P22+'SPEC REPORT DETAILS'!P48</f>
        <v>339375</v>
      </c>
      <c r="J36" s="63">
        <f>'SPEC REPORT DETAILS'!Q9+'SPEC REPORT DETAILS'!Q22+'SPEC REPORT DETAILS'!Q48</f>
        <v>351619</v>
      </c>
      <c r="K36" s="63">
        <f>'SPEC REPORT DETAILS'!R9+'SPEC REPORT DETAILS'!R22+'SPEC REPORT DETAILS'!R48</f>
        <v>311807</v>
      </c>
      <c r="L36" s="63">
        <f>'SPEC REPORT DETAILS'!S9+'SPEC REPORT DETAILS'!S22+'SPEC REPORT DETAILS'!S48</f>
        <v>194800</v>
      </c>
      <c r="M36" s="63">
        <f>'SPEC REPORT DETAILS'!T9+'SPEC REPORT DETAILS'!T22+'SPEC REPORT DETAILS'!T48</f>
        <v>179926</v>
      </c>
      <c r="N36" s="63">
        <f>'SPEC REPORT DETAILS'!U9+'SPEC REPORT DETAILS'!U22+'SPEC REPORT DETAILS'!U48</f>
        <v>177366</v>
      </c>
      <c r="O36" s="80"/>
      <c r="AF36" s="73"/>
      <c r="AG36" s="73"/>
      <c r="AH36" s="73"/>
      <c r="AI36" s="73"/>
      <c r="AJ36" s="73"/>
      <c r="AK36" s="73"/>
    </row>
    <row r="37" spans="1:37" x14ac:dyDescent="0.2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4686</v>
      </c>
      <c r="E37" s="63">
        <f>'SPEC REPORT DETAILS'!L10+'SPEC REPORT DETAILS'!L23+'SPEC REPORT DETAILS'!L36+'SPEC REPORT DETAILS'!L49+'SPEC REPORT DETAILS'!L57</f>
        <v>5063</v>
      </c>
      <c r="F37" s="63">
        <f>'SPEC REPORT DETAILS'!M10+'SPEC REPORT DETAILS'!M23+'SPEC REPORT DETAILS'!M36+'SPEC REPORT DETAILS'!M49+'SPEC REPORT DETAILS'!M57</f>
        <v>7278</v>
      </c>
      <c r="G37" s="63">
        <f>'SPEC REPORT DETAILS'!N10+'SPEC REPORT DETAILS'!N23+'SPEC REPORT DETAILS'!N36+'SPEC REPORT DETAILS'!N49+'SPEC REPORT DETAILS'!N57</f>
        <v>91305</v>
      </c>
      <c r="H37" s="63">
        <f>'SPEC REPORT DETAILS'!O10+'SPEC REPORT DETAILS'!O23+'SPEC REPORT DETAILS'!O36+'SPEC REPORT DETAILS'!O49+'SPEC REPORT DETAILS'!O57</f>
        <v>-48132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2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2">
      <c r="A39" s="67" t="s">
        <v>27</v>
      </c>
      <c r="B39" s="69"/>
      <c r="C39" s="69">
        <f>SUM(C36:C38)</f>
        <v>268768</v>
      </c>
      <c r="D39" s="69">
        <f t="shared" ref="D39:N39" si="1">SUM(D36:D38)</f>
        <v>471337</v>
      </c>
      <c r="E39" s="69">
        <f t="shared" si="1"/>
        <v>547309</v>
      </c>
      <c r="F39" s="69">
        <f t="shared" si="1"/>
        <v>127716</v>
      </c>
      <c r="G39" s="69">
        <f t="shared" si="1"/>
        <v>179756</v>
      </c>
      <c r="H39" s="69">
        <f t="shared" si="1"/>
        <v>132353</v>
      </c>
      <c r="I39" s="69">
        <f t="shared" si="1"/>
        <v>339375</v>
      </c>
      <c r="J39" s="69">
        <f t="shared" si="1"/>
        <v>351619</v>
      </c>
      <c r="K39" s="69">
        <f t="shared" si="1"/>
        <v>311807</v>
      </c>
      <c r="L39" s="69">
        <f t="shared" si="1"/>
        <v>194800</v>
      </c>
      <c r="M39" s="69">
        <f t="shared" si="1"/>
        <v>179926</v>
      </c>
      <c r="N39" s="69">
        <f t="shared" si="1"/>
        <v>177366</v>
      </c>
    </row>
    <row r="40" spans="1:37" s="81" customFormat="1" x14ac:dyDescent="0.2">
      <c r="A40" s="46" t="s">
        <v>0</v>
      </c>
      <c r="C40" s="41">
        <v>268743</v>
      </c>
      <c r="D40" s="41">
        <v>471293</v>
      </c>
      <c r="E40" s="41">
        <v>547259</v>
      </c>
      <c r="F40" s="41">
        <v>120956</v>
      </c>
      <c r="G40" s="41">
        <v>171428</v>
      </c>
      <c r="H40" s="41">
        <v>105761</v>
      </c>
      <c r="I40" s="41">
        <v>339351</v>
      </c>
      <c r="J40" s="41">
        <v>351594</v>
      </c>
      <c r="K40" s="41">
        <v>311784</v>
      </c>
      <c r="L40" s="41">
        <v>194786</v>
      </c>
      <c r="M40" s="41">
        <v>179913</v>
      </c>
      <c r="N40" s="47">
        <v>177346</v>
      </c>
    </row>
    <row r="41" spans="1:37" x14ac:dyDescent="0.2">
      <c r="A41" s="62" t="s">
        <v>1</v>
      </c>
      <c r="C41" s="63">
        <f>C39-C40</f>
        <v>25</v>
      </c>
      <c r="D41" s="63">
        <f>D39-D40</f>
        <v>44</v>
      </c>
      <c r="E41" s="63">
        <f t="shared" ref="E41:N41" si="2">E39-E40</f>
        <v>50</v>
      </c>
      <c r="F41" s="63">
        <f t="shared" si="2"/>
        <v>6760</v>
      </c>
      <c r="G41" s="63">
        <f t="shared" si="2"/>
        <v>8328</v>
      </c>
      <c r="H41" s="63">
        <f t="shared" si="2"/>
        <v>26592</v>
      </c>
      <c r="I41" s="63">
        <f t="shared" si="2"/>
        <v>24</v>
      </c>
      <c r="J41" s="63">
        <f t="shared" si="2"/>
        <v>25</v>
      </c>
      <c r="K41" s="63">
        <f t="shared" si="2"/>
        <v>23</v>
      </c>
      <c r="L41" s="63">
        <f t="shared" si="2"/>
        <v>14</v>
      </c>
      <c r="M41" s="63">
        <f t="shared" si="2"/>
        <v>13</v>
      </c>
      <c r="N41" s="63">
        <f t="shared" si="2"/>
        <v>20</v>
      </c>
    </row>
    <row r="42" spans="1:37" x14ac:dyDescent="0.2">
      <c r="E42" s="154"/>
    </row>
    <row r="43" spans="1:37" x14ac:dyDescent="0.2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2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2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2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2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2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2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2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2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2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2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2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3221932</v>
      </c>
    </row>
    <row r="55" spans="1:15" x14ac:dyDescent="0.2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60200</v>
      </c>
    </row>
    <row r="56" spans="1:15" x14ac:dyDescent="0.2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2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3282132</v>
      </c>
    </row>
    <row r="58" spans="1:15" x14ac:dyDescent="0.2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3240214</v>
      </c>
    </row>
    <row r="59" spans="1:15" x14ac:dyDescent="0.2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41918</v>
      </c>
    </row>
    <row r="76" spans="3:37" x14ac:dyDescent="0.2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2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2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2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2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2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2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2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2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2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2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2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2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2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2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2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2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2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2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2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2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2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2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2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2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2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2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2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2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2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2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2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2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2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2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2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2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2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2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2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2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2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2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2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2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2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2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2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2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2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2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2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2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2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2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2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2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2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2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2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2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2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2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2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2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2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2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2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2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2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2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2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2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2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2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2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2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2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2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2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2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2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2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2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2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2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2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2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2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2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2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2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2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2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2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2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2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2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2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2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2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2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2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2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2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2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2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2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2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2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2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2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2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2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2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2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2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2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2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2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2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2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2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2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2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2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2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2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2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2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2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2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2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2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2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2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2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2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2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2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2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2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2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2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2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2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2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2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2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2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2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2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2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2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2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2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2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2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2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2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2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2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2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2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2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2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2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2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2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2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2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2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2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2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2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2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2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2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2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2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2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2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2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2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2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2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2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2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2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2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2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2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2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2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2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2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2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2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2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2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2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2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2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2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2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2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2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2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2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2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2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2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2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2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2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2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2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2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2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2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2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2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2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2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2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2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2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2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2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2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2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2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2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2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2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2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2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2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2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2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2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2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2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2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2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2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2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2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2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2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2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2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2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2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2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2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2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2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2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2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2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2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2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2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2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2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2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2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2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2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2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2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2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2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2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2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2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2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2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2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2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2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2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2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2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2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2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2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2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2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2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2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2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2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2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2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2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2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2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2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2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2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2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2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2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2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2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2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2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2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2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2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2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2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2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2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2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2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2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2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2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2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2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2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2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2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2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2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2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2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2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2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2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2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2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2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2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2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2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2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2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2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2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2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2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2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2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2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2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2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2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2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2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2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/>
    </sheetView>
  </sheetViews>
  <sheetFormatPr defaultRowHeight="8.4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199999999999999" x14ac:dyDescent="0.2">
      <c r="A1" s="74" t="s">
        <v>11</v>
      </c>
      <c r="B1" s="83"/>
    </row>
    <row r="2" spans="1:39" ht="10.199999999999999" x14ac:dyDescent="0.2">
      <c r="A2" s="74" t="s">
        <v>28</v>
      </c>
      <c r="B2" s="83"/>
    </row>
    <row r="3" spans="1:39" ht="10.199999999999999" x14ac:dyDescent="0.2">
      <c r="A3" s="74" t="str">
        <f>'SPEC REPORT'!A3</f>
        <v>As of December 21, 2001</v>
      </c>
      <c r="B3" s="83"/>
    </row>
    <row r="4" spans="1:39" ht="10.199999999999999" x14ac:dyDescent="0.2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-66699</v>
      </c>
      <c r="K9" s="54">
        <f t="shared" si="0"/>
        <v>-56036</v>
      </c>
      <c r="L9" s="54">
        <f t="shared" si="0"/>
        <v>-60559</v>
      </c>
      <c r="M9" s="54">
        <f t="shared" si="0"/>
        <v>-145093</v>
      </c>
      <c r="N9" s="54">
        <f t="shared" si="0"/>
        <v>-145051</v>
      </c>
      <c r="O9" s="54">
        <f t="shared" si="0"/>
        <v>-139154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-612592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-26775</v>
      </c>
      <c r="L10" s="56">
        <v>-67174</v>
      </c>
      <c r="M10" s="56">
        <v>-71104</v>
      </c>
      <c r="N10" s="56">
        <v>-69538</v>
      </c>
      <c r="O10" s="56">
        <v>-42991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-277582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-66699</v>
      </c>
      <c r="K11" s="57">
        <f>'SPEC DETAILS'!D16+'SPEC DETAILS'!D44</f>
        <v>-82811</v>
      </c>
      <c r="L11" s="57">
        <f>'SPEC DETAILS'!E16+'SPEC DETAILS'!E44</f>
        <v>-127733</v>
      </c>
      <c r="M11" s="57">
        <f>'SPEC DETAILS'!F16+'SPEC DETAILS'!F44</f>
        <v>-216197</v>
      </c>
      <c r="N11" s="57">
        <f>'SPEC DETAILS'!G16+'SPEC DETAILS'!G44</f>
        <v>-214589</v>
      </c>
      <c r="O11" s="57">
        <f>'SPEC DETAILS'!H16+'SPEC DETAILS'!H44</f>
        <v>-182145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-890174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9.0972000000000008</v>
      </c>
      <c r="N20" s="52">
        <f>'SPEC DETAILS'!G65</f>
        <v>3.7633999999999999</v>
      </c>
      <c r="O20" s="52">
        <f>'SPEC DETAILS'!H65</f>
        <v>2.7778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214121</v>
      </c>
      <c r="K22" s="54">
        <f t="shared" si="2"/>
        <v>401721</v>
      </c>
      <c r="L22" s="54">
        <f t="shared" si="2"/>
        <v>475692</v>
      </c>
      <c r="M22" s="54">
        <f t="shared" si="2"/>
        <v>76024</v>
      </c>
      <c r="N22" s="54">
        <f t="shared" si="2"/>
        <v>44049</v>
      </c>
      <c r="O22" s="54">
        <f t="shared" si="2"/>
        <v>137890</v>
      </c>
      <c r="P22" s="54">
        <f t="shared" si="2"/>
        <v>527256</v>
      </c>
      <c r="Q22" s="54">
        <f t="shared" si="2"/>
        <v>546274</v>
      </c>
      <c r="R22" s="54">
        <f>R24-R23</f>
        <v>484429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2907456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31461</v>
      </c>
      <c r="L23" s="56">
        <v>72237</v>
      </c>
      <c r="M23" s="56">
        <v>6969</v>
      </c>
      <c r="N23" s="56">
        <v>110055</v>
      </c>
      <c r="O23" s="56">
        <v>74615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295337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214121</v>
      </c>
      <c r="K24" s="57">
        <f>'SPEC DETAILS'!D72</f>
        <v>433182</v>
      </c>
      <c r="L24" s="57">
        <f>'SPEC DETAILS'!E72</f>
        <v>547929</v>
      </c>
      <c r="M24" s="57">
        <f>'SPEC DETAILS'!F72</f>
        <v>82993</v>
      </c>
      <c r="N24" s="57">
        <f>'SPEC DETAILS'!G72</f>
        <v>154104</v>
      </c>
      <c r="O24" s="57">
        <f>'SPEC DETAILS'!H72</f>
        <v>212505</v>
      </c>
      <c r="P24" s="57">
        <f>'SPEC DETAILS'!I72</f>
        <v>527256</v>
      </c>
      <c r="Q24" s="57">
        <f>'SPEC DETAILS'!J72</f>
        <v>546274</v>
      </c>
      <c r="R24" s="57">
        <f>'SPEC DETAILS'!K72</f>
        <v>484429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3202793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36.855899999999998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32.9529</v>
      </c>
      <c r="N27" s="92">
        <f>'SPEC DETAILS'!G84</f>
        <v>32.659999999999997</v>
      </c>
      <c r="O27" s="92">
        <f>'SPEC DETAILS'!H84</f>
        <v>34.236400000000003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37.475000000000001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121346</v>
      </c>
      <c r="K48" s="54">
        <f t="shared" si="6"/>
        <v>120966</v>
      </c>
      <c r="L48" s="54">
        <f t="shared" si="6"/>
        <v>127113</v>
      </c>
      <c r="M48" s="54">
        <f t="shared" si="6"/>
        <v>189507</v>
      </c>
      <c r="N48" s="54">
        <f t="shared" si="6"/>
        <v>189453</v>
      </c>
      <c r="O48" s="54">
        <f t="shared" si="6"/>
        <v>181749</v>
      </c>
      <c r="P48" s="54">
        <f t="shared" si="6"/>
        <v>-187881</v>
      </c>
      <c r="Q48" s="54">
        <f t="shared" si="6"/>
        <v>-194655</v>
      </c>
      <c r="R48" s="54">
        <f t="shared" si="6"/>
        <v>-172622</v>
      </c>
      <c r="S48" s="54">
        <f t="shared" si="6"/>
        <v>194800</v>
      </c>
      <c r="T48" s="54">
        <f t="shared" si="6"/>
        <v>179926</v>
      </c>
      <c r="U48" s="54">
        <f t="shared" si="6"/>
        <v>177366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927068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71413</v>
      </c>
      <c r="N49" s="56">
        <v>50788</v>
      </c>
      <c r="O49" s="56">
        <v>-79756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42445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121346</v>
      </c>
      <c r="K50" s="57">
        <f>'SPEC DETAILS'!D184</f>
        <v>120966</v>
      </c>
      <c r="L50" s="57">
        <f>'SPEC DETAILS'!E184</f>
        <v>127113</v>
      </c>
      <c r="M50" s="57">
        <f>'SPEC DETAILS'!F184</f>
        <v>260920</v>
      </c>
      <c r="N50" s="57">
        <f>'SPEC DETAILS'!G184</f>
        <v>240241</v>
      </c>
      <c r="O50" s="57">
        <f>'SPEC DETAILS'!H184</f>
        <v>101993</v>
      </c>
      <c r="P50" s="57">
        <f>'SPEC DETAILS'!I184</f>
        <v>-187881</v>
      </c>
      <c r="Q50" s="57">
        <f>'SPEC DETAILS'!J184</f>
        <v>-194655</v>
      </c>
      <c r="R50" s="57">
        <f>'SPEC DETAILS'!K184</f>
        <v>-172622</v>
      </c>
      <c r="S50" s="57">
        <f>'SPEC DETAILS'!L184</f>
        <v>194800</v>
      </c>
      <c r="T50" s="57">
        <f>'SPEC DETAILS'!M184</f>
        <v>179926</v>
      </c>
      <c r="U50" s="57">
        <f>'SPEC DETAILS'!N184</f>
        <v>177366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969513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7.8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8.4" thickBot="1" x14ac:dyDescent="0.2">
      <c r="A4" s="169" t="s">
        <v>159</v>
      </c>
      <c r="C4" s="247">
        <f>SUM(C7:C14)</f>
        <v>-3637928</v>
      </c>
    </row>
    <row r="5" spans="1:3" ht="8.4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8.4" thickBot="1" x14ac:dyDescent="0.2">
      <c r="A42" s="10" t="s">
        <v>218</v>
      </c>
      <c r="C42" s="247">
        <v>47572</v>
      </c>
      <c r="Z42" s="248"/>
    </row>
    <row r="43" spans="1:26" ht="8.4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>
      <selection activeCell="A20" sqref="A20"/>
    </sheetView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155</v>
      </c>
    </row>
    <row r="3" spans="1:15" x14ac:dyDescent="0.2">
      <c r="A3" s="185" t="str">
        <f>'POWER SUM'!A3</f>
        <v>As of December 21,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36</v>
      </c>
      <c r="D9" s="27">
        <v>-14</v>
      </c>
      <c r="E9" s="27">
        <v>-14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36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22</v>
      </c>
      <c r="G14" s="29">
        <v>22</v>
      </c>
      <c r="H14" s="29">
        <v>18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5200-21000-15600-7800</f>
        <v>-39200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-13729</v>
      </c>
      <c r="G19" s="27">
        <v>-19966</v>
      </c>
      <c r="H19" s="27">
        <v>-8857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172</v>
      </c>
      <c r="C20" s="27">
        <v>0</v>
      </c>
      <c r="D20" s="27">
        <v>0</v>
      </c>
      <c r="E20" s="27">
        <v>0</v>
      </c>
      <c r="F20" s="27">
        <f>37510+9171</f>
        <v>46681</v>
      </c>
      <c r="G20" s="27">
        <f>41105+12774</f>
        <v>53879</v>
      </c>
      <c r="H20" s="27">
        <f>28068+889</f>
        <v>28957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 t="shared" ref="C21:N21" si="1">SUM(C18:C20)</f>
        <v>-39200</v>
      </c>
      <c r="D21" s="69">
        <f t="shared" si="1"/>
        <v>4800</v>
      </c>
      <c r="E21" s="69">
        <f t="shared" si="1"/>
        <v>5200</v>
      </c>
      <c r="F21" s="69">
        <f t="shared" si="1"/>
        <v>102632</v>
      </c>
      <c r="G21" s="69">
        <f t="shared" si="1"/>
        <v>103593</v>
      </c>
      <c r="H21" s="69">
        <f t="shared" si="1"/>
        <v>87100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177160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-42552</v>
      </c>
    </row>
    <row r="38" spans="1:15" x14ac:dyDescent="0.2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129517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264125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5" t="s">
        <v>11</v>
      </c>
    </row>
    <row r="2" spans="1:15" x14ac:dyDescent="0.2">
      <c r="A2" s="185" t="s">
        <v>12</v>
      </c>
    </row>
    <row r="3" spans="1:15" x14ac:dyDescent="0.2">
      <c r="A3" s="185" t="str">
        <f>'POWER SUM'!A3</f>
        <v>As of December 21, 2001</v>
      </c>
    </row>
    <row r="4" spans="1:15" x14ac:dyDescent="0.2">
      <c r="A4" s="185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2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49"/>
  <sheetViews>
    <sheetView zoomScale="85" workbookViewId="0">
      <pivotSelection pane="bottomRight" extendable="1" activeRow="7" activeCol="3" previousRow="7" previousCol="5" click="1" r:id="rId2">
        <pivotArea outline="0" fieldPosition="0">
          <references count="2">
            <reference field="9" count="3" selected="0">
              <x v="3"/>
              <x v="4"/>
              <x v="5"/>
            </reference>
            <reference field="11" count="1" selected="0">
              <x v="2"/>
            </reference>
          </references>
        </pivotArea>
      </pivotSelection>
    </sheetView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0.199999999999999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-26775</v>
      </c>
      <c r="C6" s="221">
        <v>-67174</v>
      </c>
      <c r="D6" s="221">
        <v>-71104</v>
      </c>
      <c r="E6" s="221">
        <v>-69538</v>
      </c>
      <c r="F6" s="221">
        <v>-42991</v>
      </c>
      <c r="G6" s="221"/>
      <c r="H6" s="222">
        <v>-277582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31461</v>
      </c>
      <c r="C7" s="177">
        <v>72237</v>
      </c>
      <c r="D7" s="177">
        <v>6969</v>
      </c>
      <c r="E7" s="177">
        <v>110055</v>
      </c>
      <c r="F7" s="177">
        <v>74615</v>
      </c>
      <c r="G7" s="177"/>
      <c r="H7" s="224">
        <v>295337</v>
      </c>
      <c r="I7"/>
      <c r="J7" s="192"/>
      <c r="K7" s="4" t="s">
        <v>8</v>
      </c>
      <c r="L7" s="217">
        <v>-9600</v>
      </c>
      <c r="M7" s="176">
        <v>-10400</v>
      </c>
      <c r="N7" s="176">
        <v>6550</v>
      </c>
      <c r="O7" s="176">
        <v>2800</v>
      </c>
      <c r="P7" s="176">
        <v>2000</v>
      </c>
      <c r="Q7" s="176"/>
      <c r="R7" s="218">
        <v>-8650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71413</v>
      </c>
      <c r="E8" s="177">
        <v>50788</v>
      </c>
      <c r="F8" s="177">
        <v>-79756</v>
      </c>
      <c r="G8" s="177"/>
      <c r="H8" s="224">
        <v>42445</v>
      </c>
      <c r="I8"/>
      <c r="J8" s="192"/>
      <c r="K8" s="4" t="s">
        <v>10</v>
      </c>
      <c r="L8" s="217"/>
      <c r="M8" s="176"/>
      <c r="N8" s="176">
        <v>-20800</v>
      </c>
      <c r="O8" s="176">
        <v>-20800</v>
      </c>
      <c r="P8" s="176">
        <v>-20000</v>
      </c>
      <c r="Q8" s="176"/>
      <c r="R8" s="218">
        <v>-61600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4686</v>
      </c>
      <c r="C10" s="226">
        <v>5063</v>
      </c>
      <c r="D10" s="226">
        <v>7278</v>
      </c>
      <c r="E10" s="226">
        <v>91305</v>
      </c>
      <c r="F10" s="226">
        <v>-48132</v>
      </c>
      <c r="G10" s="226"/>
      <c r="H10" s="227">
        <v>60200</v>
      </c>
      <c r="I10"/>
      <c r="J10" s="192"/>
      <c r="K10" s="5" t="s">
        <v>83</v>
      </c>
      <c r="L10" s="199">
        <v>0</v>
      </c>
      <c r="M10" s="219">
        <v>0</v>
      </c>
      <c r="N10" s="219">
        <v>-3850</v>
      </c>
      <c r="O10" s="219">
        <v>-7600</v>
      </c>
      <c r="P10" s="219">
        <v>-8000</v>
      </c>
      <c r="Q10" s="219"/>
      <c r="R10" s="200">
        <v>-19450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7.8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37246</v>
      </c>
      <c r="Z15" s="228">
        <v>20.350000000000001</v>
      </c>
      <c r="AA15" s="228">
        <v>-71760</v>
      </c>
      <c r="AB15" s="228">
        <v>-71104</v>
      </c>
    </row>
    <row r="16" spans="1:56" s="228" customFormat="1" ht="7.8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37246</v>
      </c>
      <c r="Z16" s="228">
        <v>20.5</v>
      </c>
      <c r="AA16" s="228">
        <v>-70200</v>
      </c>
      <c r="AB16" s="228">
        <v>-69538</v>
      </c>
    </row>
    <row r="17" spans="1:28" s="228" customFormat="1" ht="7.8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37246</v>
      </c>
      <c r="Z17" s="228">
        <v>22.9</v>
      </c>
      <c r="AA17" s="228">
        <v>-43500</v>
      </c>
      <c r="AB17" s="228">
        <v>-42991</v>
      </c>
    </row>
    <row r="18" spans="1:28" s="21" customFormat="1" ht="7.8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37246</v>
      </c>
      <c r="Z18" s="21">
        <v>18.350000000000001</v>
      </c>
      <c r="AA18" s="21">
        <v>69056</v>
      </c>
      <c r="AB18" s="21">
        <v>68424</v>
      </c>
    </row>
    <row r="19" spans="1:28" s="21" customFormat="1" ht="7.8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37246</v>
      </c>
      <c r="Z19" s="21">
        <v>18</v>
      </c>
      <c r="AA19" s="21">
        <v>72696</v>
      </c>
      <c r="AB19" s="21">
        <v>72010</v>
      </c>
    </row>
    <row r="20" spans="1:28" s="21" customFormat="1" ht="7.8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37246</v>
      </c>
      <c r="Z20" s="21">
        <v>19.149999999999999</v>
      </c>
      <c r="AA20" s="21">
        <v>58400</v>
      </c>
      <c r="AB20" s="21">
        <v>57717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185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9600</v>
      </c>
      <c r="U21" s="228">
        <v>28</v>
      </c>
      <c r="V21" s="228" t="s">
        <v>180</v>
      </c>
      <c r="W21" s="228">
        <v>0</v>
      </c>
      <c r="X21" s="13">
        <v>268800</v>
      </c>
      <c r="Y21" s="230">
        <v>37246</v>
      </c>
      <c r="Z21" s="228">
        <v>25.2</v>
      </c>
      <c r="AA21" s="14">
        <v>-26880</v>
      </c>
      <c r="AB21" s="14">
        <v>-26775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186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10400</v>
      </c>
      <c r="U22" s="228">
        <v>28</v>
      </c>
      <c r="V22" s="228" t="s">
        <v>180</v>
      </c>
      <c r="W22" s="228">
        <v>0</v>
      </c>
      <c r="X22" s="228">
        <v>291200</v>
      </c>
      <c r="Y22" s="230">
        <v>37246</v>
      </c>
      <c r="Z22" s="228">
        <v>21.5</v>
      </c>
      <c r="AA22" s="228">
        <v>-67600</v>
      </c>
      <c r="AB22" s="228">
        <v>-67174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37246</v>
      </c>
      <c r="Z23" s="21">
        <v>23.2</v>
      </c>
      <c r="AA23" s="11">
        <v>31584</v>
      </c>
      <c r="AB23" s="11">
        <v>31461</v>
      </c>
    </row>
    <row r="24" spans="1:28" s="21" customFormat="1" ht="7.8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37246</v>
      </c>
      <c r="Z24" s="21">
        <v>19.5</v>
      </c>
      <c r="AA24" s="11">
        <v>72696</v>
      </c>
      <c r="AB24" s="11">
        <v>72237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37246</v>
      </c>
      <c r="Z25" s="228">
        <v>25.75</v>
      </c>
      <c r="AA25" s="14">
        <v>38896</v>
      </c>
      <c r="AB25" s="14">
        <v>38540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37246</v>
      </c>
      <c r="Z26" s="228">
        <v>26.75</v>
      </c>
      <c r="AA26" s="14">
        <v>28496</v>
      </c>
      <c r="AB26" s="14">
        <v>28227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37246</v>
      </c>
      <c r="Z27" s="228">
        <v>33.25</v>
      </c>
      <c r="AA27" s="228">
        <v>-37600</v>
      </c>
      <c r="AB27" s="228">
        <v>-37160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37246</v>
      </c>
      <c r="Z28" s="21">
        <v>18.350000000000001</v>
      </c>
      <c r="AA28" s="11">
        <v>-6864</v>
      </c>
      <c r="AB28" s="11">
        <v>-6801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37246</v>
      </c>
      <c r="Z29" s="21">
        <v>18</v>
      </c>
      <c r="AA29" s="11">
        <v>-10504</v>
      </c>
      <c r="AB29" s="11">
        <v>-10405</v>
      </c>
    </row>
    <row r="30" spans="1:28" s="21" customFormat="1" ht="7.8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37246</v>
      </c>
      <c r="Z30" s="21">
        <v>19.149999999999999</v>
      </c>
      <c r="AA30" s="11">
        <v>1400</v>
      </c>
      <c r="AB30" s="11">
        <v>1384</v>
      </c>
    </row>
    <row r="31" spans="1:28" s="228" customFormat="1" ht="9.75" customHeight="1" x14ac:dyDescent="0.15">
      <c r="A31" s="228" t="s">
        <v>260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261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37246</v>
      </c>
      <c r="Z31" s="228">
        <v>25.75</v>
      </c>
      <c r="AA31" s="14">
        <v>33176</v>
      </c>
      <c r="AB31" s="14">
        <v>32873</v>
      </c>
    </row>
    <row r="32" spans="1:28" s="228" customFormat="1" ht="9.75" customHeight="1" x14ac:dyDescent="0.15">
      <c r="A32" s="228" t="s">
        <v>260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261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37246</v>
      </c>
      <c r="Z32" s="228">
        <v>26.75</v>
      </c>
      <c r="AA32" s="14">
        <v>22776</v>
      </c>
      <c r="AB32" s="14">
        <v>22561</v>
      </c>
    </row>
    <row r="33" spans="1:28" s="228" customFormat="1" ht="9.75" customHeight="1" x14ac:dyDescent="0.15">
      <c r="A33" s="228" t="s">
        <v>260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261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37246</v>
      </c>
      <c r="Z33" s="228">
        <v>33.25</v>
      </c>
      <c r="AA33" s="228">
        <v>-43100</v>
      </c>
      <c r="AB33" s="228">
        <v>-42596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262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37246</v>
      </c>
      <c r="Z34" s="21">
        <v>18.350000000000001</v>
      </c>
      <c r="AA34" s="11">
        <v>-3640</v>
      </c>
      <c r="AB34" s="11">
        <v>-3607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262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37246</v>
      </c>
      <c r="Z35" s="21">
        <v>18</v>
      </c>
      <c r="AA35" s="11">
        <v>-7280</v>
      </c>
      <c r="AB35" s="11">
        <v>-7211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262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37246</v>
      </c>
      <c r="Z36" s="21">
        <v>19.149999999999999</v>
      </c>
      <c r="AA36" s="11">
        <v>4500</v>
      </c>
      <c r="AB36" s="11">
        <v>4447</v>
      </c>
    </row>
    <row r="37" spans="1:28" s="228" customFormat="1" ht="9.75" customHeight="1" x14ac:dyDescent="0.15">
      <c r="A37" s="228" t="s">
        <v>209</v>
      </c>
      <c r="B37" s="228" t="s">
        <v>173</v>
      </c>
      <c r="C37" s="228" t="s">
        <v>184</v>
      </c>
      <c r="D37" s="229">
        <v>37347</v>
      </c>
      <c r="E37" s="229">
        <v>37437</v>
      </c>
      <c r="F37" s="229" t="s">
        <v>263</v>
      </c>
      <c r="G37" s="228">
        <v>9361</v>
      </c>
      <c r="H37" s="228" t="s">
        <v>174</v>
      </c>
      <c r="I37" s="229">
        <v>37244</v>
      </c>
      <c r="J37" s="229" t="s">
        <v>175</v>
      </c>
      <c r="K37" s="228" t="s">
        <v>176</v>
      </c>
      <c r="L37" s="228" t="s">
        <v>8</v>
      </c>
      <c r="M37" s="228" t="b">
        <v>0</v>
      </c>
      <c r="N37" s="228">
        <v>100</v>
      </c>
      <c r="O37" s="228" t="s">
        <v>177</v>
      </c>
      <c r="P37" s="228" t="s">
        <v>178</v>
      </c>
      <c r="Q37" s="228" t="s">
        <v>74</v>
      </c>
      <c r="R37" s="228" t="s">
        <v>179</v>
      </c>
      <c r="S37" s="228" t="b">
        <v>0</v>
      </c>
      <c r="T37" s="228">
        <v>41600</v>
      </c>
      <c r="U37" s="228">
        <v>17</v>
      </c>
      <c r="V37" s="228" t="s">
        <v>180</v>
      </c>
      <c r="W37" s="228">
        <v>0</v>
      </c>
      <c r="X37" s="13">
        <v>707200</v>
      </c>
      <c r="Y37" s="230">
        <v>37246</v>
      </c>
      <c r="Z37" s="228">
        <v>18.350000000000001</v>
      </c>
      <c r="AA37" s="14">
        <v>55744</v>
      </c>
      <c r="AB37" s="14">
        <v>55234</v>
      </c>
    </row>
    <row r="38" spans="1:28" s="228" customFormat="1" ht="9.75" customHeight="1" x14ac:dyDescent="0.15">
      <c r="A38" s="228" t="s">
        <v>209</v>
      </c>
      <c r="B38" s="228" t="s">
        <v>173</v>
      </c>
      <c r="C38" s="228" t="s">
        <v>184</v>
      </c>
      <c r="D38" s="229">
        <v>37347</v>
      </c>
      <c r="E38" s="229">
        <v>37437</v>
      </c>
      <c r="F38" s="229" t="s">
        <v>263</v>
      </c>
      <c r="G38" s="228">
        <v>9361</v>
      </c>
      <c r="H38" s="228" t="s">
        <v>174</v>
      </c>
      <c r="I38" s="229">
        <v>37244</v>
      </c>
      <c r="J38" s="229" t="s">
        <v>181</v>
      </c>
      <c r="K38" s="228" t="s">
        <v>176</v>
      </c>
      <c r="L38" s="228" t="s">
        <v>8</v>
      </c>
      <c r="M38" s="228" t="b">
        <v>0</v>
      </c>
      <c r="N38" s="228">
        <v>100</v>
      </c>
      <c r="O38" s="228" t="s">
        <v>177</v>
      </c>
      <c r="P38" s="228" t="s">
        <v>178</v>
      </c>
      <c r="Q38" s="228" t="s">
        <v>74</v>
      </c>
      <c r="R38" s="228" t="s">
        <v>179</v>
      </c>
      <c r="S38" s="228" t="b">
        <v>0</v>
      </c>
      <c r="T38" s="12">
        <v>40000</v>
      </c>
      <c r="U38" s="228">
        <v>17</v>
      </c>
      <c r="V38" s="228" t="s">
        <v>180</v>
      </c>
      <c r="W38" s="228">
        <v>0</v>
      </c>
      <c r="X38" s="13">
        <v>680000</v>
      </c>
      <c r="Y38" s="230">
        <v>37246</v>
      </c>
      <c r="Z38" s="228">
        <v>18</v>
      </c>
      <c r="AA38" s="14">
        <v>41184</v>
      </c>
      <c r="AB38" s="14">
        <v>40796</v>
      </c>
    </row>
    <row r="39" spans="1:28" s="228" customFormat="1" ht="9.75" customHeight="1" x14ac:dyDescent="0.15">
      <c r="A39" s="228" t="s">
        <v>209</v>
      </c>
      <c r="B39" s="228" t="s">
        <v>173</v>
      </c>
      <c r="C39" s="228" t="s">
        <v>184</v>
      </c>
      <c r="D39" s="229">
        <v>37347</v>
      </c>
      <c r="E39" s="229">
        <v>37437</v>
      </c>
      <c r="F39" s="228" t="s">
        <v>263</v>
      </c>
      <c r="G39" s="228">
        <v>9361</v>
      </c>
      <c r="H39" s="228" t="s">
        <v>174</v>
      </c>
      <c r="I39" s="229">
        <v>37244</v>
      </c>
      <c r="J39" s="228" t="s">
        <v>182</v>
      </c>
      <c r="K39" s="228" t="s">
        <v>176</v>
      </c>
      <c r="L39" s="228" t="s">
        <v>8</v>
      </c>
      <c r="M39" s="228" t="b">
        <v>0</v>
      </c>
      <c r="N39" s="228">
        <v>100</v>
      </c>
      <c r="O39" s="228" t="s">
        <v>177</v>
      </c>
      <c r="P39" s="228" t="s">
        <v>178</v>
      </c>
      <c r="Q39" s="228" t="s">
        <v>74</v>
      </c>
      <c r="R39" s="228" t="s">
        <v>179</v>
      </c>
      <c r="S39" s="228" t="b">
        <v>0</v>
      </c>
      <c r="T39" s="228">
        <v>41600</v>
      </c>
      <c r="U39" s="228">
        <v>17</v>
      </c>
      <c r="V39" s="228" t="s">
        <v>180</v>
      </c>
      <c r="W39" s="228">
        <v>0</v>
      </c>
      <c r="X39" s="228">
        <v>707200</v>
      </c>
      <c r="Y39" s="230">
        <v>37246</v>
      </c>
      <c r="Z39" s="228">
        <v>19.149999999999999</v>
      </c>
      <c r="AA39" s="228">
        <v>85600</v>
      </c>
      <c r="AB39" s="228">
        <v>84599</v>
      </c>
    </row>
    <row r="40" spans="1:28" s="21" customFormat="1" ht="9.75" customHeight="1" x14ac:dyDescent="0.15">
      <c r="A40" s="21" t="s">
        <v>209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264</v>
      </c>
      <c r="G40" s="21">
        <v>9362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-150</v>
      </c>
      <c r="O40" s="21" t="s">
        <v>265</v>
      </c>
      <c r="P40" s="21" t="s">
        <v>266</v>
      </c>
      <c r="Q40" s="21" t="s">
        <v>74</v>
      </c>
      <c r="R40" s="21" t="s">
        <v>179</v>
      </c>
      <c r="S40" s="21" t="b">
        <v>0</v>
      </c>
      <c r="T40" s="24">
        <v>-45450</v>
      </c>
      <c r="U40" s="21">
        <v>11.4</v>
      </c>
      <c r="V40" s="21" t="s">
        <v>180</v>
      </c>
      <c r="W40" s="21">
        <v>0</v>
      </c>
      <c r="X40" s="25">
        <v>-518130</v>
      </c>
      <c r="Y40" s="23">
        <v>37246</v>
      </c>
      <c r="Z40" s="21">
        <v>13.75</v>
      </c>
      <c r="AA40" s="11">
        <v>-107262</v>
      </c>
      <c r="AB40" s="11">
        <v>-106281</v>
      </c>
    </row>
    <row r="41" spans="1:28" s="21" customFormat="1" ht="9.75" customHeight="1" x14ac:dyDescent="0.15">
      <c r="A41" s="21" t="s">
        <v>209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264</v>
      </c>
      <c r="G41" s="21">
        <v>9362</v>
      </c>
      <c r="H41" s="21" t="s">
        <v>174</v>
      </c>
      <c r="I41" s="22">
        <v>37244</v>
      </c>
      <c r="J41" s="22" t="s">
        <v>181</v>
      </c>
      <c r="K41" s="21" t="s">
        <v>183</v>
      </c>
      <c r="L41" s="21" t="s">
        <v>8</v>
      </c>
      <c r="M41" s="21" t="b">
        <v>0</v>
      </c>
      <c r="N41" s="21">
        <v>-150</v>
      </c>
      <c r="O41" s="21" t="s">
        <v>265</v>
      </c>
      <c r="P41" s="21" t="s">
        <v>266</v>
      </c>
      <c r="Q41" s="21" t="s">
        <v>74</v>
      </c>
      <c r="R41" s="21" t="s">
        <v>179</v>
      </c>
      <c r="S41" s="21" t="b">
        <v>0</v>
      </c>
      <c r="T41" s="24">
        <v>-48000</v>
      </c>
      <c r="U41" s="21">
        <v>11.4</v>
      </c>
      <c r="V41" s="21" t="s">
        <v>180</v>
      </c>
      <c r="W41" s="21">
        <v>0</v>
      </c>
      <c r="X41" s="25">
        <v>-547200</v>
      </c>
      <c r="Y41" s="23">
        <v>37246</v>
      </c>
      <c r="Z41" s="21">
        <v>12</v>
      </c>
      <c r="AA41" s="11">
        <v>-30012</v>
      </c>
      <c r="AB41" s="11">
        <v>-29729</v>
      </c>
    </row>
    <row r="42" spans="1:28" s="21" customFormat="1" ht="9.75" customHeight="1" x14ac:dyDescent="0.15">
      <c r="A42" s="21" t="s">
        <v>209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264</v>
      </c>
      <c r="G42" s="21">
        <v>9362</v>
      </c>
      <c r="H42" s="21" t="s">
        <v>174</v>
      </c>
      <c r="I42" s="22">
        <v>37244</v>
      </c>
      <c r="J42" s="22" t="s">
        <v>182</v>
      </c>
      <c r="K42" s="21" t="s">
        <v>183</v>
      </c>
      <c r="L42" s="21" t="s">
        <v>8</v>
      </c>
      <c r="M42" s="21" t="b">
        <v>0</v>
      </c>
      <c r="N42" s="21">
        <v>-150</v>
      </c>
      <c r="O42" s="21" t="s">
        <v>265</v>
      </c>
      <c r="P42" s="21" t="s">
        <v>266</v>
      </c>
      <c r="Q42" s="21" t="s">
        <v>74</v>
      </c>
      <c r="R42" s="21" t="s">
        <v>179</v>
      </c>
      <c r="S42" s="21" t="b">
        <v>0</v>
      </c>
      <c r="T42" s="24">
        <v>-49200</v>
      </c>
      <c r="U42" s="21">
        <v>11.4</v>
      </c>
      <c r="V42" s="21" t="s">
        <v>180</v>
      </c>
      <c r="W42" s="21">
        <v>0</v>
      </c>
      <c r="X42" s="25">
        <v>-560880</v>
      </c>
      <c r="Y42" s="23">
        <v>37246</v>
      </c>
      <c r="Z42" s="21">
        <v>12</v>
      </c>
      <c r="AA42" s="11">
        <v>-29280</v>
      </c>
      <c r="AB42" s="11">
        <v>-28938</v>
      </c>
    </row>
    <row r="43" spans="1:28" ht="9.75" customHeight="1" x14ac:dyDescent="0.15">
      <c r="A43" s="180"/>
      <c r="B43" s="180"/>
      <c r="C43" s="180"/>
      <c r="D43" s="182"/>
      <c r="E43" s="182"/>
      <c r="F43" s="182"/>
      <c r="G43" s="180"/>
      <c r="H43" s="180"/>
      <c r="I43" s="182"/>
      <c r="J43" s="182"/>
      <c r="K43" s="180"/>
      <c r="L43" s="180"/>
      <c r="M43" s="180"/>
      <c r="N43" s="180"/>
      <c r="O43" s="180"/>
      <c r="P43" s="180"/>
      <c r="Q43" s="180"/>
      <c r="R43" s="180"/>
      <c r="S43" s="180"/>
      <c r="T43" s="209"/>
      <c r="U43" s="180"/>
      <c r="V43" s="180"/>
      <c r="W43" s="180"/>
      <c r="X43" s="183"/>
      <c r="Y43" s="208"/>
      <c r="Z43" s="180"/>
      <c r="AA43" s="210"/>
      <c r="AB43" s="210"/>
    </row>
    <row r="44" spans="1:28" ht="9.75" customHeight="1" x14ac:dyDescent="0.15">
      <c r="A44" s="180"/>
      <c r="B44" s="180"/>
      <c r="C44" s="180"/>
      <c r="D44" s="182"/>
      <c r="E44" s="182"/>
      <c r="F44" s="182"/>
      <c r="G44" s="180"/>
      <c r="H44" s="180"/>
      <c r="I44" s="182"/>
      <c r="J44" s="182"/>
      <c r="K44" s="180"/>
      <c r="L44" s="180"/>
      <c r="M44" s="180"/>
      <c r="N44" s="180"/>
      <c r="O44" s="180"/>
      <c r="P44" s="180"/>
      <c r="Q44" s="180"/>
      <c r="R44" s="180"/>
      <c r="S44" s="180"/>
      <c r="T44" s="209"/>
      <c r="U44" s="180"/>
      <c r="V44" s="180"/>
      <c r="W44" s="180"/>
      <c r="X44" s="183"/>
      <c r="Y44" s="208"/>
      <c r="Z44" s="180"/>
      <c r="AA44" s="210"/>
      <c r="AB44" s="210"/>
    </row>
    <row r="45" spans="1:28" ht="9.75" customHeight="1" x14ac:dyDescent="0.15">
      <c r="A45" s="180"/>
      <c r="B45" s="180"/>
      <c r="C45" s="180"/>
      <c r="D45" s="182"/>
      <c r="E45" s="182"/>
      <c r="F45" s="182"/>
      <c r="G45" s="180"/>
      <c r="H45" s="180"/>
      <c r="I45" s="182"/>
      <c r="J45" s="182"/>
      <c r="K45" s="180"/>
      <c r="L45" s="180"/>
      <c r="M45" s="180"/>
      <c r="N45" s="180"/>
      <c r="O45" s="180"/>
      <c r="P45" s="180"/>
      <c r="Q45" s="180"/>
      <c r="R45" s="180"/>
      <c r="S45" s="180"/>
      <c r="T45" s="209"/>
      <c r="U45" s="180"/>
      <c r="V45" s="180"/>
      <c r="W45" s="180"/>
      <c r="X45" s="183"/>
      <c r="Y45" s="208"/>
      <c r="Z45" s="180"/>
      <c r="AA45" s="210"/>
      <c r="AB45" s="210"/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9"/>
      <c r="U46" s="180"/>
      <c r="V46" s="180"/>
      <c r="W46" s="180"/>
      <c r="X46" s="183"/>
      <c r="Y46" s="208"/>
      <c r="Z46" s="180"/>
      <c r="AA46" s="210"/>
      <c r="AB46" s="210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9"/>
      <c r="U47" s="180"/>
      <c r="V47" s="180"/>
      <c r="W47" s="180"/>
      <c r="X47" s="183"/>
      <c r="Y47" s="208"/>
      <c r="Z47" s="180"/>
      <c r="AA47" s="210"/>
      <c r="AB47" s="210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9"/>
      <c r="U48" s="180"/>
      <c r="V48" s="180"/>
      <c r="W48" s="180"/>
      <c r="X48" s="183"/>
      <c r="Y48" s="208"/>
      <c r="Z48" s="180"/>
      <c r="AA48" s="210"/>
      <c r="AB48" s="210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T54" s="176"/>
    </row>
    <row r="55" spans="1:28" ht="9.75" customHeight="1" x14ac:dyDescent="0.15">
      <c r="T55" s="176"/>
    </row>
    <row r="56" spans="1:28" ht="9.75" customHeight="1" x14ac:dyDescent="0.15">
      <c r="T56" s="176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SUM(B134:B65536)</f>
        <v>7352179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SUM(C134:C65536)</f>
        <v>63503</v>
      </c>
      <c r="E2" s="10" t="s">
        <v>163</v>
      </c>
      <c r="F2" s="6">
        <f>SUM(C124:C143)</f>
        <v>506985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8.4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8.4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8.4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8.4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8.4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8.4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8.4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>
        <v>166116</v>
      </c>
      <c r="C138" s="177">
        <v>41918</v>
      </c>
      <c r="E138" s="177"/>
    </row>
    <row r="139" spans="1:5" x14ac:dyDescent="0.15">
      <c r="A139" s="170">
        <v>37249</v>
      </c>
      <c r="B139" s="177"/>
      <c r="C139" s="177"/>
      <c r="E139" s="177"/>
    </row>
    <row r="140" spans="1:5" x14ac:dyDescent="0.15">
      <c r="A140" s="170">
        <v>37251</v>
      </c>
      <c r="B140" s="177"/>
      <c r="C140" s="177"/>
      <c r="E140" s="177"/>
    </row>
    <row r="141" spans="1:5" x14ac:dyDescent="0.15">
      <c r="A141" s="170">
        <v>37252</v>
      </c>
      <c r="B141" s="177"/>
      <c r="C141" s="177"/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8.4" thickBot="1" x14ac:dyDescent="0.2">
      <c r="A143" s="232">
        <v>37256</v>
      </c>
      <c r="B143" s="233"/>
      <c r="C143" s="233"/>
    </row>
    <row r="144" spans="1:5" ht="8.4" thickTop="1" x14ac:dyDescent="0.15">
      <c r="B144" s="177"/>
      <c r="C144" s="177"/>
    </row>
    <row r="145" spans="2:3" x14ac:dyDescent="0.15">
      <c r="B145" s="177"/>
      <c r="C145" s="177"/>
    </row>
    <row r="146" spans="2:3" x14ac:dyDescent="0.15">
      <c r="B146" s="177"/>
      <c r="C146" s="177"/>
    </row>
    <row r="147" spans="2:3" x14ac:dyDescent="0.15">
      <c r="B147" s="177"/>
      <c r="C147" s="177"/>
    </row>
    <row r="148" spans="2:3" x14ac:dyDescent="0.15">
      <c r="B148" s="177"/>
      <c r="C148" s="177"/>
    </row>
    <row r="149" spans="2:3" x14ac:dyDescent="0.15">
      <c r="B149" s="177"/>
      <c r="C149" s="177"/>
    </row>
    <row r="150" spans="2:3" x14ac:dyDescent="0.15">
      <c r="B150" s="177"/>
      <c r="C150" s="177"/>
    </row>
    <row r="151" spans="2:3" x14ac:dyDescent="0.15">
      <c r="B151" s="177"/>
      <c r="C151" s="177"/>
    </row>
    <row r="152" spans="2:3" x14ac:dyDescent="0.15">
      <c r="B152" s="177"/>
      <c r="C152" s="177"/>
    </row>
    <row r="153" spans="2:3" x14ac:dyDescent="0.15">
      <c r="B153" s="177"/>
      <c r="C153" s="177"/>
    </row>
    <row r="154" spans="2:3" x14ac:dyDescent="0.15">
      <c r="B154" s="177"/>
      <c r="C154" s="177"/>
    </row>
    <row r="155" spans="2:3" x14ac:dyDescent="0.15">
      <c r="B155" s="177"/>
      <c r="C155" s="177"/>
    </row>
    <row r="156" spans="2:3" x14ac:dyDescent="0.15">
      <c r="B156" s="177"/>
      <c r="C156" s="177"/>
    </row>
    <row r="157" spans="2:3" x14ac:dyDescent="0.15">
      <c r="B157" s="177"/>
      <c r="C157" s="177"/>
    </row>
    <row r="158" spans="2:3" x14ac:dyDescent="0.15">
      <c r="B158" s="177"/>
      <c r="C158" s="177"/>
    </row>
    <row r="159" spans="2:3" x14ac:dyDescent="0.15">
      <c r="B159" s="177"/>
      <c r="C159" s="177"/>
    </row>
    <row r="160" spans="2:3" x14ac:dyDescent="0.15">
      <c r="B160" s="177"/>
      <c r="C160" s="177"/>
    </row>
    <row r="161" spans="2:3" x14ac:dyDescent="0.15">
      <c r="B161" s="177"/>
      <c r="C161" s="177"/>
    </row>
    <row r="162" spans="2:3" x14ac:dyDescent="0.15">
      <c r="B162" s="177"/>
      <c r="C162" s="177"/>
    </row>
    <row r="163" spans="2:3" x14ac:dyDescent="0.15">
      <c r="B163" s="177"/>
      <c r="C163" s="177"/>
    </row>
    <row r="164" spans="2:3" x14ac:dyDescent="0.15">
      <c r="B164" s="177"/>
      <c r="C164" s="177"/>
    </row>
    <row r="165" spans="2:3" x14ac:dyDescent="0.15">
      <c r="B165" s="177"/>
      <c r="C165" s="177"/>
    </row>
    <row r="166" spans="2:3" x14ac:dyDescent="0.15">
      <c r="B166" s="177"/>
      <c r="C166" s="177"/>
    </row>
    <row r="167" spans="2:3" x14ac:dyDescent="0.15">
      <c r="B167" s="177"/>
      <c r="C167" s="177"/>
    </row>
    <row r="168" spans="2:3" x14ac:dyDescent="0.15">
      <c r="B168" s="177"/>
      <c r="C168" s="177"/>
    </row>
    <row r="169" spans="2:3" x14ac:dyDescent="0.15">
      <c r="B169" s="177"/>
      <c r="C169" s="177"/>
    </row>
    <row r="170" spans="2:3" x14ac:dyDescent="0.15">
      <c r="B170" s="177"/>
      <c r="C170" s="177"/>
    </row>
    <row r="171" spans="2:3" x14ac:dyDescent="0.15">
      <c r="B171" s="177"/>
      <c r="C171" s="177"/>
    </row>
    <row r="172" spans="2:3" x14ac:dyDescent="0.15">
      <c r="B172" s="177"/>
      <c r="C172" s="177"/>
    </row>
    <row r="173" spans="2:3" x14ac:dyDescent="0.15">
      <c r="B173" s="177"/>
      <c r="C173" s="177"/>
    </row>
    <row r="174" spans="2:3" x14ac:dyDescent="0.15">
      <c r="B174" s="177"/>
      <c r="C174" s="177"/>
    </row>
    <row r="175" spans="2:3" x14ac:dyDescent="0.15">
      <c r="B175" s="177"/>
      <c r="C175" s="177"/>
    </row>
    <row r="176" spans="2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>
      <selection activeCell="A2" sqref="A2"/>
    </sheetView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199999999999999" x14ac:dyDescent="0.2">
      <c r="A1" s="107" t="s">
        <v>97</v>
      </c>
      <c r="C1" s="109"/>
      <c r="G1" s="118"/>
    </row>
    <row r="2" spans="1:19" ht="10.199999999999999" x14ac:dyDescent="0.2">
      <c r="A2" s="107" t="str">
        <f>'POWER SUM'!A3</f>
        <v>As of December 21, 2001</v>
      </c>
    </row>
    <row r="3" spans="1:19" x14ac:dyDescent="0.2">
      <c r="N3" s="113"/>
      <c r="O3" s="108"/>
    </row>
    <row r="4" spans="1:19" x14ac:dyDescent="0.2">
      <c r="N4" s="113"/>
      <c r="O4" s="108"/>
    </row>
    <row r="5" spans="1:19" x14ac:dyDescent="0.2">
      <c r="N5" s="113" t="s">
        <v>96</v>
      </c>
      <c r="O5" s="108"/>
    </row>
    <row r="6" spans="1:19" x14ac:dyDescent="0.2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2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2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2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2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2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2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2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2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2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2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2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2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2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2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2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2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2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2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2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2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2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2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2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2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2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2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2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2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2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2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2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2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2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2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2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2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2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2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2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2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2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2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2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2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2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2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2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2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2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2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2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2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2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2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2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2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2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2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2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2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2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2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2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2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2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2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2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2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2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2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2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2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2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2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2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2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2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2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2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2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2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2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2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2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2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2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2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2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2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2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2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2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2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2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2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2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2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2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2">
      <c r="N105" s="152">
        <f>'5-DAY'!A138</f>
        <v>37246</v>
      </c>
      <c r="O105" s="153">
        <f>'5-DAY'!B138/1000</f>
        <v>166.11600000000001</v>
      </c>
      <c r="P105" s="153">
        <f t="shared" si="10"/>
        <v>7352.1790000000001</v>
      </c>
      <c r="Q105" s="153">
        <f>VAR!B101/1000</f>
        <v>2669.2750000000001</v>
      </c>
    </row>
    <row r="106" spans="14:17" x14ac:dyDescent="0.2">
      <c r="N106" s="152">
        <f>'5-DAY'!A139</f>
        <v>37249</v>
      </c>
      <c r="O106" s="153">
        <f>'5-DAY'!B139/1000</f>
        <v>0</v>
      </c>
      <c r="P106" s="153">
        <f t="shared" si="10"/>
        <v>5216.8670000000002</v>
      </c>
      <c r="Q106" s="153">
        <f>VAR!B102/1000</f>
        <v>0</v>
      </c>
    </row>
    <row r="107" spans="14:17" x14ac:dyDescent="0.2">
      <c r="N107" s="152">
        <f>'5-DAY'!A140</f>
        <v>37251</v>
      </c>
      <c r="O107" s="153">
        <f>'5-DAY'!B140/1000</f>
        <v>0</v>
      </c>
      <c r="P107" s="153">
        <f t="shared" si="10"/>
        <v>1117.181</v>
      </c>
      <c r="Q107" s="153">
        <f>VAR!B103/1000</f>
        <v>0</v>
      </c>
    </row>
    <row r="108" spans="14:17" x14ac:dyDescent="0.2">
      <c r="N108" s="152">
        <f>'5-DAY'!A141</f>
        <v>37252</v>
      </c>
      <c r="O108" s="153">
        <f>'5-DAY'!B141/1000</f>
        <v>0</v>
      </c>
      <c r="P108" s="153">
        <f t="shared" si="10"/>
        <v>62.756000000000014</v>
      </c>
      <c r="Q108" s="153">
        <f>VAR!B104/1000</f>
        <v>0</v>
      </c>
    </row>
    <row r="109" spans="14:17" x14ac:dyDescent="0.2">
      <c r="N109" s="152">
        <f>'5-DAY'!A142</f>
        <v>37253</v>
      </c>
      <c r="O109" s="153">
        <f>'5-DAY'!B142/1000</f>
        <v>0</v>
      </c>
      <c r="P109" s="153">
        <f t="shared" si="10"/>
        <v>166.11600000000001</v>
      </c>
      <c r="Q109" s="153">
        <f>VAR!B105/1000</f>
        <v>0</v>
      </c>
    </row>
    <row r="110" spans="14:17" x14ac:dyDescent="0.2">
      <c r="N110" s="121">
        <f>'5-DAY'!A143</f>
        <v>37256</v>
      </c>
      <c r="O110" s="122">
        <f>'5-DAY'!B143/1000</f>
        <v>0</v>
      </c>
      <c r="P110" s="122">
        <f t="shared" si="10"/>
        <v>0</v>
      </c>
      <c r="Q110" s="122">
        <f>VAR!B106/1000</f>
        <v>0</v>
      </c>
    </row>
    <row r="111" spans="14:17" x14ac:dyDescent="0.2">
      <c r="N111" s="152"/>
      <c r="O111" s="153"/>
      <c r="P111" s="153"/>
      <c r="Q111" s="153"/>
    </row>
    <row r="112" spans="14:17" x14ac:dyDescent="0.2">
      <c r="N112" s="152"/>
      <c r="O112" s="153"/>
      <c r="P112" s="153"/>
      <c r="Q112" s="153"/>
    </row>
    <row r="113" spans="14:17" x14ac:dyDescent="0.2">
      <c r="N113" s="152"/>
      <c r="O113" s="153"/>
      <c r="P113" s="153"/>
      <c r="Q113" s="153"/>
    </row>
    <row r="114" spans="14:17" x14ac:dyDescent="0.2">
      <c r="N114" s="152"/>
      <c r="O114" s="153"/>
      <c r="P114" s="153"/>
      <c r="Q114" s="153"/>
    </row>
    <row r="115" spans="14:17" x14ac:dyDescent="0.2">
      <c r="N115" s="152"/>
      <c r="O115" s="153"/>
      <c r="P115" s="153"/>
      <c r="Q115" s="153"/>
    </row>
    <row r="116" spans="14:17" x14ac:dyDescent="0.2">
      <c r="N116" s="152"/>
      <c r="O116" s="153"/>
      <c r="P116" s="153"/>
      <c r="Q116" s="153"/>
    </row>
    <row r="117" spans="14:17" x14ac:dyDescent="0.2">
      <c r="N117" s="152"/>
      <c r="O117" s="153"/>
      <c r="P117" s="153"/>
      <c r="Q117" s="153"/>
    </row>
    <row r="118" spans="14:17" x14ac:dyDescent="0.2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>
        <v>37245</v>
      </c>
      <c r="B100" s="240">
        <v>2534808</v>
      </c>
      <c r="C100" s="240">
        <v>51993</v>
      </c>
      <c r="D100" s="240">
        <v>2556295</v>
      </c>
    </row>
    <row r="101" spans="1:4" x14ac:dyDescent="0.15">
      <c r="A101" s="239">
        <v>37246</v>
      </c>
      <c r="B101" s="240">
        <v>2669275</v>
      </c>
      <c r="C101" s="240">
        <v>59794</v>
      </c>
      <c r="D101" s="240">
        <v>2676092</v>
      </c>
    </row>
    <row r="102" spans="1:4" x14ac:dyDescent="0.15">
      <c r="A102" s="239"/>
      <c r="B102" s="240"/>
      <c r="C102" s="240"/>
      <c r="D102" s="240"/>
    </row>
    <row r="103" spans="1:4" x14ac:dyDescent="0.15">
      <c r="A103" s="239"/>
      <c r="B103" s="240"/>
      <c r="C103" s="240"/>
      <c r="D103" s="240"/>
    </row>
    <row r="104" spans="1:4" x14ac:dyDescent="0.15">
      <c r="A104" s="239"/>
      <c r="B104" s="240"/>
      <c r="C104" s="240"/>
      <c r="D104" s="240"/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7.8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-146096.20599999989</v>
      </c>
      <c r="C3" s="176">
        <f>MWH!D30</f>
        <v>-86968.303000000073</v>
      </c>
      <c r="D3" s="176">
        <f>MWH!E30</f>
        <v>-37992.679000000004</v>
      </c>
      <c r="E3" s="176">
        <f>MWH!F30</f>
        <v>-137003.02699999994</v>
      </c>
      <c r="F3" s="176">
        <f>MWH!G30</f>
        <v>-83947.348000000056</v>
      </c>
      <c r="G3" s="176">
        <f>MWH!H30</f>
        <v>-224041.10000000003</v>
      </c>
      <c r="H3" s="176">
        <f>MWH!I30</f>
        <v>40592.148000000103</v>
      </c>
      <c r="I3" s="176">
        <f>MWH!J30</f>
        <v>53077.063999999955</v>
      </c>
      <c r="J3" s="176">
        <f>MWH!K30</f>
        <v>9959.9950000000536</v>
      </c>
      <c r="K3" s="176">
        <f>MWH!L30</f>
        <v>1154.1380000000354</v>
      </c>
      <c r="L3" s="176">
        <f>MWH!M30</f>
        <v>-139409.27000000002</v>
      </c>
      <c r="M3" s="176">
        <f>MWH!N30</f>
        <v>-169559.91600000003</v>
      </c>
      <c r="N3" s="176">
        <f>MWH!O30</f>
        <v>-492960.57899999991</v>
      </c>
      <c r="O3" s="176">
        <f>MWH!P30</f>
        <v>-412234.32499999995</v>
      </c>
      <c r="P3" s="176">
        <f>MWH!Q30</f>
        <v>-371850.65199999994</v>
      </c>
      <c r="Q3" s="176">
        <f>MWH!R30</f>
        <v>-459346.97899999999</v>
      </c>
      <c r="R3" s="176">
        <f>MWH!S30</f>
        <v>-470550.55200000003</v>
      </c>
      <c r="S3" s="176">
        <f>MWH!T30</f>
        <v>-468326.201</v>
      </c>
      <c r="T3" s="176">
        <f>MWH!U30</f>
        <v>-275859.364</v>
      </c>
      <c r="U3" s="176">
        <f>MWH!V30</f>
        <v>-319342.239</v>
      </c>
      <c r="V3" s="176">
        <f>MWH!W30</f>
        <v>-258703.72400000005</v>
      </c>
      <c r="W3" s="176">
        <f>MWH!X30</f>
        <v>-353323.39119999995</v>
      </c>
      <c r="X3" s="176">
        <f>MWH!Y30</f>
        <v>-417371.53599999996</v>
      </c>
      <c r="Y3" s="176">
        <f>MWH!Z30</f>
        <v>-508733.826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-920234.50399999972</v>
      </c>
      <c r="N5" s="176">
        <f t="shared" ref="N5:Y5" si="0">SUM(C3:N3)</f>
        <v>-1267098.8770000001</v>
      </c>
      <c r="O5" s="176">
        <f t="shared" si="0"/>
        <v>-1592364.8989999997</v>
      </c>
      <c r="P5" s="176">
        <f t="shared" si="0"/>
        <v>-1926222.8719999997</v>
      </c>
      <c r="Q5" s="176">
        <f t="shared" si="0"/>
        <v>-2248566.824</v>
      </c>
      <c r="R5" s="176">
        <f t="shared" si="0"/>
        <v>-2635170.0279999999</v>
      </c>
      <c r="S5" s="176">
        <f t="shared" si="0"/>
        <v>-2879455.1289999997</v>
      </c>
      <c r="T5" s="176">
        <f t="shared" si="0"/>
        <v>-3195906.6409999998</v>
      </c>
      <c r="U5" s="176">
        <f t="shared" si="0"/>
        <v>-3568325.9440000001</v>
      </c>
      <c r="V5" s="176">
        <f t="shared" si="0"/>
        <v>-3836989.6629999997</v>
      </c>
      <c r="W5" s="176">
        <f t="shared" si="0"/>
        <v>-4191467.1921999999</v>
      </c>
      <c r="X5" s="176">
        <f t="shared" si="0"/>
        <v>-4469429.4582000002</v>
      </c>
      <c r="Y5" s="176">
        <f t="shared" si="0"/>
        <v>-4808603.3682000004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-920234.50399999972</v>
      </c>
      <c r="C7" s="176">
        <f>MIN(M5:Y5)</f>
        <v>-4808603.3682000004</v>
      </c>
    </row>
    <row r="8" spans="1:32" x14ac:dyDescent="0.15">
      <c r="B8" s="243">
        <f>IF(ABS(C7)&gt;ABS(B7),C7,B7)</f>
        <v>-4808603.3682000004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-3850</v>
      </c>
      <c r="F10" s="171">
        <f>MWH!G38</f>
        <v>-7600</v>
      </c>
      <c r="G10" s="171">
        <f>MWH!H38</f>
        <v>-8000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-19450</v>
      </c>
      <c r="N12" s="171">
        <f t="shared" ref="N12:Y12" si="1">SUM(C10:N10)</f>
        <v>-19450</v>
      </c>
      <c r="O12" s="171">
        <f t="shared" si="1"/>
        <v>-19450</v>
      </c>
      <c r="P12" s="171">
        <f t="shared" si="1"/>
        <v>-19450</v>
      </c>
      <c r="Q12" s="171">
        <f t="shared" si="1"/>
        <v>-15600</v>
      </c>
      <c r="R12" s="171">
        <f t="shared" si="1"/>
        <v>-8000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-19450</v>
      </c>
    </row>
    <row r="15" spans="1:32" x14ac:dyDescent="0.15">
      <c r="B15" s="241">
        <f>IF(ABS(C14)&gt;ABS(B14),C14,B14)</f>
        <v>-19450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>
      <selection activeCell="A2" sqref="A2"/>
    </sheetView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199999999999999" x14ac:dyDescent="0.2">
      <c r="A1" s="48" t="s">
        <v>98</v>
      </c>
      <c r="C1" s="109"/>
    </row>
    <row r="2" spans="1:20" ht="10.199999999999999" x14ac:dyDescent="0.2">
      <c r="A2" s="107" t="str">
        <f>'POWER SUM'!A3</f>
        <v>As of December 21, 2001</v>
      </c>
      <c r="C2" s="109"/>
    </row>
    <row r="4" spans="1:20" x14ac:dyDescent="0.2">
      <c r="N4" s="113"/>
      <c r="O4" s="108"/>
    </row>
    <row r="5" spans="1:20" x14ac:dyDescent="0.2">
      <c r="N5" s="113"/>
      <c r="O5" s="108"/>
    </row>
    <row r="6" spans="1:20" x14ac:dyDescent="0.2">
      <c r="N6" s="113" t="s">
        <v>89</v>
      </c>
      <c r="O6" s="108"/>
    </row>
    <row r="7" spans="1:20" x14ac:dyDescent="0.2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2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2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2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2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2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2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2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2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2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2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2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2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2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2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2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2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2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2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2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2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2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2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2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2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2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2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2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2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2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2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2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2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2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2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2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2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2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2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2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2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2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2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2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2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2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2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2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2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2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2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2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2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2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2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2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2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2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2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2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2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2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2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2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2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2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2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2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2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2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2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2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2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2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2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2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2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2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2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2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2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2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2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2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2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2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2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2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2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2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2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2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2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2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2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2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2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2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2">
      <c r="N105" s="151">
        <f>'5-DAY'!A137</f>
        <v>37245</v>
      </c>
      <c r="O105" s="153">
        <f>'5-DAY'!C137/1000</f>
        <v>-11.522</v>
      </c>
      <c r="P105" s="153">
        <f>SUM(O101:O105)</f>
        <v>106.73</v>
      </c>
      <c r="Q105" s="124">
        <f>Q104+O105</f>
        <v>465.06699999999995</v>
      </c>
      <c r="R105" s="153">
        <f>R104+O105</f>
        <v>1283.7070100000003</v>
      </c>
      <c r="S105" s="153">
        <f>S104+O105</f>
        <v>-12858.53499</v>
      </c>
      <c r="T105" s="153">
        <f>VAR!C100/1000</f>
        <v>51.993000000000002</v>
      </c>
    </row>
    <row r="106" spans="14:20" x14ac:dyDescent="0.2">
      <c r="N106" s="151">
        <f>'5-DAY'!A138</f>
        <v>37246</v>
      </c>
      <c r="O106" s="153">
        <f>'5-DAY'!C138/1000</f>
        <v>41.917999999999999</v>
      </c>
      <c r="P106" s="153">
        <f>SUM(O102:O106)</f>
        <v>63.503</v>
      </c>
      <c r="Q106" s="124">
        <f>Q105+O106</f>
        <v>506.98499999999996</v>
      </c>
      <c r="R106" s="153">
        <f>R105+O106</f>
        <v>1325.6250100000002</v>
      </c>
      <c r="S106" s="153">
        <f>S105+O106</f>
        <v>-12816.61699</v>
      </c>
      <c r="T106" s="153">
        <f>VAR!C101/1000</f>
        <v>59.793999999999997</v>
      </c>
    </row>
    <row r="107" spans="14:20" x14ac:dyDescent="0.2">
      <c r="N107" s="151">
        <f>'5-DAY'!A139</f>
        <v>37249</v>
      </c>
    </row>
    <row r="108" spans="14:20" x14ac:dyDescent="0.2">
      <c r="N108" s="151">
        <f>'5-DAY'!A140</f>
        <v>37251</v>
      </c>
    </row>
    <row r="109" spans="14:20" x14ac:dyDescent="0.2">
      <c r="N109" s="151">
        <f>'5-DAY'!A141</f>
        <v>37252</v>
      </c>
    </row>
    <row r="110" spans="14:20" x14ac:dyDescent="0.2">
      <c r="N110" s="151">
        <f>'5-DAY'!A142</f>
        <v>37253</v>
      </c>
    </row>
    <row r="111" spans="14:20" x14ac:dyDescent="0.2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2">
      <c r="N112" s="151"/>
    </row>
    <row r="113" spans="14:14" x14ac:dyDescent="0.2">
      <c r="N113" s="151"/>
    </row>
    <row r="114" spans="14:14" x14ac:dyDescent="0.2">
      <c r="N114" s="151"/>
    </row>
    <row r="115" spans="14:14" x14ac:dyDescent="0.2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>
      <selection activeCell="A11" sqref="A11"/>
    </sheetView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12/21/2001</v>
      </c>
    </row>
    <row r="3" spans="1:27" ht="12" customHeight="1" x14ac:dyDescent="0.15">
      <c r="A3" s="125" t="str">
        <f>'MWA FIXED INPUT PG'!A3</f>
        <v>As of:                12/21/2001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1063.3747000000001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1061.3661</v>
      </c>
      <c r="G6" s="132">
        <f t="shared" si="0"/>
        <v>1031.0978</v>
      </c>
      <c r="H6" s="132">
        <f t="shared" si="0"/>
        <v>947.89250000000004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1141.4748</v>
      </c>
      <c r="M6" s="132">
        <f t="shared" si="0"/>
        <v>1141.2874999999999</v>
      </c>
      <c r="N6" s="132">
        <f t="shared" si="0"/>
        <v>1152.71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847.12639999999999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1704.3489</v>
      </c>
      <c r="D8" s="132">
        <f t="shared" ref="D8:AA8" si="2">D21+D36</f>
        <v>1573.1784</v>
      </c>
      <c r="E8" s="132">
        <f t="shared" si="2"/>
        <v>1348.5315000000001</v>
      </c>
      <c r="F8" s="132">
        <f t="shared" si="2"/>
        <v>1336.1624999999999</v>
      </c>
      <c r="G8" s="132">
        <f t="shared" si="2"/>
        <v>1321.2906</v>
      </c>
      <c r="H8" s="132">
        <f t="shared" si="2"/>
        <v>1211.7067999999999</v>
      </c>
      <c r="I8" s="132">
        <f t="shared" si="2"/>
        <v>1645.1602</v>
      </c>
      <c r="J8" s="132">
        <f t="shared" si="2"/>
        <v>1654.7823000000001</v>
      </c>
      <c r="K8" s="132">
        <f t="shared" si="2"/>
        <v>1596.0320999999999</v>
      </c>
      <c r="L8" s="132">
        <f t="shared" si="2"/>
        <v>1508.5454</v>
      </c>
      <c r="M8" s="132">
        <f t="shared" si="2"/>
        <v>1509.8904</v>
      </c>
      <c r="N8" s="132">
        <f t="shared" si="2"/>
        <v>1696.4503</v>
      </c>
      <c r="O8" s="132">
        <f t="shared" si="2"/>
        <v>1723.3063999999999</v>
      </c>
      <c r="P8" s="132">
        <f t="shared" si="2"/>
        <v>1690.2762</v>
      </c>
      <c r="Q8" s="132">
        <f t="shared" si="2"/>
        <v>1491.1341</v>
      </c>
      <c r="R8" s="132">
        <f t="shared" si="2"/>
        <v>1333.7837999999999</v>
      </c>
      <c r="S8" s="132">
        <f t="shared" si="2"/>
        <v>1181.2944</v>
      </c>
      <c r="T8" s="132">
        <f t="shared" si="2"/>
        <v>1233.4925000000001</v>
      </c>
      <c r="U8" s="132">
        <f t="shared" si="2"/>
        <v>1641.2402999999999</v>
      </c>
      <c r="V8" s="132">
        <f t="shared" si="2"/>
        <v>1608.1840999999999</v>
      </c>
      <c r="W8" s="132">
        <f t="shared" si="2"/>
        <v>1540.6776</v>
      </c>
      <c r="X8" s="132">
        <f t="shared" si="2"/>
        <v>1441.4996000000001</v>
      </c>
      <c r="Y8" s="132">
        <f t="shared" si="2"/>
        <v>1568.2279000000001</v>
      </c>
      <c r="Z8" s="132">
        <f t="shared" si="2"/>
        <v>1662.0904</v>
      </c>
      <c r="AA8" s="132">
        <f t="shared" si="2"/>
        <v>1508.6492000000001</v>
      </c>
    </row>
    <row r="9" spans="1:27" ht="11.25" customHeight="1" x14ac:dyDescent="0.15">
      <c r="A9" s="131" t="s">
        <v>116</v>
      </c>
      <c r="C9" s="134">
        <f>SUM(C6:C8)</f>
        <v>-114.02879999999982</v>
      </c>
      <c r="D9" s="134">
        <f t="shared" ref="D9:AA9" si="3">SUM(D6:D8)</f>
        <v>-11.530700000000252</v>
      </c>
      <c r="E9" s="134">
        <f t="shared" si="3"/>
        <v>75.789399999999887</v>
      </c>
      <c r="F9" s="134">
        <f t="shared" si="3"/>
        <v>-33.533900000000131</v>
      </c>
      <c r="G9" s="134">
        <f t="shared" si="3"/>
        <v>38.417200000000093</v>
      </c>
      <c r="H9" s="134">
        <f t="shared" si="3"/>
        <v>-191.94570000000022</v>
      </c>
      <c r="I9" s="134">
        <f t="shared" si="3"/>
        <v>153.3262000000002</v>
      </c>
      <c r="J9" s="134">
        <f t="shared" si="3"/>
        <v>179.55719999999997</v>
      </c>
      <c r="K9" s="134">
        <f t="shared" si="3"/>
        <v>188.08549999999991</v>
      </c>
      <c r="L9" s="134">
        <f t="shared" si="3"/>
        <v>198.93690000000015</v>
      </c>
      <c r="M9" s="134">
        <f t="shared" si="3"/>
        <v>30.400399999999763</v>
      </c>
      <c r="N9" s="134">
        <f t="shared" si="3"/>
        <v>-38.149699999999939</v>
      </c>
      <c r="O9" s="134">
        <f t="shared" si="3"/>
        <v>-567.20710000000008</v>
      </c>
      <c r="P9" s="134">
        <f t="shared" si="3"/>
        <v>-505.71179999999981</v>
      </c>
      <c r="Q9" s="134">
        <f t="shared" si="3"/>
        <v>-454.7014999999999</v>
      </c>
      <c r="R9" s="134">
        <f t="shared" si="3"/>
        <v>-578.83529999999996</v>
      </c>
      <c r="S9" s="134">
        <f t="shared" si="3"/>
        <v>-599.06750000000011</v>
      </c>
      <c r="T9" s="134">
        <f t="shared" si="3"/>
        <v>-590.68500000000017</v>
      </c>
      <c r="U9" s="134">
        <f t="shared" si="3"/>
        <v>-394.10950000000025</v>
      </c>
      <c r="V9" s="134">
        <f t="shared" si="3"/>
        <v>-445.471</v>
      </c>
      <c r="W9" s="134">
        <f t="shared" si="3"/>
        <v>-356.02489999999989</v>
      </c>
      <c r="X9" s="134">
        <f t="shared" si="3"/>
        <v>-418.34999999999991</v>
      </c>
      <c r="Y9" s="134">
        <f t="shared" si="3"/>
        <v>-460.08580000000006</v>
      </c>
      <c r="Z9" s="134">
        <f t="shared" si="3"/>
        <v>-618.65120000000024</v>
      </c>
      <c r="AA9" s="134">
        <f t="shared" si="3"/>
        <v>-229.10089999999968</v>
      </c>
    </row>
    <row r="11" spans="1:27" ht="11.25" customHeight="1" x14ac:dyDescent="0.15">
      <c r="A11" s="131" t="s">
        <v>117</v>
      </c>
      <c r="C11" s="132">
        <f>C24+C37</f>
        <v>933.73119999999994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519.13749999999993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1213.4846</v>
      </c>
      <c r="D13" s="132">
        <f t="shared" ref="D13:AA13" si="6">D26+D38</f>
        <v>1199.3738000000001</v>
      </c>
      <c r="E13" s="132">
        <f t="shared" si="6"/>
        <v>1119.2983999999999</v>
      </c>
      <c r="F13" s="132">
        <f t="shared" si="6"/>
        <v>1118.1523999999999</v>
      </c>
      <c r="G13" s="132">
        <f t="shared" si="6"/>
        <v>1096.1611</v>
      </c>
      <c r="H13" s="132">
        <f t="shared" si="6"/>
        <v>854.07060000000001</v>
      </c>
      <c r="I13" s="132">
        <f t="shared" si="6"/>
        <v>1261.4328</v>
      </c>
      <c r="J13" s="132">
        <f t="shared" si="6"/>
        <v>1275.7947999999999</v>
      </c>
      <c r="K13" s="132">
        <f t="shared" si="6"/>
        <v>1198.4389000000001</v>
      </c>
      <c r="L13" s="132">
        <f t="shared" si="6"/>
        <v>1138.6434999999999</v>
      </c>
      <c r="M13" s="132">
        <f t="shared" si="6"/>
        <v>1156.8217999999999</v>
      </c>
      <c r="N13" s="132">
        <f t="shared" si="6"/>
        <v>1329.1513</v>
      </c>
      <c r="O13" s="132">
        <f t="shared" si="6"/>
        <v>1281.8158000000001</v>
      </c>
      <c r="P13" s="132">
        <f t="shared" si="6"/>
        <v>1245.0418</v>
      </c>
      <c r="Q13" s="132">
        <f t="shared" si="6"/>
        <v>1262.3298</v>
      </c>
      <c r="R13" s="132">
        <f t="shared" si="6"/>
        <v>1090.846</v>
      </c>
      <c r="S13" s="132">
        <f t="shared" si="6"/>
        <v>1021.5441</v>
      </c>
      <c r="T13" s="132">
        <f t="shared" si="6"/>
        <v>898.7681</v>
      </c>
      <c r="U13" s="132">
        <f t="shared" si="6"/>
        <v>1246.3756000000001</v>
      </c>
      <c r="V13" s="132">
        <f t="shared" si="6"/>
        <v>1210.057</v>
      </c>
      <c r="W13" s="132">
        <f t="shared" si="6"/>
        <v>1207.7164</v>
      </c>
      <c r="X13" s="132">
        <f t="shared" si="6"/>
        <v>1174.4648999999999</v>
      </c>
      <c r="Y13" s="132">
        <f t="shared" si="6"/>
        <v>1220.8614</v>
      </c>
      <c r="Z13" s="132">
        <f t="shared" si="6"/>
        <v>1322.7684999999999</v>
      </c>
      <c r="AA13" s="132">
        <f t="shared" si="6"/>
        <v>1173.4025999999999</v>
      </c>
    </row>
    <row r="14" spans="1:27" ht="11.25" customHeight="1" x14ac:dyDescent="0.15">
      <c r="A14" s="131" t="s">
        <v>120</v>
      </c>
      <c r="C14" s="134">
        <f>SUM(C11:C13)</f>
        <v>-300.79330000000027</v>
      </c>
      <c r="D14" s="134">
        <f t="shared" ref="D14:AA14" si="7">SUM(D11:D13)</f>
        <v>-286.59899999999993</v>
      </c>
      <c r="E14" s="134">
        <f t="shared" si="7"/>
        <v>-211.95450000000005</v>
      </c>
      <c r="F14" s="134">
        <f t="shared" si="7"/>
        <v>-417.44370000000026</v>
      </c>
      <c r="G14" s="134">
        <f t="shared" si="7"/>
        <v>-327.83209999999985</v>
      </c>
      <c r="H14" s="134">
        <f t="shared" si="7"/>
        <v>-485.19620000000009</v>
      </c>
      <c r="I14" s="134">
        <f t="shared" si="7"/>
        <v>-70.706099999999878</v>
      </c>
      <c r="J14" s="134">
        <f t="shared" si="7"/>
        <v>-78.498900000000276</v>
      </c>
      <c r="K14" s="134">
        <f t="shared" si="7"/>
        <v>-185.31209999999987</v>
      </c>
      <c r="L14" s="134">
        <f t="shared" si="7"/>
        <v>-271.75190000000021</v>
      </c>
      <c r="M14" s="134">
        <f t="shared" si="7"/>
        <v>-473.65449999999987</v>
      </c>
      <c r="N14" s="134">
        <f t="shared" si="7"/>
        <v>-448.54660000000013</v>
      </c>
      <c r="O14" s="134">
        <f t="shared" si="7"/>
        <v>-783.5440000000001</v>
      </c>
      <c r="P14" s="134">
        <f t="shared" si="7"/>
        <v>-757.08670000000006</v>
      </c>
      <c r="Q14" s="134">
        <f t="shared" si="7"/>
        <v>-556.99649999999974</v>
      </c>
      <c r="R14" s="134">
        <f t="shared" si="7"/>
        <v>-718.9195000000002</v>
      </c>
      <c r="S14" s="134">
        <f t="shared" si="7"/>
        <v>-674.81260000000009</v>
      </c>
      <c r="T14" s="134">
        <f t="shared" si="7"/>
        <v>-725.16319999999996</v>
      </c>
      <c r="U14" s="134">
        <f t="shared" si="7"/>
        <v>-341.18849999999998</v>
      </c>
      <c r="V14" s="134">
        <f t="shared" si="7"/>
        <v>-408.61680000000001</v>
      </c>
      <c r="W14" s="134">
        <f t="shared" si="7"/>
        <v>-363.41789999999992</v>
      </c>
      <c r="X14" s="134">
        <f t="shared" si="7"/>
        <v>-553.19290000000001</v>
      </c>
      <c r="Y14" s="134">
        <f t="shared" si="7"/>
        <v>-716.36480000000006</v>
      </c>
      <c r="Z14" s="134">
        <f t="shared" si="7"/>
        <v>-766.38689999999974</v>
      </c>
      <c r="AA14" s="134">
        <f t="shared" si="7"/>
        <v>-454.46990000000051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-196.36590000000001</v>
      </c>
      <c r="D16" s="20">
        <f t="shared" ref="D16:AA16" si="8">D29+D40</f>
        <v>-129.4171</v>
      </c>
      <c r="E16" s="20">
        <f t="shared" si="8"/>
        <v>-51.065399999999997</v>
      </c>
      <c r="F16" s="20">
        <f t="shared" si="8"/>
        <v>-195.6292</v>
      </c>
      <c r="G16" s="20">
        <f t="shared" si="8"/>
        <v>-123.04759999999999</v>
      </c>
      <c r="H16" s="20">
        <f t="shared" si="8"/>
        <v>-322.27930000000003</v>
      </c>
      <c r="I16" s="20">
        <f t="shared" si="8"/>
        <v>54.5593</v>
      </c>
      <c r="J16" s="20">
        <f t="shared" si="8"/>
        <v>71.340100000000007</v>
      </c>
      <c r="K16" s="20">
        <f t="shared" si="8"/>
        <v>13.833299999999999</v>
      </c>
      <c r="L16" s="20">
        <f t="shared" si="8"/>
        <v>1.5512999999999999</v>
      </c>
      <c r="M16" s="20">
        <f t="shared" si="8"/>
        <v>-193.624</v>
      </c>
      <c r="N16" s="20">
        <f t="shared" si="8"/>
        <v>-227.90309999999999</v>
      </c>
      <c r="O16" s="20">
        <f t="shared" si="8"/>
        <v>-662.58140000000003</v>
      </c>
      <c r="P16" s="20">
        <f t="shared" si="8"/>
        <v>-613.44389999999999</v>
      </c>
      <c r="Q16" s="20">
        <f t="shared" si="8"/>
        <v>-499.79930000000002</v>
      </c>
      <c r="R16" s="20">
        <f t="shared" si="8"/>
        <v>-637.9819</v>
      </c>
      <c r="S16" s="20">
        <f t="shared" si="8"/>
        <v>-632.46040000000005</v>
      </c>
      <c r="T16" s="20">
        <f t="shared" si="8"/>
        <v>-650.45309999999995</v>
      </c>
      <c r="U16" s="20">
        <f t="shared" si="8"/>
        <v>-370.77870000000001</v>
      </c>
      <c r="V16" s="20">
        <f t="shared" si="8"/>
        <v>-429.22340000000003</v>
      </c>
      <c r="W16" s="20">
        <f t="shared" si="8"/>
        <v>-359.3107</v>
      </c>
      <c r="X16" s="20">
        <f t="shared" si="8"/>
        <v>-474.89699999999999</v>
      </c>
      <c r="Y16" s="20">
        <f t="shared" si="8"/>
        <v>-579.68269999999995</v>
      </c>
      <c r="Z16" s="20">
        <f t="shared" si="8"/>
        <v>-683.78200000000004</v>
      </c>
      <c r="AA16" s="20">
        <f t="shared" si="8"/>
        <v>-328.09870000000001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1063.3747000000001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1141.4748</v>
      </c>
      <c r="M19" s="263">
        <f>'MWA FIXED INPUT PG'!M19</f>
        <v>1141.2874999999999</v>
      </c>
      <c r="N19" s="263">
        <f>'MWA FIXED INPUT PG'!N19</f>
        <v>1152.71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834.58569999999997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1704.3489</v>
      </c>
      <c r="D21" s="263">
        <f>'MWA FIXED INPUT PG'!D21</f>
        <v>1573.1784</v>
      </c>
      <c r="E21" s="263">
        <f>'MWA FIXED INPUT PG'!E21</f>
        <v>1348.5315000000001</v>
      </c>
      <c r="F21" s="263">
        <f>'MWA FIXED INPUT PG'!F21</f>
        <v>1336.1624999999999</v>
      </c>
      <c r="G21" s="263">
        <f>'MWA FIXED INPUT PG'!G21</f>
        <v>1321.2906</v>
      </c>
      <c r="H21" s="263">
        <f>'MWA FIXED INPUT PG'!H21</f>
        <v>1211.7067999999999</v>
      </c>
      <c r="I21" s="263">
        <f>'MWA FIXED INPUT PG'!I21</f>
        <v>1645.1602</v>
      </c>
      <c r="J21" s="263">
        <f>'MWA FIXED INPUT PG'!J21</f>
        <v>1654.7823000000001</v>
      </c>
      <c r="K21" s="263">
        <f>'MWA FIXED INPUT PG'!K21</f>
        <v>1596.0320999999999</v>
      </c>
      <c r="L21" s="263">
        <f>'MWA FIXED INPUT PG'!L21</f>
        <v>1508.5454</v>
      </c>
      <c r="M21" s="263">
        <f>'MWA FIXED INPUT PG'!M21</f>
        <v>1509.8904</v>
      </c>
      <c r="N21" s="263">
        <f>'MWA FIXED INPUT PG'!N21</f>
        <v>1696.4503</v>
      </c>
      <c r="O21" s="263">
        <f>'MWA FIXED INPUT PG'!O21</f>
        <v>1723.3063999999999</v>
      </c>
      <c r="P21" s="263">
        <f>'MWA FIXED INPUT PG'!P21</f>
        <v>1690.2762</v>
      </c>
      <c r="Q21" s="263">
        <f>'MWA FIXED INPUT PG'!Q21</f>
        <v>1491.1341</v>
      </c>
      <c r="R21" s="263">
        <f>'MWA FIXED INPUT PG'!R21</f>
        <v>1333.7837999999999</v>
      </c>
      <c r="S21" s="263">
        <f>'MWA FIXED INPUT PG'!S21</f>
        <v>1181.2944</v>
      </c>
      <c r="T21" s="263">
        <f>'MWA FIXED INPUT PG'!T21</f>
        <v>1233.4925000000001</v>
      </c>
      <c r="U21" s="263">
        <f>'MWA FIXED INPUT PG'!U21</f>
        <v>1641.2402999999999</v>
      </c>
      <c r="V21" s="263">
        <f>'MWA FIXED INPUT PG'!V21</f>
        <v>1608.1840999999999</v>
      </c>
      <c r="W21" s="263">
        <f>'MWA FIXED INPUT PG'!W21</f>
        <v>1540.6776</v>
      </c>
      <c r="X21" s="263">
        <f>'MWA FIXED INPUT PG'!X21</f>
        <v>1441.4996000000001</v>
      </c>
      <c r="Y21" s="263">
        <f>'MWA FIXED INPUT PG'!Y21</f>
        <v>1568.2279000000001</v>
      </c>
      <c r="Z21" s="263">
        <f>'MWA FIXED INPUT PG'!Z21</f>
        <v>1662.0904</v>
      </c>
      <c r="AA21" s="263">
        <f>'MWA FIXED INPUT PG'!AA21</f>
        <v>1508.6492000000001</v>
      </c>
    </row>
    <row r="22" spans="1:27" customFormat="1" ht="11.25" customHeight="1" x14ac:dyDescent="0.2">
      <c r="A22" s="263" t="s">
        <v>116</v>
      </c>
      <c r="B22" s="262"/>
      <c r="C22" s="264">
        <f>SUM(C19:C21)</f>
        <v>-114.02879999999982</v>
      </c>
      <c r="D22" s="264">
        <f t="shared" ref="D22:AA22" si="9">SUM(D19:D21)</f>
        <v>-11.530700000000252</v>
      </c>
      <c r="E22" s="264">
        <f t="shared" si="9"/>
        <v>75.789399999999887</v>
      </c>
      <c r="F22" s="264">
        <f t="shared" si="9"/>
        <v>-133.53390000000013</v>
      </c>
      <c r="G22" s="264">
        <f t="shared" si="9"/>
        <v>-61.582799999999907</v>
      </c>
      <c r="H22" s="264">
        <f t="shared" si="9"/>
        <v>-291.94570000000022</v>
      </c>
      <c r="I22" s="264">
        <f t="shared" si="9"/>
        <v>153.3262000000002</v>
      </c>
      <c r="J22" s="264">
        <f t="shared" si="9"/>
        <v>179.55719999999997</v>
      </c>
      <c r="K22" s="264">
        <f t="shared" si="9"/>
        <v>188.08549999999991</v>
      </c>
      <c r="L22" s="264">
        <f t="shared" si="9"/>
        <v>198.93690000000015</v>
      </c>
      <c r="M22" s="264">
        <f t="shared" si="9"/>
        <v>30.400399999999763</v>
      </c>
      <c r="N22" s="264">
        <f t="shared" si="9"/>
        <v>-38.149699999999939</v>
      </c>
      <c r="O22" s="264">
        <f t="shared" si="9"/>
        <v>-567.20710000000008</v>
      </c>
      <c r="P22" s="264">
        <f t="shared" si="9"/>
        <v>-505.71179999999981</v>
      </c>
      <c r="Q22" s="264">
        <f t="shared" si="9"/>
        <v>-454.7014999999999</v>
      </c>
      <c r="R22" s="264">
        <f t="shared" si="9"/>
        <v>-578.83529999999996</v>
      </c>
      <c r="S22" s="264">
        <f t="shared" si="9"/>
        <v>-599.06750000000011</v>
      </c>
      <c r="T22" s="264">
        <f t="shared" si="9"/>
        <v>-590.68500000000017</v>
      </c>
      <c r="U22" s="264">
        <f t="shared" si="9"/>
        <v>-394.10950000000025</v>
      </c>
      <c r="V22" s="264">
        <f t="shared" si="9"/>
        <v>-445.471</v>
      </c>
      <c r="W22" s="264">
        <f t="shared" si="9"/>
        <v>-356.02489999999989</v>
      </c>
      <c r="X22" s="264">
        <f t="shared" si="9"/>
        <v>-418.34999999999991</v>
      </c>
      <c r="Y22" s="264">
        <f t="shared" si="9"/>
        <v>-460.08580000000006</v>
      </c>
      <c r="Z22" s="264">
        <f t="shared" si="9"/>
        <v>-618.65120000000024</v>
      </c>
      <c r="AA22" s="264">
        <f t="shared" si="9"/>
        <v>-241.6415999999997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933.73119999999994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537.67309999999998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1213.4846</v>
      </c>
      <c r="D26" s="263">
        <f>'MWA FIXED INPUT PG'!D26</f>
        <v>1199.3738000000001</v>
      </c>
      <c r="E26" s="263">
        <f>'MWA FIXED INPUT PG'!E26</f>
        <v>1119.2983999999999</v>
      </c>
      <c r="F26" s="263">
        <f>'MWA FIXED INPUT PG'!F26</f>
        <v>1118.1523999999999</v>
      </c>
      <c r="G26" s="263">
        <f>'MWA FIXED INPUT PG'!G26</f>
        <v>1096.1611</v>
      </c>
      <c r="H26" s="263">
        <f>'MWA FIXED INPUT PG'!H26</f>
        <v>854.07060000000001</v>
      </c>
      <c r="I26" s="263">
        <f>'MWA FIXED INPUT PG'!I26</f>
        <v>1261.4328</v>
      </c>
      <c r="J26" s="263">
        <f>'MWA FIXED INPUT PG'!J26</f>
        <v>1275.7947999999999</v>
      </c>
      <c r="K26" s="263">
        <f>'MWA FIXED INPUT PG'!K26</f>
        <v>1198.4389000000001</v>
      </c>
      <c r="L26" s="263">
        <f>'MWA FIXED INPUT PG'!L26</f>
        <v>1138.6434999999999</v>
      </c>
      <c r="M26" s="263">
        <f>'MWA FIXED INPUT PG'!M26</f>
        <v>1156.8217999999999</v>
      </c>
      <c r="N26" s="263">
        <f>'MWA FIXED INPUT PG'!N26</f>
        <v>1329.1513</v>
      </c>
      <c r="O26" s="263">
        <f>'MWA FIXED INPUT PG'!O26</f>
        <v>1281.8158000000001</v>
      </c>
      <c r="P26" s="263">
        <f>'MWA FIXED INPUT PG'!P26</f>
        <v>1245.0418</v>
      </c>
      <c r="Q26" s="263">
        <f>'MWA FIXED INPUT PG'!Q26</f>
        <v>1262.3298</v>
      </c>
      <c r="R26" s="263">
        <f>'MWA FIXED INPUT PG'!R26</f>
        <v>1090.846</v>
      </c>
      <c r="S26" s="263">
        <f>'MWA FIXED INPUT PG'!S26</f>
        <v>1021.5441</v>
      </c>
      <c r="T26" s="263">
        <f>'MWA FIXED INPUT PG'!T26</f>
        <v>898.7681</v>
      </c>
      <c r="U26" s="263">
        <f>'MWA FIXED INPUT PG'!U26</f>
        <v>1246.3756000000001</v>
      </c>
      <c r="V26" s="263">
        <f>'MWA FIXED INPUT PG'!V26</f>
        <v>1210.057</v>
      </c>
      <c r="W26" s="263">
        <f>'MWA FIXED INPUT PG'!W26</f>
        <v>1207.7164</v>
      </c>
      <c r="X26" s="263">
        <f>'MWA FIXED INPUT PG'!X26</f>
        <v>1174.4648999999999</v>
      </c>
      <c r="Y26" s="263">
        <f>'MWA FIXED INPUT PG'!Y26</f>
        <v>1220.8614</v>
      </c>
      <c r="Z26" s="263">
        <f>'MWA FIXED INPUT PG'!Z26</f>
        <v>1322.7684999999999</v>
      </c>
      <c r="AA26" s="263">
        <f>'MWA FIXED INPUT PG'!AA26</f>
        <v>1173.4025999999999</v>
      </c>
    </row>
    <row r="27" spans="1:27" customFormat="1" ht="11.25" customHeight="1" x14ac:dyDescent="0.2">
      <c r="A27" s="263" t="s">
        <v>120</v>
      </c>
      <c r="B27" s="262"/>
      <c r="C27" s="264">
        <f>SUM(C24:C26)</f>
        <v>-300.79330000000027</v>
      </c>
      <c r="D27" s="264">
        <f t="shared" ref="D27:AA27" si="10">SUM(D24:D26)</f>
        <v>-286.59899999999993</v>
      </c>
      <c r="E27" s="264">
        <f t="shared" si="10"/>
        <v>-211.95450000000005</v>
      </c>
      <c r="F27" s="264">
        <f t="shared" si="10"/>
        <v>-267.9371000000001</v>
      </c>
      <c r="G27" s="264">
        <f t="shared" si="10"/>
        <v>-177.83209999999985</v>
      </c>
      <c r="H27" s="264">
        <f t="shared" si="10"/>
        <v>-335.19620000000009</v>
      </c>
      <c r="I27" s="264">
        <f t="shared" si="10"/>
        <v>-70.706099999999878</v>
      </c>
      <c r="J27" s="264">
        <f t="shared" si="10"/>
        <v>-78.498900000000276</v>
      </c>
      <c r="K27" s="264">
        <f t="shared" si="10"/>
        <v>-185.31209999999987</v>
      </c>
      <c r="L27" s="264">
        <f t="shared" si="10"/>
        <v>-271.75190000000021</v>
      </c>
      <c r="M27" s="264">
        <f t="shared" si="10"/>
        <v>-473.65449999999987</v>
      </c>
      <c r="N27" s="264">
        <f t="shared" si="10"/>
        <v>-448.54660000000013</v>
      </c>
      <c r="O27" s="264">
        <f t="shared" si="10"/>
        <v>-783.5440000000001</v>
      </c>
      <c r="P27" s="264">
        <f t="shared" si="10"/>
        <v>-757.08670000000006</v>
      </c>
      <c r="Q27" s="264">
        <f t="shared" si="10"/>
        <v>-556.99649999999974</v>
      </c>
      <c r="R27" s="264">
        <f t="shared" si="10"/>
        <v>-718.9195000000002</v>
      </c>
      <c r="S27" s="264">
        <f t="shared" si="10"/>
        <v>-674.81260000000009</v>
      </c>
      <c r="T27" s="264">
        <f t="shared" si="10"/>
        <v>-725.16319999999996</v>
      </c>
      <c r="U27" s="264">
        <f t="shared" si="10"/>
        <v>-341.18849999999998</v>
      </c>
      <c r="V27" s="264">
        <f t="shared" si="10"/>
        <v>-408.61680000000001</v>
      </c>
      <c r="W27" s="264">
        <f t="shared" si="10"/>
        <v>-363.41789999999992</v>
      </c>
      <c r="X27" s="264">
        <f t="shared" si="10"/>
        <v>-553.19290000000001</v>
      </c>
      <c r="Y27" s="264">
        <f t="shared" si="10"/>
        <v>-716.36480000000006</v>
      </c>
      <c r="Z27" s="264">
        <f t="shared" si="10"/>
        <v>-766.38689999999974</v>
      </c>
      <c r="AA27" s="264">
        <f t="shared" si="10"/>
        <v>-435.93430000000035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-196.36590000000001</v>
      </c>
      <c r="D29" s="20">
        <f>'MWA FIXED INPUT PG'!D29</f>
        <v>-129.4171</v>
      </c>
      <c r="E29" s="20">
        <f>'MWA FIXED INPUT PG'!E29</f>
        <v>-51.065399999999997</v>
      </c>
      <c r="F29" s="20">
        <f>'MWA FIXED INPUT PG'!F29</f>
        <v>-190.28200000000001</v>
      </c>
      <c r="G29" s="20">
        <f>'MWA FIXED INPUT PG'!G29</f>
        <v>-112.8325</v>
      </c>
      <c r="H29" s="20">
        <f>'MWA FIXED INPUT PG'!H29</f>
        <v>-311.16820000000001</v>
      </c>
      <c r="I29" s="20">
        <f>'MWA FIXED INPUT PG'!I29</f>
        <v>54.5593</v>
      </c>
      <c r="J29" s="20">
        <f>'MWA FIXED INPUT PG'!J29</f>
        <v>71.340100000000007</v>
      </c>
      <c r="K29" s="20">
        <f>'MWA FIXED INPUT PG'!K29</f>
        <v>13.833299999999999</v>
      </c>
      <c r="L29" s="20">
        <f>'MWA FIXED INPUT PG'!L29</f>
        <v>1.5512999999999999</v>
      </c>
      <c r="M29" s="20">
        <f>'MWA FIXED INPUT PG'!M29</f>
        <v>-193.624</v>
      </c>
      <c r="N29" s="20">
        <f>'MWA FIXED INPUT PG'!N29</f>
        <v>-227.90309999999999</v>
      </c>
      <c r="O29" s="20">
        <f>'MWA FIXED INPUT PG'!O29</f>
        <v>-662.58140000000003</v>
      </c>
      <c r="P29" s="20">
        <f>'MWA FIXED INPUT PG'!P29</f>
        <v>-613.44389999999999</v>
      </c>
      <c r="Q29" s="20">
        <f>'MWA FIXED INPUT PG'!Q29</f>
        <v>-499.79930000000002</v>
      </c>
      <c r="R29" s="20">
        <f>'MWA FIXED INPUT PG'!R29</f>
        <v>-637.9819</v>
      </c>
      <c r="S29" s="20">
        <f>'MWA FIXED INPUT PG'!S29</f>
        <v>-632.46040000000005</v>
      </c>
      <c r="T29" s="20">
        <f>'MWA FIXED INPUT PG'!T29</f>
        <v>-650.45309999999995</v>
      </c>
      <c r="U29" s="20">
        <f>'MWA FIXED INPUT PG'!U29</f>
        <v>-370.77870000000001</v>
      </c>
      <c r="V29" s="20">
        <f>'MWA FIXED INPUT PG'!V29</f>
        <v>-429.22340000000003</v>
      </c>
      <c r="W29" s="20">
        <f>'MWA FIXED INPUT PG'!W29</f>
        <v>-359.3107</v>
      </c>
      <c r="X29" s="20">
        <f>'MWA FIXED INPUT PG'!X29</f>
        <v>-474.89699999999999</v>
      </c>
      <c r="Y29" s="20">
        <f>'MWA FIXED INPUT PG'!Y29</f>
        <v>-579.68269999999995</v>
      </c>
      <c r="Z29" s="20">
        <f>'MWA FIXED INPUT PG'!Z29</f>
        <v>-683.78200000000004</v>
      </c>
      <c r="AA29" s="20">
        <f>'MWA FIXED INPUT PG'!AA29</f>
        <v>-326.98849999999999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-262.58140000000003</v>
      </c>
      <c r="P32" s="18">
        <f>'MWA FIXED INPUT PG'!P32</f>
        <v>-213.44389999999999</v>
      </c>
      <c r="Q32" s="18">
        <f>'MWA FIXED INPUT PG'!Q32</f>
        <v>-99.799300000000017</v>
      </c>
      <c r="R32" s="18">
        <f>'MWA FIXED INPUT PG'!R32</f>
        <v>-37.981899999999996</v>
      </c>
      <c r="S32" s="18">
        <f>'MWA FIXED INPUT PG'!S32</f>
        <v>-32.46040000000005</v>
      </c>
      <c r="T32" s="18">
        <f>'MWA FIXED INPUT PG'!T32</f>
        <v>-50.453099999999949</v>
      </c>
      <c r="U32" s="18">
        <f>'MWA FIXED INPUT PG'!U32</f>
        <v>0</v>
      </c>
      <c r="V32" s="18">
        <f>'MWA FIXED INPUT PG'!V32</f>
        <v>-29.223400000000026</v>
      </c>
      <c r="W32" s="18">
        <f>'MWA FIXED INPUT PG'!W32</f>
        <v>0</v>
      </c>
      <c r="X32" s="18">
        <f>'MWA FIXED INPUT PG'!X32</f>
        <v>-74.896999999999991</v>
      </c>
      <c r="Y32" s="18">
        <f>'MWA FIXED INPUT PG'!Y32</f>
        <v>-179.68269999999995</v>
      </c>
      <c r="Z32" s="18">
        <f>'MWA FIXED INPUT PG'!Z32</f>
        <v>-283.78200000000004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100</v>
      </c>
      <c r="G35" s="263">
        <f>'MWA FIXED INPUT PG'!G35</f>
        <v>100</v>
      </c>
      <c r="H35" s="263">
        <f>'MWA FIXED INPUT PG'!H35</f>
        <v>100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12.540699999999999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-5.3472</v>
      </c>
      <c r="G40" s="20">
        <f>'MWA FIXED INPUT PG'!G40</f>
        <v>-10.2151</v>
      </c>
      <c r="H40" s="20">
        <f>'MWA FIXED INPUT PG'!H40</f>
        <v>-11.1111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-1.1102000000000001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0.40852110553301696</v>
      </c>
      <c r="D47" s="135">
        <f>[2]Summary!G59</f>
        <v>0.22028462423965292</v>
      </c>
      <c r="E47" s="135">
        <f>[2]Summary!H59</f>
        <v>9.6560967981641488E-3</v>
      </c>
      <c r="F47" s="135">
        <f>[2]Summary!I59</f>
        <v>9.5817988100116436E-3</v>
      </c>
      <c r="G47" s="135">
        <f>[2]Summary!J59</f>
        <v>7.7884588556249579E-2</v>
      </c>
      <c r="H47" s="135">
        <f>[2]Summary!K59</f>
        <v>0.23095000835599469</v>
      </c>
      <c r="I47" s="135">
        <f>[2]Summary!L59</f>
        <v>0.70057775196847549</v>
      </c>
      <c r="J47" s="135">
        <f>[2]Summary!M59</f>
        <v>0.90107265563665129</v>
      </c>
      <c r="K47" s="135">
        <f>[2]Summary!N59</f>
        <v>0.82513857173563687</v>
      </c>
      <c r="L47" s="135">
        <f>[2]Summary!O59</f>
        <v>0.57804893156568415</v>
      </c>
      <c r="M47" s="135">
        <f>[2]Summary!P59</f>
        <v>0.38967922935336252</v>
      </c>
      <c r="N47" s="135">
        <f>[2]Summary!Q59</f>
        <v>0.42741103717297829</v>
      </c>
      <c r="O47" s="135">
        <f>[2]Summary!R59</f>
        <v>0.4830560860948499</v>
      </c>
      <c r="P47" s="135">
        <f>[2]Summary!S59</f>
        <v>0.41519220612547991</v>
      </c>
      <c r="Q47" s="135">
        <f>[2]Summary!T59</f>
        <v>0.32435988194868381</v>
      </c>
      <c r="R47" s="135">
        <f>[2]Summary!U59</f>
        <v>0.28532621944146108</v>
      </c>
      <c r="S47" s="135">
        <f>[2]Summary!V59</f>
        <v>0.20690556193921472</v>
      </c>
      <c r="T47" s="135">
        <f>[2]Summary!W59</f>
        <v>0.27213437696379061</v>
      </c>
      <c r="U47" s="135">
        <f>[2]Summary!X59</f>
        <v>0.71689251501978579</v>
      </c>
      <c r="V47" s="135">
        <f>[2]Summary!Y59</f>
        <v>0.81904672468292561</v>
      </c>
      <c r="W47" s="135">
        <f>[2]Summary!Z59</f>
        <v>0.72576821062528496</v>
      </c>
      <c r="X47" s="135">
        <f>[2]Summary!AA59</f>
        <v>0.47608004150697392</v>
      </c>
      <c r="Y47" s="135">
        <f>[2]Summary!AB59</f>
        <v>0.42700871624942005</v>
      </c>
      <c r="Z47" s="135">
        <f>[2]Summary!AC59</f>
        <v>0.48531974970603803</v>
      </c>
      <c r="AA47" s="135">
        <f>[2]Summary!AD59</f>
        <v>0</v>
      </c>
    </row>
    <row r="48" spans="1:27" ht="13.5" customHeight="1" x14ac:dyDescent="0.15">
      <c r="A48" s="131" t="s">
        <v>104</v>
      </c>
      <c r="C48" s="135">
        <f>[2]Summary!F60</f>
        <v>1.2164432717717277E-3</v>
      </c>
      <c r="D48" s="135">
        <f>[2]Summary!G60</f>
        <v>9.9699728261799514E-3</v>
      </c>
      <c r="E48" s="135">
        <f>[2]Summary!H60</f>
        <v>8.8604430617778007E-4</v>
      </c>
      <c r="F48" s="135">
        <f>[2]Summary!I60</f>
        <v>1.9147961295735707E-3</v>
      </c>
      <c r="G48" s="135">
        <f>[2]Summary!J60</f>
        <v>1.5320121624542438E-3</v>
      </c>
      <c r="H48" s="135">
        <f>[2]Summary!K60</f>
        <v>2.23881255270536E-2</v>
      </c>
      <c r="I48" s="135">
        <f>[2]Summary!L60</f>
        <v>0.31067508553578582</v>
      </c>
      <c r="J48" s="135">
        <f>[2]Summary!M60</f>
        <v>0.48107256339585258</v>
      </c>
      <c r="K48" s="135">
        <f>[2]Summary!N60</f>
        <v>0.32562656859592887</v>
      </c>
      <c r="L48" s="135">
        <f>[2]Summary!O60</f>
        <v>0.20889769893256271</v>
      </c>
      <c r="M48" s="135">
        <f>[2]Summary!P60</f>
        <v>8.7091827384638498E-2</v>
      </c>
      <c r="N48" s="135">
        <f>[2]Summary!Q60</f>
        <v>9.6540040602572139E-2</v>
      </c>
      <c r="O48" s="135">
        <f>[2]Summary!R60</f>
        <v>8.3633233630704296E-2</v>
      </c>
      <c r="P48" s="135">
        <f>[2]Summary!S60</f>
        <v>4.5734155577685898E-2</v>
      </c>
      <c r="Q48" s="135">
        <f>[2]Summary!T60</f>
        <v>0.30224594721467557</v>
      </c>
      <c r="R48" s="135">
        <f>[2]Summary!U60</f>
        <v>0.14405410253796525</v>
      </c>
      <c r="S48" s="135">
        <f>[2]Summary!V60</f>
        <v>0.13675128493177469</v>
      </c>
      <c r="T48" s="135">
        <f>[2]Summary!W60</f>
        <v>7.7948938668017442E-2</v>
      </c>
      <c r="U48" s="135">
        <f>[2]Summary!X60</f>
        <v>0.28259975942441651</v>
      </c>
      <c r="V48" s="135">
        <f>[2]Summary!Y60</f>
        <v>0.35996912942253256</v>
      </c>
      <c r="W48" s="135">
        <f>[2]Summary!Z60</f>
        <v>0.30946927401229546</v>
      </c>
      <c r="X48" s="135">
        <f>[2]Summary!AA60</f>
        <v>0.29151837448008944</v>
      </c>
      <c r="Y48" s="135">
        <f>[2]Summary!AB60</f>
        <v>0.14147770948021865</v>
      </c>
      <c r="Z48" s="135">
        <f>[2]Summary!AC60</f>
        <v>0.16442203484251516</v>
      </c>
      <c r="AA48" s="135">
        <f>[2]Summary!AD60</f>
        <v>0</v>
      </c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0.9702313197485084</v>
      </c>
      <c r="D50" s="135">
        <f>[2]Summary!G62</f>
        <v>0.70197328288006056</v>
      </c>
      <c r="E50" s="135">
        <f>[2]Summary!H62</f>
        <v>0.39305157692595727</v>
      </c>
      <c r="F50" s="135">
        <f>[2]Summary!I62</f>
        <v>0.36879246371346941</v>
      </c>
      <c r="G50" s="135">
        <f>[2]Summary!J62</f>
        <v>0.36931490542092144</v>
      </c>
      <c r="H50" s="135">
        <f>[2]Summary!K62</f>
        <v>0.44434719716879123</v>
      </c>
      <c r="I50" s="135">
        <f>[2]Summary!L62</f>
        <v>0.88044708012618789</v>
      </c>
      <c r="J50" s="135">
        <f>[2]Summary!M62</f>
        <v>0.97073473897667373</v>
      </c>
      <c r="K50" s="135">
        <f>[2]Summary!N62</f>
        <v>0.9283884565000704</v>
      </c>
      <c r="L50" s="135">
        <f>[2]Summary!O62</f>
        <v>0.76365064241007552</v>
      </c>
      <c r="M50" s="135">
        <f>[2]Summary!P62</f>
        <v>0.72050548587787921</v>
      </c>
      <c r="N50" s="135">
        <f>[2]Summary!Q62</f>
        <v>0.77295176711434233</v>
      </c>
      <c r="O50" s="135">
        <f>[2]Summary!R62</f>
        <v>0.80049690487182557</v>
      </c>
      <c r="P50" s="135">
        <f>[2]Summary!S62</f>
        <v>0.73950761548335253</v>
      </c>
      <c r="Q50" s="135">
        <f>[2]Summary!T62</f>
        <v>0.62803746719851494</v>
      </c>
      <c r="R50" s="135">
        <f>[2]Summary!U62</f>
        <v>0.49587879042530614</v>
      </c>
      <c r="S50" s="135">
        <f>[2]Summary!V62</f>
        <v>0.38169091048928705</v>
      </c>
      <c r="T50" s="135">
        <f>[2]Summary!W62</f>
        <v>0.45890767913269975</v>
      </c>
      <c r="U50" s="135">
        <f>[2]Summary!X62</f>
        <v>0.85235864651635629</v>
      </c>
      <c r="V50" s="135">
        <f>[2]Summary!Y62</f>
        <v>0.92760806131230278</v>
      </c>
      <c r="W50" s="135">
        <f>[2]Summary!Z62</f>
        <v>0.87581477144936137</v>
      </c>
      <c r="X50" s="135">
        <f>[2]Summary!AA62</f>
        <v>0.65630503116437489</v>
      </c>
      <c r="Y50" s="135">
        <f>[2]Summary!AB62</f>
        <v>0.69439248525666508</v>
      </c>
      <c r="Z50" s="135">
        <f>[2]Summary!AC62</f>
        <v>0.75008950554069076</v>
      </c>
      <c r="AA50" s="135">
        <f>[2]Summary!AD62</f>
        <v>0</v>
      </c>
    </row>
    <row r="51" spans="1:27" ht="13.5" customHeight="1" x14ac:dyDescent="0.15">
      <c r="A51" s="131" t="s">
        <v>104</v>
      </c>
      <c r="C51" s="135">
        <f>[2]Summary!F63</f>
        <v>0.1885463896388869</v>
      </c>
      <c r="D51" s="135">
        <f>[2]Summary!G63</f>
        <v>0.17494229714768317</v>
      </c>
      <c r="E51" s="135">
        <f>[2]Summary!H63</f>
        <v>0.12532196722334576</v>
      </c>
      <c r="F51" s="135">
        <f>[2]Summary!I63</f>
        <v>6.0298293417456406E-2</v>
      </c>
      <c r="G51" s="135">
        <f>[2]Summary!J63</f>
        <v>3.9696214260220075E-2</v>
      </c>
      <c r="H51" s="135">
        <f>[2]Summary!K63</f>
        <v>6.781005693668829E-2</v>
      </c>
      <c r="I51" s="135">
        <f>[2]Summary!L63</f>
        <v>0.5719506984010897</v>
      </c>
      <c r="J51" s="135">
        <f>[2]Summary!M63</f>
        <v>0.75043348604254578</v>
      </c>
      <c r="K51" s="135">
        <f>[2]Summary!N63</f>
        <v>0.56020055885027265</v>
      </c>
      <c r="L51" s="135">
        <f>[2]Summary!O63</f>
        <v>0.44401340362859532</v>
      </c>
      <c r="M51" s="135">
        <f>[2]Summary!P63</f>
        <v>0.36320166691244538</v>
      </c>
      <c r="N51" s="135">
        <f>[2]Summary!Q63</f>
        <v>0.38583822599897488</v>
      </c>
      <c r="O51" s="135">
        <f>[2]Summary!R63</f>
        <v>0.34663339753358957</v>
      </c>
      <c r="P51" s="135">
        <f>[2]Summary!S63</f>
        <v>0.23408619901155359</v>
      </c>
      <c r="Q51" s="135">
        <f>[2]Summary!T63</f>
        <v>0.46030203374725881</v>
      </c>
      <c r="R51" s="135">
        <f>[2]Summary!U63</f>
        <v>0.28165910688398388</v>
      </c>
      <c r="S51" s="135">
        <f>[2]Summary!V63</f>
        <v>0.2596531217364112</v>
      </c>
      <c r="T51" s="135">
        <f>[2]Summary!W63</f>
        <v>0.16434392332106995</v>
      </c>
      <c r="U51" s="135">
        <f>[2]Summary!X63</f>
        <v>0.57538947330938217</v>
      </c>
      <c r="V51" s="135">
        <f>[2]Summary!Y63</f>
        <v>0.69094579939841172</v>
      </c>
      <c r="W51" s="135">
        <f>[2]Summary!Z63</f>
        <v>0.60527535253751674</v>
      </c>
      <c r="X51" s="135">
        <f>[2]Summary!AA63</f>
        <v>0.44217798960672383</v>
      </c>
      <c r="Y51" s="135">
        <f>[2]Summary!AB63</f>
        <v>0.37539598811831221</v>
      </c>
      <c r="Z51" s="135">
        <f>[2]Summary!AC63</f>
        <v>0.43704036523504131</v>
      </c>
      <c r="AA51" s="135">
        <f>[2]Summary!AD63</f>
        <v>0</v>
      </c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268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1063.3747000000001</v>
      </c>
      <c r="D6" s="163">
        <v>1209.2023999999999</v>
      </c>
      <c r="E6" s="163">
        <v>1235.4286</v>
      </c>
      <c r="F6" s="163">
        <v>1061.3661</v>
      </c>
      <c r="G6" s="163">
        <v>1031.0978</v>
      </c>
      <c r="H6" s="163">
        <v>947.89250000000004</v>
      </c>
      <c r="I6" s="163">
        <v>996.07470000000001</v>
      </c>
      <c r="J6" s="163">
        <v>1015.5712</v>
      </c>
      <c r="K6" s="163">
        <v>1038.155</v>
      </c>
      <c r="L6" s="163">
        <v>1141.4748</v>
      </c>
      <c r="M6" s="163">
        <v>1141.2874999999999</v>
      </c>
      <c r="N6" s="163">
        <v>1152.71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847.12639999999999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1704.3489</v>
      </c>
      <c r="D8" s="163">
        <v>1573.1784</v>
      </c>
      <c r="E8" s="163">
        <v>1348.5315000000001</v>
      </c>
      <c r="F8" s="163">
        <v>1336.1624999999999</v>
      </c>
      <c r="G8" s="163">
        <v>1321.2906</v>
      </c>
      <c r="H8" s="163">
        <v>1211.7067999999999</v>
      </c>
      <c r="I8" s="163">
        <v>1666.0602000000001</v>
      </c>
      <c r="J8" s="163">
        <v>1675.6823000000002</v>
      </c>
      <c r="K8" s="163">
        <v>1617.1320999999998</v>
      </c>
      <c r="L8" s="163">
        <v>1508.5454</v>
      </c>
      <c r="M8" s="163">
        <v>1509.8904</v>
      </c>
      <c r="N8" s="163">
        <v>1696.4503</v>
      </c>
      <c r="O8" s="163">
        <v>1723.3063999999999</v>
      </c>
      <c r="P8" s="163">
        <v>1690.2762</v>
      </c>
      <c r="Q8" s="163">
        <v>1491.1341</v>
      </c>
      <c r="R8" s="163">
        <v>1333.7837999999999</v>
      </c>
      <c r="S8" s="163">
        <v>1181.2944</v>
      </c>
      <c r="T8" s="163">
        <v>1233.4925000000001</v>
      </c>
      <c r="U8" s="163">
        <v>1662.1403</v>
      </c>
      <c r="V8" s="163">
        <v>1629.0841</v>
      </c>
      <c r="W8" s="163">
        <v>1561.7775999999999</v>
      </c>
      <c r="X8" s="163">
        <v>1441.4996000000001</v>
      </c>
      <c r="Y8" s="163">
        <v>1568.2279000000001</v>
      </c>
      <c r="Z8" s="163">
        <v>1662.0904</v>
      </c>
      <c r="AA8" s="163">
        <v>1513.9072000000001</v>
      </c>
    </row>
    <row r="9" spans="1:27" ht="11.25" customHeight="1" x14ac:dyDescent="0.2">
      <c r="A9" s="163" t="s">
        <v>116</v>
      </c>
      <c r="B9" s="161"/>
      <c r="C9" s="254">
        <v>-114.02879999999982</v>
      </c>
      <c r="D9" s="254">
        <v>-11.530700000000252</v>
      </c>
      <c r="E9" s="254">
        <v>75.789399999999887</v>
      </c>
      <c r="F9" s="254">
        <v>-33.533900000000131</v>
      </c>
      <c r="G9" s="254">
        <v>38.417200000000093</v>
      </c>
      <c r="H9" s="254">
        <v>-191.94570000000022</v>
      </c>
      <c r="I9" s="254">
        <v>174.22620000000029</v>
      </c>
      <c r="J9" s="254">
        <v>200.45720000000006</v>
      </c>
      <c r="K9" s="254">
        <v>209.18549999999982</v>
      </c>
      <c r="L9" s="254">
        <v>198.93690000000015</v>
      </c>
      <c r="M9" s="254">
        <v>30.400399999999763</v>
      </c>
      <c r="N9" s="254">
        <v>-38.149699999999939</v>
      </c>
      <c r="O9" s="254">
        <v>-567.20710000000008</v>
      </c>
      <c r="P9" s="254">
        <v>-505.71179999999981</v>
      </c>
      <c r="Q9" s="254">
        <v>-454.7014999999999</v>
      </c>
      <c r="R9" s="254">
        <v>-578.83529999999996</v>
      </c>
      <c r="S9" s="254">
        <v>-599.0675</v>
      </c>
      <c r="T9" s="254">
        <v>-590.68499999999995</v>
      </c>
      <c r="U9" s="254">
        <v>-373.20950000000016</v>
      </c>
      <c r="V9" s="254">
        <v>-424.57099999999991</v>
      </c>
      <c r="W9" s="254">
        <v>-334.92489999999998</v>
      </c>
      <c r="X9" s="254">
        <v>-418.35</v>
      </c>
      <c r="Y9" s="254">
        <v>-460.08580000000006</v>
      </c>
      <c r="Z9" s="254">
        <v>-618.65120000000024</v>
      </c>
      <c r="AA9" s="254">
        <v>-223.84289999999964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933.73119999999994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519.13750000000005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1213.4846</v>
      </c>
      <c r="D13" s="163">
        <v>1199.3738000000001</v>
      </c>
      <c r="E13" s="163">
        <v>1119.2983999999999</v>
      </c>
      <c r="F13" s="163">
        <v>1118.1523999999999</v>
      </c>
      <c r="G13" s="163">
        <v>1096.1611</v>
      </c>
      <c r="H13" s="163">
        <v>854.07060000000001</v>
      </c>
      <c r="I13" s="163">
        <v>1261.4329</v>
      </c>
      <c r="J13" s="163">
        <v>1275.7947999999999</v>
      </c>
      <c r="K13" s="163">
        <v>1198.4389000000001</v>
      </c>
      <c r="L13" s="163">
        <v>1138.6434999999999</v>
      </c>
      <c r="M13" s="163">
        <v>1156.8217999999999</v>
      </c>
      <c r="N13" s="163">
        <v>1329.1513</v>
      </c>
      <c r="O13" s="163">
        <v>1281.8158000000001</v>
      </c>
      <c r="P13" s="163">
        <v>1245.0418</v>
      </c>
      <c r="Q13" s="163">
        <v>1262.3298</v>
      </c>
      <c r="R13" s="163">
        <v>1090.846</v>
      </c>
      <c r="S13" s="163">
        <v>1021.5441</v>
      </c>
      <c r="T13" s="163">
        <v>898.7681</v>
      </c>
      <c r="U13" s="163">
        <v>1246.3756000000001</v>
      </c>
      <c r="V13" s="163">
        <v>1210.057</v>
      </c>
      <c r="W13" s="163">
        <v>1207.7164</v>
      </c>
      <c r="X13" s="163">
        <v>1174.4648999999999</v>
      </c>
      <c r="Y13" s="163">
        <v>1220.8614</v>
      </c>
      <c r="Z13" s="163">
        <v>1322.7684999999999</v>
      </c>
      <c r="AA13" s="163">
        <v>1173.4025999999999</v>
      </c>
    </row>
    <row r="14" spans="1:27" ht="11.25" customHeight="1" x14ac:dyDescent="0.2">
      <c r="A14" s="163" t="s">
        <v>120</v>
      </c>
      <c r="B14" s="161"/>
      <c r="C14" s="254">
        <v>-300.79330000000027</v>
      </c>
      <c r="D14" s="254">
        <v>-286.59899999999993</v>
      </c>
      <c r="E14" s="254">
        <v>-211.95450000000005</v>
      </c>
      <c r="F14" s="254">
        <v>-417.44370000000026</v>
      </c>
      <c r="G14" s="254">
        <v>-327.83209999999985</v>
      </c>
      <c r="H14" s="254">
        <v>-485.19620000000009</v>
      </c>
      <c r="I14" s="254">
        <v>-70.705999999999904</v>
      </c>
      <c r="J14" s="254">
        <v>-78.498900000000276</v>
      </c>
      <c r="K14" s="254">
        <v>-185.31209999999987</v>
      </c>
      <c r="L14" s="254">
        <v>-271.75190000000021</v>
      </c>
      <c r="M14" s="254">
        <v>-473.65449999999987</v>
      </c>
      <c r="N14" s="254">
        <v>-448.54660000000013</v>
      </c>
      <c r="O14" s="254">
        <v>-783.5440000000001</v>
      </c>
      <c r="P14" s="254">
        <v>-757.08670000000006</v>
      </c>
      <c r="Q14" s="254">
        <v>-556.99649999999974</v>
      </c>
      <c r="R14" s="254">
        <v>-718.9195000000002</v>
      </c>
      <c r="S14" s="254">
        <v>-674.81260000000009</v>
      </c>
      <c r="T14" s="254">
        <v>-725.16319999999996</v>
      </c>
      <c r="U14" s="254">
        <v>-341.18849999999998</v>
      </c>
      <c r="V14" s="254">
        <v>-408.61680000000001</v>
      </c>
      <c r="W14" s="254">
        <v>-363.41789999999992</v>
      </c>
      <c r="X14" s="254">
        <v>-553.19290000000001</v>
      </c>
      <c r="Y14" s="254">
        <v>-716.36480000000006</v>
      </c>
      <c r="Z14" s="254">
        <v>-766.38689999999974</v>
      </c>
      <c r="AA14" s="254">
        <v>-454.46990000000051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-196.36590000000001</v>
      </c>
      <c r="D16" s="164">
        <v>-129.4171</v>
      </c>
      <c r="E16" s="164">
        <v>-51.065399999999997</v>
      </c>
      <c r="F16" s="164">
        <v>-195.6292</v>
      </c>
      <c r="G16" s="164">
        <v>-123.04759999999999</v>
      </c>
      <c r="H16" s="164">
        <v>-322.27930000000003</v>
      </c>
      <c r="I16" s="164">
        <v>66.245400000000004</v>
      </c>
      <c r="J16" s="164">
        <v>83.475600000000014</v>
      </c>
      <c r="K16" s="164">
        <v>25.086599999999997</v>
      </c>
      <c r="L16" s="164">
        <v>1.5512999999999999</v>
      </c>
      <c r="M16" s="164">
        <v>-193.624</v>
      </c>
      <c r="N16" s="164">
        <v>-227.90309999999999</v>
      </c>
      <c r="O16" s="164">
        <v>-662.58140000000003</v>
      </c>
      <c r="P16" s="164">
        <v>-613.44389999999999</v>
      </c>
      <c r="Q16" s="164">
        <v>-499.79930000000002</v>
      </c>
      <c r="R16" s="164">
        <v>-637.9819</v>
      </c>
      <c r="S16" s="164">
        <v>-632.46040000000005</v>
      </c>
      <c r="T16" s="164">
        <v>-650.45309999999995</v>
      </c>
      <c r="U16" s="164">
        <v>-359.09270000000004</v>
      </c>
      <c r="V16" s="164">
        <v>-417.53740000000005</v>
      </c>
      <c r="W16" s="164">
        <v>-347.58850000000001</v>
      </c>
      <c r="X16" s="164">
        <v>-474.89699999999999</v>
      </c>
      <c r="Y16" s="164">
        <v>-579.68269999999995</v>
      </c>
      <c r="Z16" s="164">
        <v>-683.78200000000004</v>
      </c>
      <c r="AA16" s="164">
        <v>-325.15039999999999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1704.3489</v>
      </c>
      <c r="D21" s="163">
        <v>1573.1784</v>
      </c>
      <c r="E21" s="163">
        <v>1348.5315000000001</v>
      </c>
      <c r="F21" s="163">
        <v>1336.1624999999999</v>
      </c>
      <c r="G21" s="163">
        <v>1321.2906</v>
      </c>
      <c r="H21" s="163">
        <v>1211.7067999999999</v>
      </c>
      <c r="I21" s="163">
        <v>1645.1602</v>
      </c>
      <c r="J21" s="163">
        <v>1654.7823000000001</v>
      </c>
      <c r="K21" s="163">
        <v>1596.0320999999999</v>
      </c>
      <c r="L21" s="163">
        <v>1508.5454</v>
      </c>
      <c r="M21" s="163">
        <v>1509.8904</v>
      </c>
      <c r="N21" s="163">
        <v>1696.4503</v>
      </c>
      <c r="O21" s="163">
        <v>1723.3063999999999</v>
      </c>
      <c r="P21" s="163">
        <v>1690.2762</v>
      </c>
      <c r="Q21" s="163">
        <v>1491.1341</v>
      </c>
      <c r="R21" s="163">
        <v>1333.7837999999999</v>
      </c>
      <c r="S21" s="163">
        <v>1181.2944</v>
      </c>
      <c r="T21" s="163">
        <v>1233.4925000000001</v>
      </c>
      <c r="U21" s="163">
        <v>1641.2402999999999</v>
      </c>
      <c r="V21" s="163">
        <v>1608.1840999999999</v>
      </c>
      <c r="W21" s="163">
        <v>1540.6776</v>
      </c>
      <c r="X21" s="163">
        <v>1441.4996000000001</v>
      </c>
      <c r="Y21" s="163">
        <v>1568.2279000000001</v>
      </c>
      <c r="Z21" s="163">
        <v>1662.0904</v>
      </c>
      <c r="AA21" s="163">
        <v>1508.6492000000001</v>
      </c>
    </row>
    <row r="22" spans="1:27" ht="11.25" customHeight="1" x14ac:dyDescent="0.2">
      <c r="A22" s="163" t="s">
        <v>116</v>
      </c>
      <c r="B22" s="161"/>
      <c r="C22" s="254">
        <v>-114.02879999999982</v>
      </c>
      <c r="D22" s="254">
        <v>-11.530700000000252</v>
      </c>
      <c r="E22" s="254">
        <v>75.789399999999887</v>
      </c>
      <c r="F22" s="254">
        <v>-133.53390000000013</v>
      </c>
      <c r="G22" s="254">
        <v>-61.582799999999907</v>
      </c>
      <c r="H22" s="254">
        <v>-291.94570000000022</v>
      </c>
      <c r="I22" s="254">
        <v>153.3262000000002</v>
      </c>
      <c r="J22" s="254">
        <v>179.55719999999997</v>
      </c>
      <c r="K22" s="254">
        <v>188.08549999999991</v>
      </c>
      <c r="L22" s="254">
        <v>198.93690000000015</v>
      </c>
      <c r="M22" s="254">
        <v>30.400399999999763</v>
      </c>
      <c r="N22" s="254">
        <v>-38.149699999999939</v>
      </c>
      <c r="O22" s="254">
        <v>-567.20710000000008</v>
      </c>
      <c r="P22" s="254">
        <v>-505.71179999999981</v>
      </c>
      <c r="Q22" s="254">
        <v>-454.7014999999999</v>
      </c>
      <c r="R22" s="254">
        <v>-578.83529999999996</v>
      </c>
      <c r="S22" s="254">
        <v>-599.0675</v>
      </c>
      <c r="T22" s="254">
        <v>-590.68499999999995</v>
      </c>
      <c r="U22" s="254">
        <v>-394.10950000000025</v>
      </c>
      <c r="V22" s="254">
        <v>-445.471</v>
      </c>
      <c r="W22" s="254">
        <v>-356.02489999999989</v>
      </c>
      <c r="X22" s="254">
        <v>-418.35</v>
      </c>
      <c r="Y22" s="254">
        <v>-460.08580000000006</v>
      </c>
      <c r="Z22" s="254">
        <v>-618.65120000000024</v>
      </c>
      <c r="AA22" s="254">
        <v>-241.6415999999997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933.73119999999994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537.67309999999998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1213.4846</v>
      </c>
      <c r="D26" s="163">
        <v>1199.3738000000001</v>
      </c>
      <c r="E26" s="163">
        <v>1119.2983999999999</v>
      </c>
      <c r="F26" s="163">
        <v>1118.1523999999999</v>
      </c>
      <c r="G26" s="163">
        <v>1096.1611</v>
      </c>
      <c r="H26" s="163">
        <v>854.07060000000001</v>
      </c>
      <c r="I26" s="163">
        <v>1261.4328</v>
      </c>
      <c r="J26" s="163">
        <v>1275.7947999999999</v>
      </c>
      <c r="K26" s="163">
        <v>1198.4389000000001</v>
      </c>
      <c r="L26" s="163">
        <v>1138.6434999999999</v>
      </c>
      <c r="M26" s="163">
        <v>1156.8217999999999</v>
      </c>
      <c r="N26" s="163">
        <v>1329.1513</v>
      </c>
      <c r="O26" s="163">
        <v>1281.8158000000001</v>
      </c>
      <c r="P26" s="163">
        <v>1245.0418</v>
      </c>
      <c r="Q26" s="163">
        <v>1262.3298</v>
      </c>
      <c r="R26" s="163">
        <v>1090.846</v>
      </c>
      <c r="S26" s="163">
        <v>1021.5441</v>
      </c>
      <c r="T26" s="163">
        <v>898.7681</v>
      </c>
      <c r="U26" s="163">
        <v>1246.3756000000001</v>
      </c>
      <c r="V26" s="163">
        <v>1210.057</v>
      </c>
      <c r="W26" s="163">
        <v>1207.7164</v>
      </c>
      <c r="X26" s="163">
        <v>1174.4648999999999</v>
      </c>
      <c r="Y26" s="163">
        <v>1220.8614</v>
      </c>
      <c r="Z26" s="163">
        <v>1322.7684999999999</v>
      </c>
      <c r="AA26" s="163">
        <v>1173.4025999999999</v>
      </c>
    </row>
    <row r="27" spans="1:27" ht="11.25" customHeight="1" x14ac:dyDescent="0.2">
      <c r="A27" s="163" t="s">
        <v>120</v>
      </c>
      <c r="B27" s="161"/>
      <c r="C27" s="254">
        <v>-300.79330000000027</v>
      </c>
      <c r="D27" s="254">
        <v>-286.59899999999993</v>
      </c>
      <c r="E27" s="254">
        <v>-211.95450000000005</v>
      </c>
      <c r="F27" s="254">
        <v>-267.9371000000001</v>
      </c>
      <c r="G27" s="254">
        <v>-177.83209999999985</v>
      </c>
      <c r="H27" s="254">
        <v>-335.19620000000009</v>
      </c>
      <c r="I27" s="254">
        <v>-70.706099999999878</v>
      </c>
      <c r="J27" s="254">
        <v>-78.498900000000276</v>
      </c>
      <c r="K27" s="254">
        <v>-185.31209999999987</v>
      </c>
      <c r="L27" s="254">
        <v>-271.75190000000021</v>
      </c>
      <c r="M27" s="254">
        <v>-473.65449999999987</v>
      </c>
      <c r="N27" s="254">
        <v>-448.54660000000013</v>
      </c>
      <c r="O27" s="254">
        <v>-783.5440000000001</v>
      </c>
      <c r="P27" s="254">
        <v>-757.08670000000006</v>
      </c>
      <c r="Q27" s="254">
        <v>-556.99649999999974</v>
      </c>
      <c r="R27" s="254">
        <v>-718.9195000000002</v>
      </c>
      <c r="S27" s="254">
        <v>-674.81260000000009</v>
      </c>
      <c r="T27" s="254">
        <v>-725.16319999999996</v>
      </c>
      <c r="U27" s="254">
        <v>-341.18849999999998</v>
      </c>
      <c r="V27" s="254">
        <v>-408.61680000000001</v>
      </c>
      <c r="W27" s="254">
        <v>-363.41789999999992</v>
      </c>
      <c r="X27" s="254">
        <v>-553.19290000000001</v>
      </c>
      <c r="Y27" s="254">
        <v>-716.36480000000006</v>
      </c>
      <c r="Z27" s="254">
        <v>-766.38689999999974</v>
      </c>
      <c r="AA27" s="254">
        <v>-435.93430000000035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-196.36590000000001</v>
      </c>
      <c r="D29" s="164">
        <v>-129.4171</v>
      </c>
      <c r="E29" s="164">
        <v>-51.065399999999997</v>
      </c>
      <c r="F29" s="164">
        <v>-190.28200000000001</v>
      </c>
      <c r="G29" s="164">
        <v>-112.8325</v>
      </c>
      <c r="H29" s="164">
        <v>-311.16820000000001</v>
      </c>
      <c r="I29" s="164">
        <v>54.5593</v>
      </c>
      <c r="J29" s="164">
        <v>71.340100000000007</v>
      </c>
      <c r="K29" s="164">
        <v>13.833299999999999</v>
      </c>
      <c r="L29" s="164">
        <v>1.5512999999999999</v>
      </c>
      <c r="M29" s="164">
        <v>-193.624</v>
      </c>
      <c r="N29" s="164">
        <v>-227.90309999999999</v>
      </c>
      <c r="O29" s="164">
        <v>-662.58140000000003</v>
      </c>
      <c r="P29" s="164">
        <v>-613.44389999999999</v>
      </c>
      <c r="Q29" s="164">
        <v>-499.79930000000002</v>
      </c>
      <c r="R29" s="164">
        <v>-637.9819</v>
      </c>
      <c r="S29" s="164">
        <v>-632.46040000000005</v>
      </c>
      <c r="T29" s="164">
        <v>-650.45309999999995</v>
      </c>
      <c r="U29" s="164">
        <v>-370.77870000000001</v>
      </c>
      <c r="V29" s="164">
        <v>-429.22340000000003</v>
      </c>
      <c r="W29" s="164">
        <v>-359.3107</v>
      </c>
      <c r="X29" s="164">
        <v>-474.89699999999999</v>
      </c>
      <c r="Y29" s="164">
        <v>-579.68269999999995</v>
      </c>
      <c r="Z29" s="164">
        <v>-683.78200000000004</v>
      </c>
      <c r="AA29" s="164">
        <v>-326.98849999999999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-262.58140000000003</v>
      </c>
      <c r="P32" s="166">
        <v>-213.44389999999999</v>
      </c>
      <c r="Q32" s="166">
        <v>-99.799300000000017</v>
      </c>
      <c r="R32" s="166">
        <v>-37.981899999999996</v>
      </c>
      <c r="S32" s="166">
        <v>-32.46040000000005</v>
      </c>
      <c r="T32" s="166">
        <v>-50.453099999999949</v>
      </c>
      <c r="U32" s="166">
        <v>0</v>
      </c>
      <c r="V32" s="166">
        <v>-29.223400000000026</v>
      </c>
      <c r="W32" s="166">
        <v>0</v>
      </c>
      <c r="X32" s="166">
        <v>-74.896999999999991</v>
      </c>
      <c r="Y32" s="166">
        <v>-179.68269999999995</v>
      </c>
      <c r="Z32" s="166">
        <v>-283.78200000000004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100</v>
      </c>
      <c r="G35" s="163">
        <v>100</v>
      </c>
      <c r="H35" s="163">
        <v>100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12.540699999999999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-5.3472</v>
      </c>
      <c r="G40" s="164">
        <v>-10.2151</v>
      </c>
      <c r="H40" s="164">
        <v>-11.1111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-1.1102000000000001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271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2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2">
      <c r="A1" s="136" t="s">
        <v>112</v>
      </c>
    </row>
    <row r="2" spans="1:6" ht="12" customHeight="1" x14ac:dyDescent="0.2">
      <c r="A2" s="136" t="s">
        <v>130</v>
      </c>
    </row>
    <row r="3" spans="1:6" ht="12" customHeight="1" x14ac:dyDescent="0.2">
      <c r="A3" s="136" t="str">
        <f>MWA!A2</f>
        <v>Valuation Date:  12/21/2001</v>
      </c>
    </row>
    <row r="4" spans="1:6" ht="12" customHeight="1" x14ac:dyDescent="0.2">
      <c r="A4" s="136" t="str">
        <f>MWA!A3</f>
        <v>As of:                12/21/2001</v>
      </c>
    </row>
    <row r="6" spans="1:6" ht="13.5" customHeight="1" thickBot="1" x14ac:dyDescent="0.25">
      <c r="A6" s="139"/>
    </row>
    <row r="7" spans="1:6" ht="13.5" customHeight="1" thickBot="1" x14ac:dyDescent="0.25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2">
      <c r="A8" s="139" t="s">
        <v>113</v>
      </c>
      <c r="C8" s="142">
        <f>MWA!C19</f>
        <v>1063.3747000000001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2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2">
      <c r="A10" s="139" t="s">
        <v>115</v>
      </c>
      <c r="C10" s="143">
        <f>MWA!C21</f>
        <v>1704.3489</v>
      </c>
      <c r="D10" s="143">
        <f>MWA!D21</f>
        <v>1573.1784</v>
      </c>
      <c r="E10" s="143">
        <f>MWA!E21</f>
        <v>1348.5315000000001</v>
      </c>
      <c r="F10" s="1"/>
    </row>
    <row r="11" spans="1:6" ht="13.5" customHeight="1" x14ac:dyDescent="0.2">
      <c r="A11" s="139" t="s">
        <v>116</v>
      </c>
      <c r="C11" s="142">
        <f>SUM(C8:C10)</f>
        <v>-114.02879999999982</v>
      </c>
      <c r="D11" s="142">
        <f>SUM(D8:D10)</f>
        <v>-11.530700000000252</v>
      </c>
      <c r="E11" s="142">
        <f>SUM(E8:E10)</f>
        <v>75.789399999999887</v>
      </c>
    </row>
    <row r="12" spans="1:6" ht="13.5" customHeight="1" x14ac:dyDescent="0.2">
      <c r="C12" s="142"/>
      <c r="D12" s="142"/>
      <c r="E12" s="142"/>
    </row>
    <row r="13" spans="1:6" ht="13.5" customHeight="1" x14ac:dyDescent="0.2">
      <c r="A13" s="139" t="s">
        <v>117</v>
      </c>
      <c r="C13" s="142">
        <f>MWA!C24</f>
        <v>933.73119999999994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2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2">
      <c r="A15" s="139" t="s">
        <v>119</v>
      </c>
      <c r="C15" s="143">
        <f>MWA!C26</f>
        <v>1213.4846</v>
      </c>
      <c r="D15" s="143">
        <f>MWA!D26</f>
        <v>1199.3738000000001</v>
      </c>
      <c r="E15" s="143">
        <f>MWA!E26</f>
        <v>1119.2983999999999</v>
      </c>
    </row>
    <row r="16" spans="1:6" ht="13.5" customHeight="1" x14ac:dyDescent="0.2">
      <c r="A16" s="139" t="s">
        <v>120</v>
      </c>
      <c r="C16" s="142">
        <f>SUM(C13:C15)</f>
        <v>-300.79330000000027</v>
      </c>
      <c r="D16" s="142">
        <f>SUM(D13:D15)</f>
        <v>-286.59899999999993</v>
      </c>
      <c r="E16" s="142">
        <f>SUM(E13:E15)</f>
        <v>-211.95450000000005</v>
      </c>
    </row>
    <row r="17" spans="1:18" ht="13.5" customHeight="1" thickBot="1" x14ac:dyDescent="0.25"/>
    <row r="18" spans="1:18" ht="13.5" customHeight="1" thickBot="1" x14ac:dyDescent="0.25">
      <c r="A18" s="136" t="s">
        <v>121</v>
      </c>
      <c r="C18" s="186">
        <f>MWA!C29</f>
        <v>-196.36590000000001</v>
      </c>
      <c r="D18" s="186">
        <f>MWA!D29</f>
        <v>-129.4171</v>
      </c>
      <c r="E18" s="186">
        <f>MWA!E29</f>
        <v>-51.065399999999997</v>
      </c>
    </row>
    <row r="20" spans="1:18" ht="13.5" customHeight="1" x14ac:dyDescent="0.2">
      <c r="A20" s="139" t="s">
        <v>102</v>
      </c>
    </row>
    <row r="21" spans="1:18" ht="13.5" customHeight="1" x14ac:dyDescent="0.2">
      <c r="A21" s="139" t="s">
        <v>103</v>
      </c>
      <c r="C21" s="145">
        <f>MWA!C47</f>
        <v>0.40852110553301696</v>
      </c>
      <c r="D21" s="145">
        <f>MWA!D47</f>
        <v>0.22028462423965292</v>
      </c>
      <c r="E21" s="145">
        <f>MWA!E47</f>
        <v>9.6560967981641488E-3</v>
      </c>
    </row>
    <row r="22" spans="1:18" ht="13.5" customHeight="1" x14ac:dyDescent="0.2">
      <c r="A22" s="139" t="s">
        <v>104</v>
      </c>
      <c r="C22" s="145">
        <f>MWA!C48</f>
        <v>1.2164432717717277E-3</v>
      </c>
      <c r="D22" s="145">
        <f>MWA!D48</f>
        <v>9.9699728261799514E-3</v>
      </c>
      <c r="E22" s="145">
        <f>MWA!E48</f>
        <v>8.8604430617778007E-4</v>
      </c>
    </row>
    <row r="23" spans="1:18" ht="13.5" customHeight="1" x14ac:dyDescent="0.2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2">
      <c r="A24" s="139" t="s">
        <v>103</v>
      </c>
      <c r="C24" s="145">
        <f>MWA!C50</f>
        <v>0.9702313197485084</v>
      </c>
      <c r="D24" s="145">
        <f>MWA!D50</f>
        <v>0.70197328288006056</v>
      </c>
      <c r="E24" s="145">
        <f>MWA!E50</f>
        <v>0.39305157692595727</v>
      </c>
    </row>
    <row r="25" spans="1:18" ht="13.5" customHeight="1" x14ac:dyDescent="0.2">
      <c r="A25" s="139" t="s">
        <v>104</v>
      </c>
      <c r="C25" s="145">
        <f>MWA!C51</f>
        <v>0.1885463896388869</v>
      </c>
      <c r="D25" s="145">
        <f>MWA!D51</f>
        <v>0.17494229714768317</v>
      </c>
      <c r="E25" s="145">
        <f>MWA!E51</f>
        <v>0.12532196722334576</v>
      </c>
    </row>
    <row r="26" spans="1:18" ht="13.5" customHeight="1" thickBot="1" x14ac:dyDescent="0.25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5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2">
      <c r="A28" s="139" t="s">
        <v>113</v>
      </c>
      <c r="C28" s="142">
        <f t="shared" si="0"/>
        <v>1063.3747000000001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2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186.28562412305573</v>
      </c>
      <c r="I29" s="146">
        <f>[1]BEAVER!$E$10</f>
        <v>456</v>
      </c>
      <c r="J29" s="147">
        <f>I29-H29</f>
        <v>269.71437587694425</v>
      </c>
      <c r="L29" s="146">
        <f>'[1]Output for Upload'!$H$9</f>
        <v>99.12808090784381</v>
      </c>
      <c r="M29" s="146">
        <f>[1]BEAVER!$F$10</f>
        <v>450</v>
      </c>
      <c r="N29" s="147">
        <f>M29-L29</f>
        <v>350.87191909215619</v>
      </c>
      <c r="P29" s="146">
        <f>'[1]Output for Upload'!$I$9</f>
        <v>2.645770522696977</v>
      </c>
      <c r="Q29" s="146">
        <f>[1]BEAVER!$G$10</f>
        <v>274</v>
      </c>
      <c r="R29" s="147">
        <f>Q29-P29</f>
        <v>271.35422947730302</v>
      </c>
    </row>
    <row r="30" spans="1:18" ht="13.5" customHeight="1" x14ac:dyDescent="0.2">
      <c r="A30" s="139" t="s">
        <v>115</v>
      </c>
      <c r="C30" s="143">
        <f>C10+J29+J33</f>
        <v>1980.9993783755419</v>
      </c>
      <c r="D30" s="143">
        <f>D10+N29+N33</f>
        <v>1992.0004105955024</v>
      </c>
      <c r="E30" s="148">
        <f>E10+R29+R33</f>
        <v>1716.99747716915</v>
      </c>
      <c r="G30" s="137" t="s">
        <v>124</v>
      </c>
      <c r="H30" s="146">
        <f>'[1]Output for Upload'!$G$10</f>
        <v>0.55469813192790784</v>
      </c>
      <c r="I30" s="146">
        <f>I29</f>
        <v>456</v>
      </c>
      <c r="J30" s="147">
        <f>I30-H30</f>
        <v>455.44530186807208</v>
      </c>
      <c r="L30" s="146">
        <f>'[1]Output for Upload'!$H$10</f>
        <v>4.4864877717809781</v>
      </c>
      <c r="M30" s="146">
        <f>M29</f>
        <v>450</v>
      </c>
      <c r="N30" s="147">
        <f>M30-L30</f>
        <v>445.51351222821904</v>
      </c>
      <c r="P30" s="146">
        <f>'[1]Output for Upload'!$I$10</f>
        <v>0.24277613989271174</v>
      </c>
      <c r="Q30" s="146">
        <f>Q29</f>
        <v>274</v>
      </c>
      <c r="R30" s="147">
        <f>Q30-P30</f>
        <v>273.75722386010727</v>
      </c>
    </row>
    <row r="31" spans="1:18" ht="13.5" customHeight="1" x14ac:dyDescent="0.2">
      <c r="A31" s="139" t="s">
        <v>116</v>
      </c>
      <c r="C31" s="142">
        <f>SUM(C28:C30)</f>
        <v>162.62167837554216</v>
      </c>
      <c r="D31" s="142">
        <f>SUM(D28:D30)</f>
        <v>407.29131059550218</v>
      </c>
      <c r="E31" s="142">
        <f>SUM(E28:E30)</f>
        <v>444.25537716914982</v>
      </c>
    </row>
    <row r="32" spans="1:18" ht="13.5" customHeight="1" x14ac:dyDescent="0.2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2">
      <c r="A33" s="139" t="s">
        <v>117</v>
      </c>
      <c r="C33" s="142">
        <f t="shared" ref="C33:E34" si="1">C13</f>
        <v>933.73119999999994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226.06389750140247</v>
      </c>
      <c r="I33" s="146">
        <f>[1]COYOTE!$E$10</f>
        <v>233</v>
      </c>
      <c r="J33" s="147">
        <f>I33-H33</f>
        <v>6.9361024985975348</v>
      </c>
      <c r="L33" s="146">
        <f>'[1]Output for Upload'!$H$12</f>
        <v>160.04990849665381</v>
      </c>
      <c r="M33" s="146">
        <f>[1]COYOTE!$F$10</f>
        <v>228</v>
      </c>
      <c r="N33" s="147">
        <f>M33-L33</f>
        <v>67.950091503346187</v>
      </c>
      <c r="P33" s="146">
        <f>'[1]Output for Upload'!$I$12</f>
        <v>62.888252308153163</v>
      </c>
      <c r="Q33" s="146">
        <f>[1]COYOTE!$G$10</f>
        <v>160</v>
      </c>
      <c r="R33" s="147">
        <f>Q33-P33</f>
        <v>97.11174769184683</v>
      </c>
    </row>
    <row r="34" spans="1:18" ht="13.5" customHeight="1" x14ac:dyDescent="0.2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43.931308785860644</v>
      </c>
      <c r="I34" s="146">
        <f>I33</f>
        <v>233</v>
      </c>
      <c r="J34" s="147">
        <f>I34-H34</f>
        <v>189.06869121413936</v>
      </c>
      <c r="L34" s="146">
        <f>'[1]Output for Upload'!$H$13</f>
        <v>39.886843749671762</v>
      </c>
      <c r="M34" s="146">
        <f>M33</f>
        <v>228</v>
      </c>
      <c r="N34" s="147">
        <f>M34-L34</f>
        <v>188.11315625032825</v>
      </c>
      <c r="P34" s="146">
        <f>'[1]Output for Upload'!$I$13</f>
        <v>20.051514755735322</v>
      </c>
      <c r="Q34" s="146">
        <f>Q33</f>
        <v>160</v>
      </c>
      <c r="R34" s="147">
        <f>Q34-P34</f>
        <v>139.94848524426467</v>
      </c>
    </row>
    <row r="35" spans="1:18" ht="13.5" customHeight="1" x14ac:dyDescent="0.2">
      <c r="A35" s="139" t="s">
        <v>119</v>
      </c>
      <c r="C35" s="143">
        <f>C15+J30+J34</f>
        <v>1857.9985930822115</v>
      </c>
      <c r="D35" s="143">
        <f>D15+N30+N34</f>
        <v>1833.0004684785474</v>
      </c>
      <c r="E35" s="148">
        <f>E15+R30+R34</f>
        <v>1533.0041091043718</v>
      </c>
    </row>
    <row r="36" spans="1:18" ht="13.5" customHeight="1" x14ac:dyDescent="0.2">
      <c r="A36" s="139" t="s">
        <v>120</v>
      </c>
      <c r="C36" s="142">
        <f>SUM(C33:C35)</f>
        <v>343.72069308221126</v>
      </c>
      <c r="D36" s="142">
        <f>SUM(D33:D35)</f>
        <v>347.02766847854741</v>
      </c>
      <c r="E36" s="142">
        <f>SUM(E33:E35)</f>
        <v>201.75120910437181</v>
      </c>
    </row>
    <row r="37" spans="1:18" ht="13.5" customHeight="1" thickBot="1" x14ac:dyDescent="0.25"/>
    <row r="38" spans="1:18" ht="13.5" customHeight="1" thickBot="1" x14ac:dyDescent="0.25">
      <c r="A38" s="136" t="s">
        <v>121</v>
      </c>
      <c r="C38" s="186">
        <f>((C31*C41)+(C36*C42))/C43</f>
        <v>238.70757314492124</v>
      </c>
      <c r="D38" s="186">
        <f>((D31*D41)+(D36*D42))/D43</f>
        <v>380.50746965463338</v>
      </c>
      <c r="E38" s="186">
        <f>((E31*E41)+(E36*E42))/E43</f>
        <v>332.12979408543526</v>
      </c>
    </row>
    <row r="40" spans="1:18" ht="14.25" customHeight="1" x14ac:dyDescent="0.2">
      <c r="A40" s="144" t="s">
        <v>73</v>
      </c>
    </row>
    <row r="41" spans="1:18" ht="13.5" hidden="1" customHeight="1" x14ac:dyDescent="0.2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2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2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2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2">
      <c r="A45" s="144" t="s">
        <v>154</v>
      </c>
      <c r="C45" s="137">
        <f>'PLR SUM'!C40</f>
        <v>64.423100000000005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 activeCell="A3" sqref="A3"/>
    </sheetView>
  </sheetViews>
  <sheetFormatPr defaultColWidth="12" defaultRowHeight="13.5" customHeight="1" x14ac:dyDescent="0.2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2">
      <c r="A1" s="271" t="str">
        <f>'MWH FIXED INPUT PG'!A1</f>
        <v>FIXED TERM - Power Position Summary - MWH</v>
      </c>
    </row>
    <row r="2" spans="1:27" ht="12" customHeight="1" x14ac:dyDescent="0.2">
      <c r="A2" s="271" t="str">
        <f>'MWH FIXED INPUT PG'!A2</f>
        <v>Valuation Date:  12/21/2001</v>
      </c>
    </row>
    <row r="3" spans="1:27" ht="12" customHeight="1" x14ac:dyDescent="0.2">
      <c r="A3" s="271" t="str">
        <f>'MWH FIXED INPUT PG'!A3</f>
        <v>Prior Date:          12/20/2001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2">
      <c r="A4" s="271" t="str">
        <f>'MWH FIXED INPUT PG'!A4</f>
        <v>As of:                  12/21/2001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5"/>
    <row r="6" spans="1:27" ht="12" customHeight="1" thickBot="1" x14ac:dyDescent="0.25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2">
      <c r="A7" s="274" t="s">
        <v>113</v>
      </c>
      <c r="C7" s="275">
        <f>C20+C33</f>
        <v>442363.88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441528.28</v>
      </c>
      <c r="G7" s="275">
        <f t="shared" si="0"/>
        <v>428936.68</v>
      </c>
      <c r="H7" s="275">
        <f t="shared" si="0"/>
        <v>379157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493117.12</v>
      </c>
      <c r="M7" s="275">
        <f t="shared" si="0"/>
        <v>456515</v>
      </c>
      <c r="N7" s="275">
        <f t="shared" si="0"/>
        <v>461084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8322169.6000000015</v>
      </c>
    </row>
    <row r="8" spans="1:27" ht="11.25" customHeight="1" x14ac:dyDescent="0.2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2">
      <c r="A9" s="274" t="s">
        <v>115</v>
      </c>
      <c r="C9" s="275">
        <f>C22+C34</f>
        <v>709009.13600000006</v>
      </c>
      <c r="D9" s="275">
        <f t="shared" ref="D9:AA9" si="2">D22+D34</f>
        <v>604100.495</v>
      </c>
      <c r="E9" s="275">
        <f t="shared" si="2"/>
        <v>560989.12</v>
      </c>
      <c r="F9" s="275">
        <f t="shared" si="2"/>
        <v>555843.58600000001</v>
      </c>
      <c r="G9" s="275">
        <f t="shared" si="2"/>
        <v>549656.88500000001</v>
      </c>
      <c r="H9" s="275">
        <f t="shared" si="2"/>
        <v>484682.70500000002</v>
      </c>
      <c r="I9" s="275">
        <f t="shared" si="2"/>
        <v>684386.66</v>
      </c>
      <c r="J9" s="275">
        <f t="shared" si="2"/>
        <v>714865.96</v>
      </c>
      <c r="K9" s="275">
        <f t="shared" si="2"/>
        <v>612876.34100000001</v>
      </c>
      <c r="L9" s="275">
        <f t="shared" si="2"/>
        <v>651691.60800000001</v>
      </c>
      <c r="M9" s="275">
        <f t="shared" si="2"/>
        <v>603956.152</v>
      </c>
      <c r="N9" s="275">
        <f t="shared" si="2"/>
        <v>678580.11899999995</v>
      </c>
      <c r="O9" s="275">
        <f t="shared" si="2"/>
        <v>716895.44200000004</v>
      </c>
      <c r="P9" s="275">
        <f t="shared" si="2"/>
        <v>649066.04500000004</v>
      </c>
      <c r="Q9" s="275">
        <f t="shared" si="2"/>
        <v>620311.77300000004</v>
      </c>
      <c r="R9" s="275">
        <f t="shared" si="2"/>
        <v>554854.07999999996</v>
      </c>
      <c r="S9" s="275">
        <f t="shared" si="2"/>
        <v>491418.49</v>
      </c>
      <c r="T9" s="275">
        <f t="shared" si="2"/>
        <v>493397.00799999997</v>
      </c>
      <c r="U9" s="275">
        <f t="shared" si="2"/>
        <v>682755.951</v>
      </c>
      <c r="V9" s="275">
        <f t="shared" si="2"/>
        <v>669004.59600000002</v>
      </c>
      <c r="W9" s="275">
        <f t="shared" si="2"/>
        <v>616271.02099999995</v>
      </c>
      <c r="X9" s="275">
        <f t="shared" si="2"/>
        <v>622727.83900000004</v>
      </c>
      <c r="Y9" s="275">
        <f t="shared" si="2"/>
        <v>602199.505</v>
      </c>
      <c r="Z9" s="275">
        <f t="shared" si="2"/>
        <v>691429.62100000004</v>
      </c>
      <c r="AA9" s="275">
        <f t="shared" si="2"/>
        <v>14820970.138</v>
      </c>
    </row>
    <row r="10" spans="1:27" ht="11.25" customHeight="1" x14ac:dyDescent="0.2">
      <c r="A10" s="274" t="s">
        <v>116</v>
      </c>
      <c r="C10" s="276">
        <f>SUM(C7:C9)</f>
        <v>-47435.983999999939</v>
      </c>
      <c r="D10" s="276">
        <f t="shared" ref="D10:AA10" si="3">SUM(D7:D9)</f>
        <v>-4427.7850000000326</v>
      </c>
      <c r="E10" s="276">
        <f t="shared" si="3"/>
        <v>31528.400000000023</v>
      </c>
      <c r="F10" s="276">
        <f t="shared" si="3"/>
        <v>-13950.133999999962</v>
      </c>
      <c r="G10" s="276">
        <f t="shared" si="3"/>
        <v>15981.564999999944</v>
      </c>
      <c r="H10" s="276">
        <f t="shared" si="3"/>
        <v>-76778.294999999984</v>
      </c>
      <c r="I10" s="276">
        <f t="shared" si="3"/>
        <v>63783.740000000107</v>
      </c>
      <c r="J10" s="276">
        <f t="shared" si="3"/>
        <v>77568.719999999972</v>
      </c>
      <c r="K10" s="276">
        <f t="shared" si="3"/>
        <v>72224.861000000034</v>
      </c>
      <c r="L10" s="276">
        <f t="shared" si="3"/>
        <v>85940.728000000003</v>
      </c>
      <c r="M10" s="276">
        <f t="shared" si="3"/>
        <v>12160.152000000002</v>
      </c>
      <c r="N10" s="276">
        <f t="shared" si="3"/>
        <v>-15259.881000000052</v>
      </c>
      <c r="O10" s="276">
        <f t="shared" si="3"/>
        <v>-235958.15799999994</v>
      </c>
      <c r="P10" s="276">
        <f t="shared" si="3"/>
        <v>-194193.35499999998</v>
      </c>
      <c r="Q10" s="276">
        <f t="shared" si="3"/>
        <v>-189155.82699999993</v>
      </c>
      <c r="R10" s="276">
        <f t="shared" si="3"/>
        <v>-240795.44000000006</v>
      </c>
      <c r="S10" s="276">
        <f t="shared" si="3"/>
        <v>-249212.03000000003</v>
      </c>
      <c r="T10" s="276">
        <f t="shared" si="3"/>
        <v>-236273.99200000003</v>
      </c>
      <c r="U10" s="276">
        <f t="shared" si="3"/>
        <v>-163949.56900000002</v>
      </c>
      <c r="V10" s="276">
        <f t="shared" si="3"/>
        <v>-185315.924</v>
      </c>
      <c r="W10" s="276">
        <f t="shared" si="3"/>
        <v>-142409.97900000005</v>
      </c>
      <c r="X10" s="276">
        <f t="shared" si="3"/>
        <v>-180727.201</v>
      </c>
      <c r="Y10" s="276">
        <f t="shared" si="3"/>
        <v>-176672.97499999998</v>
      </c>
      <c r="Z10" s="276">
        <f t="shared" si="3"/>
        <v>-257358.89899999998</v>
      </c>
      <c r="AA10" s="276">
        <f t="shared" si="3"/>
        <v>-2250687.2619999982</v>
      </c>
    </row>
    <row r="11" spans="1:27" ht="13.5" customHeight="1" x14ac:dyDescent="0.2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2">
      <c r="A12" s="274" t="s">
        <v>117</v>
      </c>
      <c r="C12" s="275">
        <f>C25+C35</f>
        <v>306263.84000000003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3995282.0158000002</v>
      </c>
    </row>
    <row r="13" spans="1:27" ht="11.25" customHeight="1" x14ac:dyDescent="0.2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2">
      <c r="A14" s="274" t="s">
        <v>119</v>
      </c>
      <c r="C14" s="275">
        <f>C27+C36</f>
        <v>398022.93800000002</v>
      </c>
      <c r="D14" s="275">
        <f t="shared" ref="D14:AA14" si="6">D27+D36</f>
        <v>345419.64199999999</v>
      </c>
      <c r="E14" s="275">
        <f t="shared" si="6"/>
        <v>367129.88099999999</v>
      </c>
      <c r="F14" s="275">
        <f t="shared" si="6"/>
        <v>339918.31699999998</v>
      </c>
      <c r="G14" s="275">
        <f t="shared" si="6"/>
        <v>359540.84700000001</v>
      </c>
      <c r="H14" s="275">
        <f t="shared" si="6"/>
        <v>273302.59499999997</v>
      </c>
      <c r="I14" s="275">
        <f t="shared" si="6"/>
        <v>413749.96799999999</v>
      </c>
      <c r="J14" s="275">
        <f t="shared" si="6"/>
        <v>398047.984</v>
      </c>
      <c r="K14" s="275">
        <f t="shared" si="6"/>
        <v>402675.45400000003</v>
      </c>
      <c r="L14" s="275">
        <f t="shared" si="6"/>
        <v>355256.78</v>
      </c>
      <c r="M14" s="275">
        <f t="shared" si="6"/>
        <v>370182.978</v>
      </c>
      <c r="N14" s="275">
        <f t="shared" si="6"/>
        <v>457228.04499999998</v>
      </c>
      <c r="O14" s="275">
        <f t="shared" si="6"/>
        <v>420435.57900000003</v>
      </c>
      <c r="P14" s="275">
        <f t="shared" si="6"/>
        <v>358572.03</v>
      </c>
      <c r="Q14" s="275">
        <f t="shared" si="6"/>
        <v>414044.17499999999</v>
      </c>
      <c r="R14" s="275">
        <f t="shared" si="6"/>
        <v>331617.18800000002</v>
      </c>
      <c r="S14" s="275">
        <f t="shared" si="6"/>
        <v>335066.478</v>
      </c>
      <c r="T14" s="275">
        <f t="shared" si="6"/>
        <v>287605.79100000003</v>
      </c>
      <c r="U14" s="275">
        <f t="shared" si="6"/>
        <v>408811.20500000002</v>
      </c>
      <c r="V14" s="275">
        <f t="shared" si="6"/>
        <v>396898.685</v>
      </c>
      <c r="W14" s="275">
        <f t="shared" si="6"/>
        <v>386469.255</v>
      </c>
      <c r="X14" s="275">
        <f t="shared" si="6"/>
        <v>366433.04700000002</v>
      </c>
      <c r="Y14" s="275">
        <f t="shared" si="6"/>
        <v>410209.43900000001</v>
      </c>
      <c r="Z14" s="275">
        <f t="shared" si="6"/>
        <v>433868.07299999997</v>
      </c>
      <c r="AA14" s="275">
        <f t="shared" si="6"/>
        <v>9030506.3740000017</v>
      </c>
    </row>
    <row r="15" spans="1:27" ht="11.25" customHeight="1" x14ac:dyDescent="0.2">
      <c r="A15" s="274" t="s">
        <v>120</v>
      </c>
      <c r="C15" s="276">
        <f>SUM(C12:C14)</f>
        <v>-98660.221999999951</v>
      </c>
      <c r="D15" s="276">
        <f t="shared" ref="D15:AA15" si="7">SUM(D12:D14)</f>
        <v>-82540.51800000004</v>
      </c>
      <c r="E15" s="276">
        <f t="shared" si="7"/>
        <v>-69521.079000000027</v>
      </c>
      <c r="F15" s="276">
        <f t="shared" si="7"/>
        <v>-126902.89299999998</v>
      </c>
      <c r="G15" s="276">
        <f t="shared" si="7"/>
        <v>-107528.913</v>
      </c>
      <c r="H15" s="276">
        <f t="shared" si="7"/>
        <v>-155262.80500000005</v>
      </c>
      <c r="I15" s="276">
        <f t="shared" si="7"/>
        <v>-23191.592000000004</v>
      </c>
      <c r="J15" s="276">
        <f t="shared" si="7"/>
        <v>-24491.656000000017</v>
      </c>
      <c r="K15" s="276">
        <f t="shared" si="7"/>
        <v>-62264.86599999998</v>
      </c>
      <c r="L15" s="276">
        <f t="shared" si="7"/>
        <v>-84786.589999999967</v>
      </c>
      <c r="M15" s="276">
        <f t="shared" si="7"/>
        <v>-151569.42200000002</v>
      </c>
      <c r="N15" s="276">
        <f t="shared" si="7"/>
        <v>-154300.03499999997</v>
      </c>
      <c r="O15" s="276">
        <f t="shared" si="7"/>
        <v>-257002.42099999997</v>
      </c>
      <c r="P15" s="276">
        <f t="shared" si="7"/>
        <v>-218040.96999999997</v>
      </c>
      <c r="Q15" s="276">
        <f t="shared" si="7"/>
        <v>-182694.82500000001</v>
      </c>
      <c r="R15" s="276">
        <f t="shared" si="7"/>
        <v>-218551.53899999993</v>
      </c>
      <c r="S15" s="276">
        <f t="shared" si="7"/>
        <v>-221338.522</v>
      </c>
      <c r="T15" s="276">
        <f t="shared" si="7"/>
        <v>-232052.20899999997</v>
      </c>
      <c r="U15" s="276">
        <f t="shared" si="7"/>
        <v>-111909.79499999998</v>
      </c>
      <c r="V15" s="276">
        <f t="shared" si="7"/>
        <v>-134026.315</v>
      </c>
      <c r="W15" s="276">
        <f t="shared" si="7"/>
        <v>-116293.745</v>
      </c>
      <c r="X15" s="276">
        <f t="shared" si="7"/>
        <v>-172596.19019999995</v>
      </c>
      <c r="Y15" s="276">
        <f t="shared" si="7"/>
        <v>-240698.56099999999</v>
      </c>
      <c r="Z15" s="276">
        <f t="shared" si="7"/>
        <v>-251374.92700000003</v>
      </c>
      <c r="AA15" s="276">
        <f t="shared" si="7"/>
        <v>-3497600.6101999991</v>
      </c>
    </row>
    <row r="16" spans="1:27" ht="13.5" customHeight="1" thickBot="1" x14ac:dyDescent="0.25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5">
      <c r="A17" s="271" t="s">
        <v>259</v>
      </c>
      <c r="C17" s="278">
        <f>C10+C15</f>
        <v>-146096.20599999989</v>
      </c>
      <c r="D17" s="278">
        <f t="shared" ref="D17:AA17" si="8">D10+D15</f>
        <v>-86968.303000000073</v>
      </c>
      <c r="E17" s="278">
        <f t="shared" si="8"/>
        <v>-37992.679000000004</v>
      </c>
      <c r="F17" s="278">
        <f t="shared" si="8"/>
        <v>-140853.02699999994</v>
      </c>
      <c r="G17" s="278">
        <f t="shared" si="8"/>
        <v>-91547.348000000056</v>
      </c>
      <c r="H17" s="278">
        <f t="shared" si="8"/>
        <v>-232041.10000000003</v>
      </c>
      <c r="I17" s="278">
        <f t="shared" si="8"/>
        <v>40592.148000000103</v>
      </c>
      <c r="J17" s="278">
        <f t="shared" si="8"/>
        <v>53077.063999999955</v>
      </c>
      <c r="K17" s="278">
        <f t="shared" si="8"/>
        <v>9959.9950000000536</v>
      </c>
      <c r="L17" s="278">
        <f t="shared" si="8"/>
        <v>1154.1380000000354</v>
      </c>
      <c r="M17" s="278">
        <f t="shared" si="8"/>
        <v>-139409.27000000002</v>
      </c>
      <c r="N17" s="278">
        <f t="shared" si="8"/>
        <v>-169559.91600000003</v>
      </c>
      <c r="O17" s="278">
        <f t="shared" si="8"/>
        <v>-492960.57899999991</v>
      </c>
      <c r="P17" s="278">
        <f t="shared" si="8"/>
        <v>-412234.32499999995</v>
      </c>
      <c r="Q17" s="278">
        <f t="shared" si="8"/>
        <v>-371850.65199999994</v>
      </c>
      <c r="R17" s="278">
        <f t="shared" si="8"/>
        <v>-459346.97899999999</v>
      </c>
      <c r="S17" s="278">
        <f t="shared" si="8"/>
        <v>-470550.55200000003</v>
      </c>
      <c r="T17" s="278">
        <f t="shared" si="8"/>
        <v>-468326.201</v>
      </c>
      <c r="U17" s="278">
        <f t="shared" si="8"/>
        <v>-275859.364</v>
      </c>
      <c r="V17" s="278">
        <f t="shared" si="8"/>
        <v>-319342.239</v>
      </c>
      <c r="W17" s="278">
        <f t="shared" si="8"/>
        <v>-258703.72400000005</v>
      </c>
      <c r="X17" s="278">
        <f t="shared" si="8"/>
        <v>-353323.39119999995</v>
      </c>
      <c r="Y17" s="278">
        <f t="shared" si="8"/>
        <v>-417371.53599999996</v>
      </c>
      <c r="Z17" s="278">
        <f t="shared" si="8"/>
        <v>-508733.826</v>
      </c>
      <c r="AA17" s="278">
        <f t="shared" si="8"/>
        <v>-5748287.8721999973</v>
      </c>
    </row>
    <row r="18" spans="1:27" ht="13.5" customHeight="1" thickBot="1" x14ac:dyDescent="0.25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5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2">
      <c r="A20" s="274" t="s">
        <v>113</v>
      </c>
      <c r="C20" s="275">
        <f>'MWH FIXED INPUT PG'!C20</f>
        <v>442363.88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493117.12</v>
      </c>
      <c r="M20" s="275">
        <f>'MWH FIXED INPUT PG'!M20</f>
        <v>456515</v>
      </c>
      <c r="N20" s="275">
        <f>'MWH FIXED INPUT PG'!N20</f>
        <v>461084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8198969.6000000015</v>
      </c>
    </row>
    <row r="21" spans="1:27" ht="11.25" customHeight="1" x14ac:dyDescent="0.2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2">
      <c r="A22" s="274" t="s">
        <v>115</v>
      </c>
      <c r="C22" s="275">
        <f>'MWH FIXED INPUT PG'!C22</f>
        <v>709009.13600000006</v>
      </c>
      <c r="D22" s="275">
        <f>'MWH FIXED INPUT PG'!D22</f>
        <v>604100.495</v>
      </c>
      <c r="E22" s="275">
        <f>'MWH FIXED INPUT PG'!E22</f>
        <v>560989.12</v>
      </c>
      <c r="F22" s="275">
        <f>'MWH FIXED INPUT PG'!F22</f>
        <v>555843.58600000001</v>
      </c>
      <c r="G22" s="275">
        <f>'MWH FIXED INPUT PG'!G22</f>
        <v>549656.88500000001</v>
      </c>
      <c r="H22" s="275">
        <f>'MWH FIXED INPUT PG'!H22</f>
        <v>484682.70500000002</v>
      </c>
      <c r="I22" s="275">
        <f>'MWH FIXED INPUT PG'!I22</f>
        <v>684386.66</v>
      </c>
      <c r="J22" s="275">
        <f>'MWH FIXED INPUT PG'!J22</f>
        <v>714865.96</v>
      </c>
      <c r="K22" s="275">
        <f>'MWH FIXED INPUT PG'!K22</f>
        <v>612876.34100000001</v>
      </c>
      <c r="L22" s="275">
        <f>'MWH FIXED INPUT PG'!L22</f>
        <v>651691.60800000001</v>
      </c>
      <c r="M22" s="275">
        <f>'MWH FIXED INPUT PG'!M22</f>
        <v>603956.152</v>
      </c>
      <c r="N22" s="275">
        <f>'MWH FIXED INPUT PG'!N22</f>
        <v>678580.11899999995</v>
      </c>
      <c r="O22" s="275">
        <f>'MWH FIXED INPUT PG'!O22</f>
        <v>716895.44200000004</v>
      </c>
      <c r="P22" s="275">
        <f>'MWH FIXED INPUT PG'!P22</f>
        <v>649066.04500000004</v>
      </c>
      <c r="Q22" s="275">
        <f>'MWH FIXED INPUT PG'!Q22</f>
        <v>620311.77300000004</v>
      </c>
      <c r="R22" s="275">
        <f>'MWH FIXED INPUT PG'!R22</f>
        <v>554854.07999999996</v>
      </c>
      <c r="S22" s="275">
        <f>'MWH FIXED INPUT PG'!S22</f>
        <v>491418.49</v>
      </c>
      <c r="T22" s="275">
        <f>'MWH FIXED INPUT PG'!T22</f>
        <v>493397.00799999997</v>
      </c>
      <c r="U22" s="275">
        <f>'MWH FIXED INPUT PG'!U22</f>
        <v>682755.951</v>
      </c>
      <c r="V22" s="275">
        <f>'MWH FIXED INPUT PG'!V22</f>
        <v>669004.59600000002</v>
      </c>
      <c r="W22" s="275">
        <f>'MWH FIXED INPUT PG'!W22</f>
        <v>616271.02099999995</v>
      </c>
      <c r="X22" s="275">
        <f>'MWH FIXED INPUT PG'!X22</f>
        <v>622727.83900000004</v>
      </c>
      <c r="Y22" s="275">
        <f>'MWH FIXED INPUT PG'!Y22</f>
        <v>602199.505</v>
      </c>
      <c r="Z22" s="275">
        <f>'MWH FIXED INPUT PG'!Z22</f>
        <v>691429.62100000004</v>
      </c>
      <c r="AA22" s="275">
        <f>'MWH FIXED INPUT PG'!AA22</f>
        <v>14820970.138</v>
      </c>
    </row>
    <row r="23" spans="1:27" ht="11.25" customHeight="1" x14ac:dyDescent="0.2">
      <c r="A23" s="274" t="s">
        <v>116</v>
      </c>
      <c r="C23" s="276">
        <f>SUM(C20:C22)</f>
        <v>-47435.983999999939</v>
      </c>
      <c r="D23" s="276">
        <f t="shared" ref="D23:AA23" si="9">SUM(D20:D22)</f>
        <v>-4427.7850000000326</v>
      </c>
      <c r="E23" s="276">
        <f t="shared" si="9"/>
        <v>31528.400000000023</v>
      </c>
      <c r="F23" s="276">
        <f t="shared" si="9"/>
        <v>-55550.133999999962</v>
      </c>
      <c r="G23" s="276">
        <f t="shared" si="9"/>
        <v>-25618.435000000056</v>
      </c>
      <c r="H23" s="276">
        <f t="shared" si="9"/>
        <v>-116778.29499999998</v>
      </c>
      <c r="I23" s="276">
        <f t="shared" si="9"/>
        <v>63783.740000000107</v>
      </c>
      <c r="J23" s="276">
        <f t="shared" si="9"/>
        <v>77568.719999999972</v>
      </c>
      <c r="K23" s="276">
        <f t="shared" si="9"/>
        <v>72224.861000000034</v>
      </c>
      <c r="L23" s="276">
        <f t="shared" si="9"/>
        <v>85940.728000000003</v>
      </c>
      <c r="M23" s="276">
        <f t="shared" si="9"/>
        <v>12160.152000000002</v>
      </c>
      <c r="N23" s="276">
        <f t="shared" si="9"/>
        <v>-15259.881000000052</v>
      </c>
      <c r="O23" s="276">
        <f t="shared" si="9"/>
        <v>-235958.15799999994</v>
      </c>
      <c r="P23" s="276">
        <f t="shared" si="9"/>
        <v>-194193.35499999998</v>
      </c>
      <c r="Q23" s="276">
        <f t="shared" si="9"/>
        <v>-189155.82699999993</v>
      </c>
      <c r="R23" s="276">
        <f t="shared" si="9"/>
        <v>-240795.44000000006</v>
      </c>
      <c r="S23" s="276">
        <f t="shared" si="9"/>
        <v>-249212.03000000003</v>
      </c>
      <c r="T23" s="276">
        <f t="shared" si="9"/>
        <v>-236273.99200000003</v>
      </c>
      <c r="U23" s="276">
        <f t="shared" si="9"/>
        <v>-163949.56900000002</v>
      </c>
      <c r="V23" s="276">
        <f t="shared" si="9"/>
        <v>-185315.924</v>
      </c>
      <c r="W23" s="276">
        <f t="shared" si="9"/>
        <v>-142409.97900000005</v>
      </c>
      <c r="X23" s="276">
        <f t="shared" si="9"/>
        <v>-180727.201</v>
      </c>
      <c r="Y23" s="276">
        <f t="shared" si="9"/>
        <v>-176672.97499999998</v>
      </c>
      <c r="Z23" s="276">
        <f t="shared" si="9"/>
        <v>-257358.89899999998</v>
      </c>
      <c r="AA23" s="276">
        <f t="shared" si="9"/>
        <v>-2373887.2619999982</v>
      </c>
    </row>
    <row r="24" spans="1:27" ht="13.5" customHeight="1" x14ac:dyDescent="0.2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2">
      <c r="A25" s="274" t="s">
        <v>117</v>
      </c>
      <c r="C25" s="275">
        <f>'MWH FIXED INPUT PG'!C25</f>
        <v>306263.84000000003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4137932.0158000002</v>
      </c>
    </row>
    <row r="26" spans="1:27" ht="11.25" customHeight="1" x14ac:dyDescent="0.2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2">
      <c r="A27" s="274" t="s">
        <v>119</v>
      </c>
      <c r="C27" s="275">
        <f>'MWH FIXED INPUT PG'!C27</f>
        <v>398022.93800000002</v>
      </c>
      <c r="D27" s="275">
        <f>'MWH FIXED INPUT PG'!D27</f>
        <v>345419.64199999999</v>
      </c>
      <c r="E27" s="275">
        <f>'MWH FIXED INPUT PG'!E27</f>
        <v>367129.88099999999</v>
      </c>
      <c r="F27" s="275">
        <f>'MWH FIXED INPUT PG'!F27</f>
        <v>339918.31699999998</v>
      </c>
      <c r="G27" s="275">
        <f>'MWH FIXED INPUT PG'!G27</f>
        <v>359540.84700000001</v>
      </c>
      <c r="H27" s="275">
        <f>'MWH FIXED INPUT PG'!H27</f>
        <v>273302.59499999997</v>
      </c>
      <c r="I27" s="275">
        <f>'MWH FIXED INPUT PG'!I27</f>
        <v>413749.96799999999</v>
      </c>
      <c r="J27" s="275">
        <f>'MWH FIXED INPUT PG'!J27</f>
        <v>398047.984</v>
      </c>
      <c r="K27" s="275">
        <f>'MWH FIXED INPUT PG'!K27</f>
        <v>402675.45400000003</v>
      </c>
      <c r="L27" s="275">
        <f>'MWH FIXED INPUT PG'!L27</f>
        <v>355256.78</v>
      </c>
      <c r="M27" s="275">
        <f>'MWH FIXED INPUT PG'!M27</f>
        <v>370182.978</v>
      </c>
      <c r="N27" s="275">
        <f>'MWH FIXED INPUT PG'!N27</f>
        <v>457228.04499999998</v>
      </c>
      <c r="O27" s="275">
        <f>'MWH FIXED INPUT PG'!O27</f>
        <v>420435.57900000003</v>
      </c>
      <c r="P27" s="275">
        <f>'MWH FIXED INPUT PG'!P27</f>
        <v>358572.03</v>
      </c>
      <c r="Q27" s="275">
        <f>'MWH FIXED INPUT PG'!Q27</f>
        <v>414044.17499999999</v>
      </c>
      <c r="R27" s="275">
        <f>'MWH FIXED INPUT PG'!R27</f>
        <v>331617.18800000002</v>
      </c>
      <c r="S27" s="275">
        <f>'MWH FIXED INPUT PG'!S27</f>
        <v>335066.478</v>
      </c>
      <c r="T27" s="275">
        <f>'MWH FIXED INPUT PG'!T27</f>
        <v>287605.79100000003</v>
      </c>
      <c r="U27" s="275">
        <f>'MWH FIXED INPUT PG'!U27</f>
        <v>408811.20500000002</v>
      </c>
      <c r="V27" s="275">
        <f>'MWH FIXED INPUT PG'!V27</f>
        <v>396898.685</v>
      </c>
      <c r="W27" s="275">
        <f>'MWH FIXED INPUT PG'!W27</f>
        <v>386469.255</v>
      </c>
      <c r="X27" s="275">
        <f>'MWH FIXED INPUT PG'!X27</f>
        <v>366433.04700000002</v>
      </c>
      <c r="Y27" s="275">
        <f>'MWH FIXED INPUT PG'!Y27</f>
        <v>410209.43900000001</v>
      </c>
      <c r="Z27" s="275">
        <f>'MWH FIXED INPUT PG'!Z27</f>
        <v>433868.07299999997</v>
      </c>
      <c r="AA27" s="275">
        <f>'MWH FIXED INPUT PG'!AA27</f>
        <v>9030506.3740000017</v>
      </c>
    </row>
    <row r="28" spans="1:27" ht="11.25" customHeight="1" x14ac:dyDescent="0.2">
      <c r="A28" s="274" t="s">
        <v>120</v>
      </c>
      <c r="C28" s="276">
        <f>SUM(C25:C27)</f>
        <v>-98660.221999999951</v>
      </c>
      <c r="D28" s="276">
        <f t="shared" ref="D28:AA28" si="10">SUM(D25:D27)</f>
        <v>-82540.51800000004</v>
      </c>
      <c r="E28" s="276">
        <f t="shared" si="10"/>
        <v>-69521.079000000027</v>
      </c>
      <c r="F28" s="276">
        <f t="shared" si="10"/>
        <v>-81452.892999999982</v>
      </c>
      <c r="G28" s="276">
        <f t="shared" si="10"/>
        <v>-58328.913</v>
      </c>
      <c r="H28" s="276">
        <f t="shared" si="10"/>
        <v>-107262.80500000005</v>
      </c>
      <c r="I28" s="276">
        <f t="shared" si="10"/>
        <v>-23191.592000000004</v>
      </c>
      <c r="J28" s="276">
        <f t="shared" si="10"/>
        <v>-24491.656000000017</v>
      </c>
      <c r="K28" s="276">
        <f t="shared" si="10"/>
        <v>-62264.86599999998</v>
      </c>
      <c r="L28" s="276">
        <f t="shared" si="10"/>
        <v>-84786.589999999967</v>
      </c>
      <c r="M28" s="276">
        <f t="shared" si="10"/>
        <v>-151569.42200000002</v>
      </c>
      <c r="N28" s="276">
        <f t="shared" si="10"/>
        <v>-154300.03499999997</v>
      </c>
      <c r="O28" s="276">
        <f t="shared" si="10"/>
        <v>-257002.42099999997</v>
      </c>
      <c r="P28" s="276">
        <f t="shared" si="10"/>
        <v>-218040.96999999997</v>
      </c>
      <c r="Q28" s="276">
        <f t="shared" si="10"/>
        <v>-182694.82500000001</v>
      </c>
      <c r="R28" s="276">
        <f t="shared" si="10"/>
        <v>-218551.53899999993</v>
      </c>
      <c r="S28" s="276">
        <f t="shared" si="10"/>
        <v>-221338.522</v>
      </c>
      <c r="T28" s="276">
        <f t="shared" si="10"/>
        <v>-232052.20899999997</v>
      </c>
      <c r="U28" s="276">
        <f t="shared" si="10"/>
        <v>-111909.79499999998</v>
      </c>
      <c r="V28" s="276">
        <f t="shared" si="10"/>
        <v>-134026.315</v>
      </c>
      <c r="W28" s="276">
        <f t="shared" si="10"/>
        <v>-116293.745</v>
      </c>
      <c r="X28" s="276">
        <f t="shared" si="10"/>
        <v>-172596.19019999995</v>
      </c>
      <c r="Y28" s="276">
        <f t="shared" si="10"/>
        <v>-240698.56099999999</v>
      </c>
      <c r="Z28" s="276">
        <f t="shared" si="10"/>
        <v>-251374.92700000003</v>
      </c>
      <c r="AA28" s="276">
        <f t="shared" si="10"/>
        <v>-3354950.6101999991</v>
      </c>
    </row>
    <row r="29" spans="1:27" ht="13.5" customHeight="1" thickBot="1" x14ac:dyDescent="0.25">
      <c r="A29" s="95"/>
    </row>
    <row r="30" spans="1:27" ht="11.25" customHeight="1" thickBot="1" x14ac:dyDescent="0.25">
      <c r="A30" s="271" t="s">
        <v>259</v>
      </c>
      <c r="C30" s="278">
        <f>C23+C28</f>
        <v>-146096.20599999989</v>
      </c>
      <c r="D30" s="278">
        <f t="shared" ref="D30:AA30" si="11">D23+D28</f>
        <v>-86968.303000000073</v>
      </c>
      <c r="E30" s="278">
        <f t="shared" si="11"/>
        <v>-37992.679000000004</v>
      </c>
      <c r="F30" s="278">
        <f t="shared" si="11"/>
        <v>-137003.02699999994</v>
      </c>
      <c r="G30" s="278">
        <f t="shared" si="11"/>
        <v>-83947.348000000056</v>
      </c>
      <c r="H30" s="278">
        <f t="shared" si="11"/>
        <v>-224041.10000000003</v>
      </c>
      <c r="I30" s="278">
        <f t="shared" si="11"/>
        <v>40592.148000000103</v>
      </c>
      <c r="J30" s="278">
        <f t="shared" si="11"/>
        <v>53077.063999999955</v>
      </c>
      <c r="K30" s="278">
        <f t="shared" si="11"/>
        <v>9959.9950000000536</v>
      </c>
      <c r="L30" s="278">
        <f t="shared" si="11"/>
        <v>1154.1380000000354</v>
      </c>
      <c r="M30" s="278">
        <f t="shared" si="11"/>
        <v>-139409.27000000002</v>
      </c>
      <c r="N30" s="278">
        <f t="shared" si="11"/>
        <v>-169559.91600000003</v>
      </c>
      <c r="O30" s="278">
        <f t="shared" si="11"/>
        <v>-492960.57899999991</v>
      </c>
      <c r="P30" s="278">
        <f t="shared" si="11"/>
        <v>-412234.32499999995</v>
      </c>
      <c r="Q30" s="278">
        <f t="shared" si="11"/>
        <v>-371850.65199999994</v>
      </c>
      <c r="R30" s="278">
        <f t="shared" si="11"/>
        <v>-459346.97899999999</v>
      </c>
      <c r="S30" s="278">
        <f t="shared" si="11"/>
        <v>-470550.55200000003</v>
      </c>
      <c r="T30" s="278">
        <f t="shared" si="11"/>
        <v>-468326.201</v>
      </c>
      <c r="U30" s="278">
        <f t="shared" si="11"/>
        <v>-275859.364</v>
      </c>
      <c r="V30" s="278">
        <f t="shared" si="11"/>
        <v>-319342.239</v>
      </c>
      <c r="W30" s="278">
        <f t="shared" si="11"/>
        <v>-258703.72400000005</v>
      </c>
      <c r="X30" s="278">
        <f t="shared" si="11"/>
        <v>-353323.39119999995</v>
      </c>
      <c r="Y30" s="278">
        <f t="shared" si="11"/>
        <v>-417371.53599999996</v>
      </c>
      <c r="Z30" s="278">
        <f t="shared" si="11"/>
        <v>-508733.826</v>
      </c>
      <c r="AA30" s="278">
        <f t="shared" si="11"/>
        <v>-5728837.8721999973</v>
      </c>
    </row>
    <row r="31" spans="1:27" ht="13.5" customHeight="1" thickBot="1" x14ac:dyDescent="0.25"/>
    <row r="32" spans="1:27" ht="13.5" customHeight="1" thickBot="1" x14ac:dyDescent="0.25">
      <c r="A32" s="279" t="s">
        <v>254</v>
      </c>
    </row>
    <row r="33" spans="1:27" ht="11.25" customHeight="1" x14ac:dyDescent="0.2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41600</v>
      </c>
      <c r="G33" s="275">
        <f>'MWH FIXED INPUT PG'!G33</f>
        <v>41600</v>
      </c>
      <c r="H33" s="275">
        <f>'MWH FIXED INPUT PG'!H33</f>
        <v>40000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123200</v>
      </c>
    </row>
    <row r="34" spans="1:27" ht="11.25" customHeight="1" x14ac:dyDescent="0.2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2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2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5">
      <c r="A37" s="95"/>
    </row>
    <row r="38" spans="1:27" ht="11.25" customHeight="1" thickBot="1" x14ac:dyDescent="0.25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-3850</v>
      </c>
      <c r="G38" s="278">
        <f t="shared" si="12"/>
        <v>-7600</v>
      </c>
      <c r="H38" s="278">
        <f t="shared" si="12"/>
        <v>-8000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-19450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26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272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441528.28</v>
      </c>
      <c r="G7" s="2">
        <v>428936.68</v>
      </c>
      <c r="H7" s="2">
        <v>379157</v>
      </c>
      <c r="I7" s="2">
        <v>414367.08</v>
      </c>
      <c r="J7" s="2">
        <v>438726.76</v>
      </c>
      <c r="K7" s="2">
        <v>398651.52</v>
      </c>
      <c r="L7" s="2">
        <v>493117.12</v>
      </c>
      <c r="M7" s="2">
        <v>456515</v>
      </c>
      <c r="N7" s="2">
        <v>461084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8322169.6000000015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709009.13640000008</v>
      </c>
      <c r="D9" s="2">
        <v>604100.49540000001</v>
      </c>
      <c r="E9" s="2">
        <v>560989.12040000001</v>
      </c>
      <c r="F9" s="2">
        <v>555843.58640000003</v>
      </c>
      <c r="G9" s="2">
        <v>549656.88540000003</v>
      </c>
      <c r="H9" s="2">
        <v>484682.70540000004</v>
      </c>
      <c r="I9" s="2">
        <v>693081.06</v>
      </c>
      <c r="J9" s="2">
        <v>723894.76</v>
      </c>
      <c r="K9" s="2">
        <v>620978.74100000004</v>
      </c>
      <c r="L9" s="2">
        <v>651691.61230000004</v>
      </c>
      <c r="M9" s="2">
        <v>603956.15599999996</v>
      </c>
      <c r="N9" s="2">
        <v>678580.12299999991</v>
      </c>
      <c r="O9" s="2">
        <v>716895.44620000001</v>
      </c>
      <c r="P9" s="2">
        <v>649066.04879999999</v>
      </c>
      <c r="Q9" s="2">
        <v>620311.77720000001</v>
      </c>
      <c r="R9" s="2">
        <v>554854.08419999992</v>
      </c>
      <c r="S9" s="2">
        <v>491418.49420000002</v>
      </c>
      <c r="T9" s="2">
        <v>493397.01199999999</v>
      </c>
      <c r="U9" s="2">
        <v>691450.35100000002</v>
      </c>
      <c r="V9" s="2">
        <v>677698.99600000004</v>
      </c>
      <c r="W9" s="2">
        <v>624711.02099999995</v>
      </c>
      <c r="X9" s="2">
        <v>622727.84330000007</v>
      </c>
      <c r="Y9" s="2">
        <v>602199.50879999995</v>
      </c>
      <c r="Z9" s="2">
        <v>691429.62520000001</v>
      </c>
      <c r="AA9" s="2">
        <v>14872624.589600001</v>
      </c>
    </row>
    <row r="10" spans="1:27" ht="11.25" customHeight="1" x14ac:dyDescent="0.2">
      <c r="A10" s="2" t="s">
        <v>116</v>
      </c>
      <c r="B10" s="3"/>
      <c r="C10" s="267">
        <v>-47435.98359999992</v>
      </c>
      <c r="D10" s="267">
        <v>-4427.7846000000136</v>
      </c>
      <c r="E10" s="267">
        <v>31528.400400000042</v>
      </c>
      <c r="F10" s="267">
        <v>-13950.133599999943</v>
      </c>
      <c r="G10" s="267">
        <v>15981.565399999963</v>
      </c>
      <c r="H10" s="267">
        <v>-76778.294599999965</v>
      </c>
      <c r="I10" s="267">
        <v>72478.14000000013</v>
      </c>
      <c r="J10" s="267">
        <v>86597.52</v>
      </c>
      <c r="K10" s="267">
        <v>80327.261000000057</v>
      </c>
      <c r="L10" s="267">
        <v>85940.732300000032</v>
      </c>
      <c r="M10" s="267">
        <v>12160.155999999959</v>
      </c>
      <c r="N10" s="267">
        <v>-15259.877000000095</v>
      </c>
      <c r="O10" s="267">
        <v>-235958.15379999997</v>
      </c>
      <c r="P10" s="267">
        <v>-194193.35120000003</v>
      </c>
      <c r="Q10" s="267">
        <v>-189155.82279999997</v>
      </c>
      <c r="R10" s="267">
        <v>-240795.43580000009</v>
      </c>
      <c r="S10" s="267">
        <v>-249212.0258</v>
      </c>
      <c r="T10" s="267">
        <v>-236273.98800000001</v>
      </c>
      <c r="U10" s="267">
        <v>-155255.16899999999</v>
      </c>
      <c r="V10" s="267">
        <v>-176621.52399999998</v>
      </c>
      <c r="W10" s="267">
        <v>-133969.97900000005</v>
      </c>
      <c r="X10" s="267">
        <v>-180727.19669999997</v>
      </c>
      <c r="Y10" s="267">
        <v>-176672.97120000003</v>
      </c>
      <c r="Z10" s="267">
        <v>-257358.89480000001</v>
      </c>
      <c r="AA10" s="267">
        <v>-2199032.810399998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306263.84000000003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3995282.0158000002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398022.93830000004</v>
      </c>
      <c r="D14" s="2">
        <v>345419.64230000001</v>
      </c>
      <c r="E14" s="2">
        <v>367129.88130000001</v>
      </c>
      <c r="F14" s="2">
        <v>339918.3173</v>
      </c>
      <c r="G14" s="2">
        <v>359540.84730000002</v>
      </c>
      <c r="H14" s="2">
        <v>273302.59529999999</v>
      </c>
      <c r="I14" s="2">
        <v>413750.00069999998</v>
      </c>
      <c r="J14" s="2">
        <v>398047.98709999997</v>
      </c>
      <c r="K14" s="2">
        <v>402675.45740000001</v>
      </c>
      <c r="L14" s="2">
        <v>355256.7831</v>
      </c>
      <c r="M14" s="2">
        <v>370182.98119999998</v>
      </c>
      <c r="N14" s="2">
        <v>457228.04839999997</v>
      </c>
      <c r="O14" s="2">
        <v>420435.58230000001</v>
      </c>
      <c r="P14" s="2">
        <v>358572.03290000005</v>
      </c>
      <c r="Q14" s="2">
        <v>414044.17829999997</v>
      </c>
      <c r="R14" s="2">
        <v>331617.19100000005</v>
      </c>
      <c r="S14" s="2">
        <v>335066.48129999998</v>
      </c>
      <c r="T14" s="2">
        <v>287605.7942</v>
      </c>
      <c r="U14" s="2">
        <v>408811.2083</v>
      </c>
      <c r="V14" s="2">
        <v>396898.68829999998</v>
      </c>
      <c r="W14" s="2">
        <v>386469.25819999998</v>
      </c>
      <c r="X14" s="2">
        <v>366433.05009999999</v>
      </c>
      <c r="Y14" s="2">
        <v>410209.4424</v>
      </c>
      <c r="Z14" s="2">
        <v>433868.07629999996</v>
      </c>
      <c r="AA14" s="2">
        <v>9030506.4633000009</v>
      </c>
    </row>
    <row r="15" spans="1:27" ht="11.25" customHeight="1" x14ac:dyDescent="0.2">
      <c r="A15" s="2" t="s">
        <v>120</v>
      </c>
      <c r="B15" s="3"/>
      <c r="C15" s="267">
        <v>-98660.221699999936</v>
      </c>
      <c r="D15" s="267">
        <v>-82540.517700000026</v>
      </c>
      <c r="E15" s="267">
        <v>-69521.078700000013</v>
      </c>
      <c r="F15" s="267">
        <v>-126902.89269999997</v>
      </c>
      <c r="G15" s="267">
        <v>-107528.91269999999</v>
      </c>
      <c r="H15" s="267">
        <v>-155262.80470000004</v>
      </c>
      <c r="I15" s="267">
        <v>-23191.559300000023</v>
      </c>
      <c r="J15" s="267">
        <v>-24491.652900000045</v>
      </c>
      <c r="K15" s="267">
        <v>-62264.862599999993</v>
      </c>
      <c r="L15" s="267">
        <v>-84786.586899999995</v>
      </c>
      <c r="M15" s="267">
        <v>-151569.41880000004</v>
      </c>
      <c r="N15" s="267">
        <v>-154300.03159999999</v>
      </c>
      <c r="O15" s="267">
        <v>-257002.41769999999</v>
      </c>
      <c r="P15" s="267">
        <v>-218040.96709999995</v>
      </c>
      <c r="Q15" s="267">
        <v>-182694.82170000003</v>
      </c>
      <c r="R15" s="267">
        <v>-218551.53599999991</v>
      </c>
      <c r="S15" s="267">
        <v>-221338.51870000002</v>
      </c>
      <c r="T15" s="267">
        <v>-232052.2058</v>
      </c>
      <c r="U15" s="267">
        <v>-111909.7917</v>
      </c>
      <c r="V15" s="267">
        <v>-134026.31170000002</v>
      </c>
      <c r="W15" s="267">
        <v>-116293.74180000002</v>
      </c>
      <c r="X15" s="267">
        <v>-172596.18709999998</v>
      </c>
      <c r="Y15" s="267">
        <v>-240698.5576</v>
      </c>
      <c r="Z15" s="267">
        <v>-251374.92370000004</v>
      </c>
      <c r="AA15" s="267">
        <v>-3497600.5208999999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-146096.20529999986</v>
      </c>
      <c r="D17" s="269">
        <v>-86968.302300000039</v>
      </c>
      <c r="E17" s="269">
        <v>-37992.67829999997</v>
      </c>
      <c r="F17" s="269">
        <v>-140853.02629999991</v>
      </c>
      <c r="G17" s="269">
        <v>-91547.347300000023</v>
      </c>
      <c r="H17" s="269">
        <v>-232041.0993</v>
      </c>
      <c r="I17" s="269">
        <v>49286.580700000108</v>
      </c>
      <c r="J17" s="269">
        <v>62105.867099999974</v>
      </c>
      <c r="K17" s="269">
        <v>18062.398400000064</v>
      </c>
      <c r="L17" s="269">
        <v>1154.1454000000376</v>
      </c>
      <c r="M17" s="269">
        <v>-139409.26280000008</v>
      </c>
      <c r="N17" s="269">
        <v>-169559.90860000008</v>
      </c>
      <c r="O17" s="269">
        <v>-492960.57149999996</v>
      </c>
      <c r="P17" s="269">
        <v>-412234.31829999998</v>
      </c>
      <c r="Q17" s="269">
        <v>-371850.64449999999</v>
      </c>
      <c r="R17" s="269">
        <v>-459346.9718</v>
      </c>
      <c r="S17" s="269">
        <v>-470550.54450000002</v>
      </c>
      <c r="T17" s="269">
        <v>-468326.19380000001</v>
      </c>
      <c r="U17" s="269">
        <v>-267164.9607</v>
      </c>
      <c r="V17" s="269">
        <v>-310647.8357</v>
      </c>
      <c r="W17" s="269">
        <v>-250263.72080000007</v>
      </c>
      <c r="X17" s="269">
        <v>-353323.38379999995</v>
      </c>
      <c r="Y17" s="269">
        <v>-417371.52880000003</v>
      </c>
      <c r="Z17" s="269">
        <v>-508733.81850000005</v>
      </c>
      <c r="AA17" s="269">
        <v>-5696633.3312999979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493117.12</v>
      </c>
      <c r="M20" s="2">
        <v>456515</v>
      </c>
      <c r="N20" s="2">
        <v>461084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8198969.6000000015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709009.13600000006</v>
      </c>
      <c r="D22" s="2">
        <v>604100.495</v>
      </c>
      <c r="E22" s="2">
        <v>560989.12</v>
      </c>
      <c r="F22" s="2">
        <v>555843.58600000001</v>
      </c>
      <c r="G22" s="2">
        <v>549656.88500000001</v>
      </c>
      <c r="H22" s="2">
        <v>484682.70500000002</v>
      </c>
      <c r="I22" s="2">
        <v>684386.66</v>
      </c>
      <c r="J22" s="2">
        <v>714865.96</v>
      </c>
      <c r="K22" s="2">
        <v>612876.34100000001</v>
      </c>
      <c r="L22" s="2">
        <v>651691.60800000001</v>
      </c>
      <c r="M22" s="2">
        <v>603956.152</v>
      </c>
      <c r="N22" s="2">
        <v>678580.11899999995</v>
      </c>
      <c r="O22" s="2">
        <v>716895.44200000004</v>
      </c>
      <c r="P22" s="2">
        <v>649066.04500000004</v>
      </c>
      <c r="Q22" s="2">
        <v>620311.77300000004</v>
      </c>
      <c r="R22" s="2">
        <v>554854.07999999996</v>
      </c>
      <c r="S22" s="2">
        <v>491418.49</v>
      </c>
      <c r="T22" s="2">
        <v>493397.00799999997</v>
      </c>
      <c r="U22" s="2">
        <v>682755.951</v>
      </c>
      <c r="V22" s="2">
        <v>669004.59600000002</v>
      </c>
      <c r="W22" s="2">
        <v>616271.02099999995</v>
      </c>
      <c r="X22" s="2">
        <v>622727.83900000004</v>
      </c>
      <c r="Y22" s="2">
        <v>602199.505</v>
      </c>
      <c r="Z22" s="2">
        <v>691429.62100000004</v>
      </c>
      <c r="AA22" s="2">
        <v>14820970.138</v>
      </c>
    </row>
    <row r="23" spans="1:27" ht="11.25" customHeight="1" x14ac:dyDescent="0.2">
      <c r="A23" s="2" t="s">
        <v>116</v>
      </c>
      <c r="B23" s="3"/>
      <c r="C23" s="267">
        <v>-47435.983999999939</v>
      </c>
      <c r="D23" s="267">
        <v>-4427.7850000000326</v>
      </c>
      <c r="E23" s="267">
        <v>31528.400000000001</v>
      </c>
      <c r="F23" s="267">
        <v>-55550.133999999962</v>
      </c>
      <c r="G23" s="267">
        <v>-25618.435000000056</v>
      </c>
      <c r="H23" s="267">
        <v>-116778.29499999998</v>
      </c>
      <c r="I23" s="267">
        <v>63783.740000000107</v>
      </c>
      <c r="J23" s="267">
        <v>77568.72</v>
      </c>
      <c r="K23" s="267">
        <v>72224.861000000034</v>
      </c>
      <c r="L23" s="267">
        <v>85940.728000000003</v>
      </c>
      <c r="M23" s="267">
        <v>12160.152000000002</v>
      </c>
      <c r="N23" s="267">
        <v>-15259.881000000052</v>
      </c>
      <c r="O23" s="267">
        <v>-235958.15799999994</v>
      </c>
      <c r="P23" s="267">
        <v>-194193.35499999998</v>
      </c>
      <c r="Q23" s="267">
        <v>-189155.82699999993</v>
      </c>
      <c r="R23" s="267">
        <v>-240795.44</v>
      </c>
      <c r="S23" s="267">
        <v>-249212.03</v>
      </c>
      <c r="T23" s="267">
        <v>-236273.99200000003</v>
      </c>
      <c r="U23" s="267">
        <v>-163949.56900000002</v>
      </c>
      <c r="V23" s="267">
        <v>-185315.924</v>
      </c>
      <c r="W23" s="267">
        <v>-142409.97900000005</v>
      </c>
      <c r="X23" s="267">
        <v>-180727.201</v>
      </c>
      <c r="Y23" s="267">
        <v>-176672.97499999998</v>
      </c>
      <c r="Z23" s="267">
        <v>-257358.89899999998</v>
      </c>
      <c r="AA23" s="267">
        <v>-2373887.2619999982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306263.84000000003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4137932.0158000002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398022.93800000002</v>
      </c>
      <c r="D27" s="2">
        <v>345419.64199999999</v>
      </c>
      <c r="E27" s="2">
        <v>367129.88099999999</v>
      </c>
      <c r="F27" s="2">
        <v>339918.31699999998</v>
      </c>
      <c r="G27" s="2">
        <v>359540.84700000001</v>
      </c>
      <c r="H27" s="2">
        <v>273302.59499999997</v>
      </c>
      <c r="I27" s="2">
        <v>413749.96799999999</v>
      </c>
      <c r="J27" s="2">
        <v>398047.984</v>
      </c>
      <c r="K27" s="2">
        <v>402675.45400000003</v>
      </c>
      <c r="L27" s="2">
        <v>355256.78</v>
      </c>
      <c r="M27" s="2">
        <v>370182.978</v>
      </c>
      <c r="N27" s="2">
        <v>457228.04499999998</v>
      </c>
      <c r="O27" s="2">
        <v>420435.57900000003</v>
      </c>
      <c r="P27" s="2">
        <v>358572.03</v>
      </c>
      <c r="Q27" s="2">
        <v>414044.17499999999</v>
      </c>
      <c r="R27" s="2">
        <v>331617.18800000002</v>
      </c>
      <c r="S27" s="2">
        <v>335066.478</v>
      </c>
      <c r="T27" s="2">
        <v>287605.79100000003</v>
      </c>
      <c r="U27" s="2">
        <v>408811.20500000002</v>
      </c>
      <c r="V27" s="2">
        <v>396898.685</v>
      </c>
      <c r="W27" s="2">
        <v>386469.255</v>
      </c>
      <c r="X27" s="2">
        <v>366433.04700000002</v>
      </c>
      <c r="Y27" s="2">
        <v>410209.43900000001</v>
      </c>
      <c r="Z27" s="2">
        <v>433868.07299999997</v>
      </c>
      <c r="AA27" s="2">
        <v>9030506.3740000017</v>
      </c>
    </row>
    <row r="28" spans="1:27" ht="11.25" customHeight="1" x14ac:dyDescent="0.2">
      <c r="A28" s="2" t="s">
        <v>120</v>
      </c>
      <c r="B28" s="3"/>
      <c r="C28" s="267">
        <v>-98660.221999999951</v>
      </c>
      <c r="D28" s="267">
        <v>-82540.51800000004</v>
      </c>
      <c r="E28" s="267">
        <v>-69521.079000000027</v>
      </c>
      <c r="F28" s="267">
        <v>-81452.892999999982</v>
      </c>
      <c r="G28" s="267">
        <v>-58328.913</v>
      </c>
      <c r="H28" s="267">
        <v>-107262.80500000005</v>
      </c>
      <c r="I28" s="267">
        <v>-23191.592000000004</v>
      </c>
      <c r="J28" s="267">
        <v>-24491.656000000017</v>
      </c>
      <c r="K28" s="267">
        <v>-62264.86599999998</v>
      </c>
      <c r="L28" s="267">
        <v>-84786.59</v>
      </c>
      <c r="M28" s="267">
        <v>-151569.42200000002</v>
      </c>
      <c r="N28" s="267">
        <v>-154300.03499999997</v>
      </c>
      <c r="O28" s="267">
        <v>-257002.42099999997</v>
      </c>
      <c r="P28" s="267">
        <v>-218040.97</v>
      </c>
      <c r="Q28" s="267">
        <v>-182694.82500000001</v>
      </c>
      <c r="R28" s="267">
        <v>-218551.53899999993</v>
      </c>
      <c r="S28" s="267">
        <v>-221338.522</v>
      </c>
      <c r="T28" s="267">
        <v>-232052.20899999997</v>
      </c>
      <c r="U28" s="267">
        <v>-111909.79499999998</v>
      </c>
      <c r="V28" s="267">
        <v>-134026.315</v>
      </c>
      <c r="W28" s="267">
        <v>-116293.745</v>
      </c>
      <c r="X28" s="267">
        <v>-172596.19019999995</v>
      </c>
      <c r="Y28" s="267">
        <v>-240698.56099999999</v>
      </c>
      <c r="Z28" s="267">
        <v>-251374.92700000003</v>
      </c>
      <c r="AA28" s="267">
        <v>-3354950.6101999991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-146096.20599999989</v>
      </c>
      <c r="D30" s="269">
        <v>-86968.303000000073</v>
      </c>
      <c r="E30" s="269">
        <v>-37992.679000000004</v>
      </c>
      <c r="F30" s="269">
        <v>-137003.02699999994</v>
      </c>
      <c r="G30" s="269">
        <v>-83947.348000000056</v>
      </c>
      <c r="H30" s="269">
        <v>-224041.1</v>
      </c>
      <c r="I30" s="269">
        <v>40592.148000000103</v>
      </c>
      <c r="J30" s="269">
        <v>53077.063999999955</v>
      </c>
      <c r="K30" s="269">
        <v>9959.9950000000536</v>
      </c>
      <c r="L30" s="269">
        <v>1154.1380000000354</v>
      </c>
      <c r="M30" s="269">
        <v>-139409.26999999999</v>
      </c>
      <c r="N30" s="269">
        <v>-169559.91600000003</v>
      </c>
      <c r="O30" s="269">
        <v>-492960.57899999991</v>
      </c>
      <c r="P30" s="269">
        <v>-412234.32499999995</v>
      </c>
      <c r="Q30" s="269">
        <v>-371850.65199999994</v>
      </c>
      <c r="R30" s="269">
        <v>-459346.97899999999</v>
      </c>
      <c r="S30" s="269">
        <v>-470550.55200000003</v>
      </c>
      <c r="T30" s="269">
        <v>-468326.201</v>
      </c>
      <c r="U30" s="269">
        <v>-275859.364</v>
      </c>
      <c r="V30" s="269">
        <v>-319342.239</v>
      </c>
      <c r="W30" s="269">
        <v>-258703.72400000005</v>
      </c>
      <c r="X30" s="269">
        <v>-353323.39119999995</v>
      </c>
      <c r="Y30" s="269">
        <v>-417371.53599999996</v>
      </c>
      <c r="Z30" s="269">
        <v>-508733.826</v>
      </c>
      <c r="AA30" s="269">
        <v>-5728837.8721999973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41600</v>
      </c>
      <c r="G33" s="2">
        <v>41600</v>
      </c>
      <c r="H33" s="2">
        <v>40000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123200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-3850</v>
      </c>
      <c r="G38" s="269">
        <v>-7600</v>
      </c>
      <c r="H38" s="269">
        <v>-8000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-19450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271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24" activePane="bottomRight" state="frozen"/>
      <selection pane="topRight"/>
      <selection pane="bottomLeft"/>
      <selection pane="bottomRight" activeCell="A53" sqref="A53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275</v>
      </c>
    </row>
    <row r="2" spans="1:27" ht="12" customHeight="1" x14ac:dyDescent="0.2">
      <c r="A2" s="160" t="s">
        <v>269</v>
      </c>
    </row>
    <row r="3" spans="1:27" ht="12" customHeight="1" x14ac:dyDescent="0.2">
      <c r="A3" s="160" t="s">
        <v>273</v>
      </c>
    </row>
    <row r="4" spans="1:27" ht="12" customHeight="1" x14ac:dyDescent="0.2">
      <c r="A4" s="160" t="s">
        <v>274</v>
      </c>
    </row>
    <row r="6" spans="1:27" ht="12" customHeight="1" x14ac:dyDescent="0.2">
      <c r="A6" s="162" t="s">
        <v>276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1063.3747000000001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1141.4748</v>
      </c>
      <c r="M7" s="163">
        <v>1141.2874999999999</v>
      </c>
      <c r="N7" s="163">
        <v>1152.71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834.58569999999997</v>
      </c>
    </row>
    <row r="8" spans="1:27" ht="11.25" customHeight="1" x14ac:dyDescent="0.2">
      <c r="A8" s="163" t="s">
        <v>277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278</v>
      </c>
      <c r="C9" s="163">
        <v>1704.3489</v>
      </c>
      <c r="D9" s="163">
        <v>1573.1784</v>
      </c>
      <c r="E9" s="163">
        <v>1348.5315000000001</v>
      </c>
      <c r="F9" s="163">
        <v>1336.1624999999999</v>
      </c>
      <c r="G9" s="163">
        <v>1321.2906</v>
      </c>
      <c r="H9" s="163">
        <v>1211.7067999999999</v>
      </c>
      <c r="I9" s="163">
        <v>1645.1602</v>
      </c>
      <c r="J9" s="163">
        <v>1654.7823000000001</v>
      </c>
      <c r="K9" s="163">
        <v>1596.0320999999999</v>
      </c>
      <c r="L9" s="163">
        <v>1508.5454</v>
      </c>
      <c r="M9" s="163">
        <v>1509.8904</v>
      </c>
      <c r="N9" s="163">
        <v>1696.4503</v>
      </c>
      <c r="O9" s="163">
        <v>1723.3063999999999</v>
      </c>
      <c r="P9" s="163">
        <v>1690.2762</v>
      </c>
      <c r="Q9" s="163">
        <v>1491.1341</v>
      </c>
      <c r="R9" s="163">
        <v>1333.7837999999999</v>
      </c>
      <c r="S9" s="163">
        <v>1181.2944</v>
      </c>
      <c r="T9" s="163">
        <v>1233.4925000000001</v>
      </c>
      <c r="U9" s="163">
        <v>1641.2402999999999</v>
      </c>
      <c r="V9" s="163">
        <v>1608.1840999999999</v>
      </c>
      <c r="W9" s="163">
        <v>1540.6776</v>
      </c>
      <c r="X9" s="163">
        <v>1441.4996000000001</v>
      </c>
      <c r="Y9" s="163">
        <v>1568.2279000000001</v>
      </c>
      <c r="Z9" s="163">
        <v>1662.0904</v>
      </c>
      <c r="AA9" s="163">
        <v>1508.6492000000001</v>
      </c>
    </row>
    <row r="10" spans="1:27" ht="11.25" customHeight="1" x14ac:dyDescent="0.2">
      <c r="A10" s="160" t="s">
        <v>116</v>
      </c>
      <c r="C10" s="164">
        <v>-114.02879999999982</v>
      </c>
      <c r="D10" s="164">
        <v>-11.530700000000252</v>
      </c>
      <c r="E10" s="164">
        <v>75.789399999999887</v>
      </c>
      <c r="F10" s="164">
        <v>-133.53390000000013</v>
      </c>
      <c r="G10" s="164">
        <v>-61.582799999999907</v>
      </c>
      <c r="H10" s="164">
        <v>-291.94570000000022</v>
      </c>
      <c r="I10" s="164">
        <v>153.3262000000002</v>
      </c>
      <c r="J10" s="164">
        <v>179.55719999999997</v>
      </c>
      <c r="K10" s="164">
        <v>188.08549999999991</v>
      </c>
      <c r="L10" s="164">
        <v>198.93690000000015</v>
      </c>
      <c r="M10" s="164">
        <v>30.400399999999763</v>
      </c>
      <c r="N10" s="164">
        <v>-38.149699999999939</v>
      </c>
      <c r="O10" s="164">
        <v>-567.20710000000008</v>
      </c>
      <c r="P10" s="164">
        <v>-505.71179999999981</v>
      </c>
      <c r="Q10" s="164">
        <v>-454.7014999999999</v>
      </c>
      <c r="R10" s="164">
        <v>-578.83529999999996</v>
      </c>
      <c r="S10" s="164">
        <v>-599.0675</v>
      </c>
      <c r="T10" s="164">
        <v>-590.68499999999995</v>
      </c>
      <c r="U10" s="164">
        <v>-394.10950000000025</v>
      </c>
      <c r="V10" s="164">
        <v>-445.471</v>
      </c>
      <c r="W10" s="164">
        <v>-356.02489999999989</v>
      </c>
      <c r="X10" s="164">
        <v>-418.35</v>
      </c>
      <c r="Y10" s="164">
        <v>-460.08580000000006</v>
      </c>
      <c r="Z10" s="164">
        <v>-618.65120000000024</v>
      </c>
      <c r="AA10" s="164">
        <v>-241.6415999999997</v>
      </c>
    </row>
    <row r="12" spans="1:27" ht="11.25" customHeight="1" x14ac:dyDescent="0.2">
      <c r="A12" s="163" t="s">
        <v>117</v>
      </c>
      <c r="C12" s="163">
        <v>933.73119999999994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537.67309999999998</v>
      </c>
    </row>
    <row r="13" spans="1:27" ht="11.25" customHeight="1" x14ac:dyDescent="0.2">
      <c r="A13" s="163" t="s">
        <v>277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278</v>
      </c>
      <c r="C14" s="163">
        <v>1213.4846</v>
      </c>
      <c r="D14" s="163">
        <v>1199.3738000000001</v>
      </c>
      <c r="E14" s="163">
        <v>1119.2983999999999</v>
      </c>
      <c r="F14" s="163">
        <v>1118.1523999999999</v>
      </c>
      <c r="G14" s="163">
        <v>1096.1611</v>
      </c>
      <c r="H14" s="163">
        <v>854.07060000000001</v>
      </c>
      <c r="I14" s="163">
        <v>1261.4328</v>
      </c>
      <c r="J14" s="163">
        <v>1275.7947999999999</v>
      </c>
      <c r="K14" s="163">
        <v>1198.4389000000001</v>
      </c>
      <c r="L14" s="163">
        <v>1138.6434999999999</v>
      </c>
      <c r="M14" s="163">
        <v>1156.8217999999999</v>
      </c>
      <c r="N14" s="163">
        <v>1329.1513</v>
      </c>
      <c r="O14" s="163">
        <v>1281.8158000000001</v>
      </c>
      <c r="P14" s="163">
        <v>1245.0418</v>
      </c>
      <c r="Q14" s="163">
        <v>1262.3298</v>
      </c>
      <c r="R14" s="163">
        <v>1090.846</v>
      </c>
      <c r="S14" s="163">
        <v>1021.5441</v>
      </c>
      <c r="T14" s="163">
        <v>898.7681</v>
      </c>
      <c r="U14" s="163">
        <v>1246.3756000000001</v>
      </c>
      <c r="V14" s="163">
        <v>1210.057</v>
      </c>
      <c r="W14" s="163">
        <v>1207.7164</v>
      </c>
      <c r="X14" s="163">
        <v>1174.4648999999999</v>
      </c>
      <c r="Y14" s="163">
        <v>1220.8614</v>
      </c>
      <c r="Z14" s="163">
        <v>1322.7684999999999</v>
      </c>
      <c r="AA14" s="163">
        <v>1173.4025999999999</v>
      </c>
    </row>
    <row r="15" spans="1:27" ht="11.25" customHeight="1" x14ac:dyDescent="0.2">
      <c r="A15" s="160" t="s">
        <v>120</v>
      </c>
      <c r="C15" s="164">
        <v>-300.79330000000027</v>
      </c>
      <c r="D15" s="164">
        <v>-286.59899999999993</v>
      </c>
      <c r="E15" s="164">
        <v>-211.95450000000005</v>
      </c>
      <c r="F15" s="164">
        <v>-267.9371000000001</v>
      </c>
      <c r="G15" s="164">
        <v>-177.83209999999985</v>
      </c>
      <c r="H15" s="164">
        <v>-335.19620000000009</v>
      </c>
      <c r="I15" s="164">
        <v>-70.706099999999878</v>
      </c>
      <c r="J15" s="164">
        <v>-78.498900000000276</v>
      </c>
      <c r="K15" s="164">
        <v>-185.31209999999987</v>
      </c>
      <c r="L15" s="164">
        <v>-271.75190000000021</v>
      </c>
      <c r="M15" s="164">
        <v>-473.65449999999987</v>
      </c>
      <c r="N15" s="164">
        <v>-448.54660000000013</v>
      </c>
      <c r="O15" s="164">
        <v>-783.5440000000001</v>
      </c>
      <c r="P15" s="164">
        <v>-757.08670000000006</v>
      </c>
      <c r="Q15" s="164">
        <v>-556.99649999999974</v>
      </c>
      <c r="R15" s="164">
        <v>-718.9195000000002</v>
      </c>
      <c r="S15" s="164">
        <v>-674.81260000000009</v>
      </c>
      <c r="T15" s="164">
        <v>-725.16319999999996</v>
      </c>
      <c r="U15" s="164">
        <v>-341.18849999999998</v>
      </c>
      <c r="V15" s="164">
        <v>-408.61680000000001</v>
      </c>
      <c r="W15" s="164">
        <v>-363.41789999999992</v>
      </c>
      <c r="X15" s="164">
        <v>-553.19290000000001</v>
      </c>
      <c r="Y15" s="164">
        <v>-716.36480000000006</v>
      </c>
      <c r="Z15" s="164">
        <v>-766.38689999999974</v>
      </c>
      <c r="AA15" s="164">
        <v>-435.93430000000035</v>
      </c>
    </row>
    <row r="16" spans="1:27" ht="11.25" customHeight="1" x14ac:dyDescent="0.2">
      <c r="A16" s="165" t="s">
        <v>279</v>
      </c>
      <c r="B16" s="166"/>
      <c r="C16" s="166">
        <v>-196.36590000000001</v>
      </c>
      <c r="D16" s="166">
        <v>-129.4171</v>
      </c>
      <c r="E16" s="166">
        <v>-51.065399999999997</v>
      </c>
      <c r="F16" s="166">
        <v>-190.28200000000001</v>
      </c>
      <c r="G16" s="166">
        <v>-112.8325</v>
      </c>
      <c r="H16" s="166">
        <v>-311.16820000000001</v>
      </c>
      <c r="I16" s="166">
        <v>54.5593</v>
      </c>
      <c r="J16" s="166">
        <v>71.340100000000007</v>
      </c>
      <c r="K16" s="166">
        <v>13.833299999999999</v>
      </c>
      <c r="L16" s="166">
        <v>1.5512999999999999</v>
      </c>
      <c r="M16" s="166">
        <v>-193.624</v>
      </c>
      <c r="N16" s="166">
        <v>-227.90309999999999</v>
      </c>
      <c r="O16" s="166">
        <v>-662.58140000000003</v>
      </c>
      <c r="P16" s="166">
        <v>-613.44389999999999</v>
      </c>
      <c r="Q16" s="166">
        <v>-499.79930000000002</v>
      </c>
      <c r="R16" s="166">
        <v>-637.9819</v>
      </c>
      <c r="S16" s="166">
        <v>-632.46040000000005</v>
      </c>
      <c r="T16" s="166">
        <v>-650.45309999999995</v>
      </c>
      <c r="U16" s="166">
        <v>-370.77870000000001</v>
      </c>
      <c r="V16" s="166">
        <v>-429.22340000000003</v>
      </c>
      <c r="W16" s="166">
        <v>-359.3107</v>
      </c>
      <c r="X16" s="166">
        <v>-474.89699999999999</v>
      </c>
      <c r="Y16" s="166">
        <v>-579.68269999999995</v>
      </c>
      <c r="Z16" s="166">
        <v>-683.78200000000004</v>
      </c>
      <c r="AA16" s="167">
        <v>-326.98849999999999</v>
      </c>
    </row>
    <row r="18" spans="1:27" ht="12" customHeight="1" x14ac:dyDescent="0.2">
      <c r="A18" s="162" t="s">
        <v>280</v>
      </c>
    </row>
    <row r="19" spans="1:27" ht="11.25" customHeight="1" x14ac:dyDescent="0.2">
      <c r="A19" s="163" t="s">
        <v>113</v>
      </c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831.45050000000003</v>
      </c>
    </row>
    <row r="20" spans="1:27" ht="11.25" customHeight="1" x14ac:dyDescent="0.2">
      <c r="A20" s="163" t="s">
        <v>277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278</v>
      </c>
      <c r="C21" s="163">
        <v>1757.4418000000001</v>
      </c>
      <c r="D21" s="163">
        <v>1619.8539000000001</v>
      </c>
      <c r="E21" s="163">
        <v>1362.0712000000001</v>
      </c>
      <c r="F21" s="163">
        <v>1343.3357000000001</v>
      </c>
      <c r="G21" s="163">
        <v>1327.6433999999999</v>
      </c>
      <c r="H21" s="163">
        <v>1214.098</v>
      </c>
      <c r="I21" s="163">
        <v>1653.6242</v>
      </c>
      <c r="J21" s="163">
        <v>1660.1548</v>
      </c>
      <c r="K21" s="163">
        <v>1603.4087999999999</v>
      </c>
      <c r="L21" s="163">
        <v>1506.1962000000001</v>
      </c>
      <c r="M21" s="163">
        <v>1518.6624999999999</v>
      </c>
      <c r="N21" s="163">
        <v>1708.4613999999999</v>
      </c>
      <c r="O21" s="163">
        <v>1739.8928000000001</v>
      </c>
      <c r="P21" s="163">
        <v>1710.4141999999999</v>
      </c>
      <c r="Q21" s="163">
        <v>1507.0300999999999</v>
      </c>
      <c r="R21" s="163">
        <v>1353.4476999999999</v>
      </c>
      <c r="S21" s="163">
        <v>1190.7154</v>
      </c>
      <c r="T21" s="163">
        <v>1251.3221000000001</v>
      </c>
      <c r="U21" s="163">
        <v>1654.3973000000001</v>
      </c>
      <c r="V21" s="163">
        <v>1618.0098</v>
      </c>
      <c r="W21" s="163">
        <v>1553.4915000000001</v>
      </c>
      <c r="X21" s="163">
        <v>1457.0642</v>
      </c>
      <c r="Y21" s="163">
        <v>1582.8834999999999</v>
      </c>
      <c r="Z21" s="163">
        <v>1676.817</v>
      </c>
      <c r="AA21" s="163">
        <v>1523.0873999999999</v>
      </c>
    </row>
    <row r="22" spans="1:27" ht="11.25" customHeight="1" x14ac:dyDescent="0.2">
      <c r="A22" s="160" t="s">
        <v>116</v>
      </c>
      <c r="C22" s="164">
        <v>-60.93589999999972</v>
      </c>
      <c r="D22" s="164">
        <v>35.144799999999805</v>
      </c>
      <c r="E22" s="164">
        <v>89.329099999999926</v>
      </c>
      <c r="F22" s="164">
        <v>-126.36069999999995</v>
      </c>
      <c r="G22" s="164">
        <v>-55.23</v>
      </c>
      <c r="H22" s="164">
        <v>-289.55450000000019</v>
      </c>
      <c r="I22" s="164">
        <v>161.79020000000014</v>
      </c>
      <c r="J22" s="164">
        <v>184.92969999999991</v>
      </c>
      <c r="K22" s="164">
        <v>195.46219999999994</v>
      </c>
      <c r="L22" s="164">
        <v>171.58770000000027</v>
      </c>
      <c r="M22" s="164">
        <v>14.172499999999673</v>
      </c>
      <c r="N22" s="164">
        <v>-51.138599999999997</v>
      </c>
      <c r="O22" s="164">
        <v>-550.62069999999994</v>
      </c>
      <c r="P22" s="164">
        <v>-485.57379999999989</v>
      </c>
      <c r="Q22" s="164">
        <v>-438.80549999999994</v>
      </c>
      <c r="R22" s="164">
        <v>-559.17139999999995</v>
      </c>
      <c r="S22" s="164">
        <v>-589.64650000000006</v>
      </c>
      <c r="T22" s="164">
        <v>-572.85540000000015</v>
      </c>
      <c r="U22" s="164">
        <v>-380.95249999999999</v>
      </c>
      <c r="V22" s="164">
        <v>-435.64529999999991</v>
      </c>
      <c r="W22" s="164">
        <v>-343.21099999999979</v>
      </c>
      <c r="X22" s="164">
        <v>-402.78539999999998</v>
      </c>
      <c r="Y22" s="164">
        <v>-445.43020000000024</v>
      </c>
      <c r="Z22" s="164">
        <v>-603.92460000000028</v>
      </c>
      <c r="AA22" s="164">
        <v>-230.33860000000004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537.67309999999998</v>
      </c>
    </row>
    <row r="24" spans="1:27" ht="11.25" customHeight="1" x14ac:dyDescent="0.2">
      <c r="A24" s="163" t="s">
        <v>277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278</v>
      </c>
      <c r="C25" s="163">
        <v>1273.8905</v>
      </c>
      <c r="D25" s="163">
        <v>1230.5564999999999</v>
      </c>
      <c r="E25" s="163">
        <v>1129.3738000000001</v>
      </c>
      <c r="F25" s="163">
        <v>1119.4032</v>
      </c>
      <c r="G25" s="163">
        <v>1097.7681</v>
      </c>
      <c r="H25" s="163">
        <v>857.34389999999996</v>
      </c>
      <c r="I25" s="163">
        <v>1289.2873999999999</v>
      </c>
      <c r="J25" s="163">
        <v>1302.9839999999999</v>
      </c>
      <c r="K25" s="163">
        <v>1221.4364</v>
      </c>
      <c r="L25" s="163">
        <v>1135.0219</v>
      </c>
      <c r="M25" s="163">
        <v>1171.6946</v>
      </c>
      <c r="N25" s="163">
        <v>1348.8072999999999</v>
      </c>
      <c r="O25" s="163">
        <v>1306.4004</v>
      </c>
      <c r="P25" s="163">
        <v>1260.2063000000001</v>
      </c>
      <c r="Q25" s="163">
        <v>1271.2061000000001</v>
      </c>
      <c r="R25" s="163">
        <v>1102.0146</v>
      </c>
      <c r="S25" s="163">
        <v>1026.8243</v>
      </c>
      <c r="T25" s="163">
        <v>907.79020000000003</v>
      </c>
      <c r="U25" s="163">
        <v>1270.7144000000001</v>
      </c>
      <c r="V25" s="163">
        <v>1236.7338999999999</v>
      </c>
      <c r="W25" s="163">
        <v>1231.6886999999999</v>
      </c>
      <c r="X25" s="163">
        <v>1187.5355</v>
      </c>
      <c r="Y25" s="163">
        <v>1235.6144999999999</v>
      </c>
      <c r="Z25" s="163">
        <v>1339.0671</v>
      </c>
      <c r="AA25" s="163">
        <v>1190.5455999999999</v>
      </c>
    </row>
    <row r="26" spans="1:27" ht="11.25" customHeight="1" x14ac:dyDescent="0.2">
      <c r="A26" s="160" t="s">
        <v>120</v>
      </c>
      <c r="C26" s="164">
        <v>-240.3874000000003</v>
      </c>
      <c r="D26" s="164">
        <v>-255.41630000000009</v>
      </c>
      <c r="E26" s="164">
        <v>-201.87909999999988</v>
      </c>
      <c r="F26" s="164">
        <v>-266.68630000000007</v>
      </c>
      <c r="G26" s="164">
        <v>-176.22509999999988</v>
      </c>
      <c r="H26" s="164">
        <v>-331.92290000000014</v>
      </c>
      <c r="I26" s="164">
        <v>-42.851499999999987</v>
      </c>
      <c r="J26" s="164">
        <v>-51.309700000000248</v>
      </c>
      <c r="K26" s="164">
        <v>-162.31459999999993</v>
      </c>
      <c r="L26" s="164">
        <v>-275.37350000000015</v>
      </c>
      <c r="M26" s="164">
        <v>-458.78169999999977</v>
      </c>
      <c r="N26" s="164">
        <v>-428.89060000000018</v>
      </c>
      <c r="O26" s="164">
        <v>-758.95940000000019</v>
      </c>
      <c r="P26" s="164">
        <v>-741.92219999999998</v>
      </c>
      <c r="Q26" s="164">
        <v>-548.12019999999961</v>
      </c>
      <c r="R26" s="164">
        <v>-707.75090000000023</v>
      </c>
      <c r="S26" s="164">
        <v>-669.53240000000005</v>
      </c>
      <c r="T26" s="164">
        <v>-716.14109999999994</v>
      </c>
      <c r="U26" s="164">
        <v>-316.84969999999998</v>
      </c>
      <c r="V26" s="164">
        <v>-381.93990000000008</v>
      </c>
      <c r="W26" s="164">
        <v>-339.44560000000001</v>
      </c>
      <c r="X26" s="164">
        <v>-540.1223</v>
      </c>
      <c r="Y26" s="164">
        <v>-701.61170000000016</v>
      </c>
      <c r="Z26" s="164">
        <v>-750.08829999999966</v>
      </c>
      <c r="AA26" s="164">
        <v>-418.79130000000032</v>
      </c>
    </row>
    <row r="28" spans="1:27" ht="12" customHeight="1" x14ac:dyDescent="0.2">
      <c r="A28" s="162" t="s">
        <v>281</v>
      </c>
    </row>
    <row r="29" spans="1:27" ht="11.25" customHeight="1" x14ac:dyDescent="0.2">
      <c r="A29" s="163" t="s">
        <v>113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25</v>
      </c>
      <c r="M29" s="163">
        <v>25</v>
      </c>
      <c r="N29" s="163">
        <v>25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3.1351999999999407</v>
      </c>
    </row>
    <row r="30" spans="1:27" ht="11.25" customHeight="1" x14ac:dyDescent="0.2">
      <c r="A30" s="163" t="s">
        <v>277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278</v>
      </c>
      <c r="C31" s="163">
        <v>-53.0929000000001</v>
      </c>
      <c r="D31" s="163">
        <v>-46.675500000000056</v>
      </c>
      <c r="E31" s="163">
        <v>-13.539700000000039</v>
      </c>
      <c r="F31" s="163">
        <v>-7.173200000000179</v>
      </c>
      <c r="G31" s="163">
        <v>-6.3527999999998883</v>
      </c>
      <c r="H31" s="163">
        <v>-2.3912000000000262</v>
      </c>
      <c r="I31" s="163">
        <v>-8.4639999999999418</v>
      </c>
      <c r="J31" s="163">
        <v>-5.3724999999999454</v>
      </c>
      <c r="K31" s="163">
        <v>-7.376700000000028</v>
      </c>
      <c r="L31" s="163">
        <v>2.3491999999998825</v>
      </c>
      <c r="M31" s="163">
        <v>-8.7720999999999094</v>
      </c>
      <c r="N31" s="163">
        <v>-12.011099999999942</v>
      </c>
      <c r="O31" s="163">
        <v>-16.58640000000014</v>
      </c>
      <c r="P31" s="163">
        <v>-20.13799999999992</v>
      </c>
      <c r="Q31" s="163">
        <v>-15.895999999999958</v>
      </c>
      <c r="R31" s="163">
        <v>-19.663900000000012</v>
      </c>
      <c r="S31" s="163">
        <v>-9.4210000000000491</v>
      </c>
      <c r="T31" s="163">
        <v>-17.829600000000028</v>
      </c>
      <c r="U31" s="163">
        <v>-13.157000000000153</v>
      </c>
      <c r="V31" s="163">
        <v>-9.8257000000000971</v>
      </c>
      <c r="W31" s="163">
        <v>-12.813900000000103</v>
      </c>
      <c r="X31" s="163">
        <v>-15.564599999999928</v>
      </c>
      <c r="Y31" s="163">
        <v>-14.655599999999822</v>
      </c>
      <c r="Z31" s="163">
        <v>-14.726599999999962</v>
      </c>
      <c r="AA31" s="163">
        <v>-14.438199999999824</v>
      </c>
    </row>
    <row r="32" spans="1:27" ht="11.25" customHeight="1" x14ac:dyDescent="0.2">
      <c r="A32" s="160" t="s">
        <v>282</v>
      </c>
      <c r="C32" s="164">
        <v>-53.0929000000001</v>
      </c>
      <c r="D32" s="164">
        <v>-46.675500000000056</v>
      </c>
      <c r="E32" s="164">
        <v>-13.539700000000039</v>
      </c>
      <c r="F32" s="164">
        <v>-7.173200000000179</v>
      </c>
      <c r="G32" s="164">
        <v>-6.3527999999998883</v>
      </c>
      <c r="H32" s="164">
        <v>-2.3912000000000262</v>
      </c>
      <c r="I32" s="164">
        <v>-8.4639999999999418</v>
      </c>
      <c r="J32" s="164">
        <v>-5.3724999999999454</v>
      </c>
      <c r="K32" s="164">
        <v>-7.376700000000028</v>
      </c>
      <c r="L32" s="164">
        <v>27.349199999999882</v>
      </c>
      <c r="M32" s="164">
        <v>16.227900000000091</v>
      </c>
      <c r="N32" s="164">
        <v>12.988900000000058</v>
      </c>
      <c r="O32" s="164">
        <v>-16.58640000000014</v>
      </c>
      <c r="P32" s="164">
        <v>-20.13799999999992</v>
      </c>
      <c r="Q32" s="164">
        <v>-15.895999999999958</v>
      </c>
      <c r="R32" s="164">
        <v>-19.663900000000012</v>
      </c>
      <c r="S32" s="164">
        <v>-9.4210000000000491</v>
      </c>
      <c r="T32" s="164">
        <v>-17.829600000000028</v>
      </c>
      <c r="U32" s="164">
        <v>-13.157000000000153</v>
      </c>
      <c r="V32" s="164">
        <v>-9.8257000000000971</v>
      </c>
      <c r="W32" s="164">
        <v>-12.813900000000103</v>
      </c>
      <c r="X32" s="164">
        <v>-15.564599999999928</v>
      </c>
      <c r="Y32" s="164">
        <v>-14.655599999999822</v>
      </c>
      <c r="Z32" s="164">
        <v>-14.726599999999962</v>
      </c>
      <c r="AA32" s="164">
        <v>-11.302999999999884</v>
      </c>
    </row>
    <row r="33" spans="1:27" ht="11.25" customHeight="1" x14ac:dyDescent="0.2">
      <c r="A33" s="163" t="s">
        <v>117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</row>
    <row r="34" spans="1:27" ht="11.25" customHeight="1" x14ac:dyDescent="0.2">
      <c r="A34" s="163" t="s">
        <v>277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278</v>
      </c>
      <c r="C35" s="163">
        <v>-60.405899999999974</v>
      </c>
      <c r="D35" s="163">
        <v>-31.182699999999841</v>
      </c>
      <c r="E35" s="163">
        <v>-10.075400000000172</v>
      </c>
      <c r="F35" s="163">
        <v>-1.2508000000000266</v>
      </c>
      <c r="G35" s="163">
        <v>-1.6069999999999709</v>
      </c>
      <c r="H35" s="163">
        <v>-3.2732999999999493</v>
      </c>
      <c r="I35" s="163">
        <v>-27.854599999999891</v>
      </c>
      <c r="J35" s="163">
        <v>-27.189200000000028</v>
      </c>
      <c r="K35" s="163">
        <v>-22.997499999999945</v>
      </c>
      <c r="L35" s="163">
        <v>3.621599999999944</v>
      </c>
      <c r="M35" s="163">
        <v>-14.872800000000097</v>
      </c>
      <c r="N35" s="163">
        <v>-19.655999999999949</v>
      </c>
      <c r="O35" s="163">
        <v>-24.584599999999909</v>
      </c>
      <c r="P35" s="163">
        <v>-15.164500000000089</v>
      </c>
      <c r="Q35" s="163">
        <v>-8.8763000000001284</v>
      </c>
      <c r="R35" s="163">
        <v>-11.168599999999969</v>
      </c>
      <c r="S35" s="163">
        <v>-5.2802000000000362</v>
      </c>
      <c r="T35" s="163">
        <v>-9.0221000000000231</v>
      </c>
      <c r="U35" s="163">
        <v>-24.338799999999992</v>
      </c>
      <c r="V35" s="163">
        <v>-26.676899999999932</v>
      </c>
      <c r="W35" s="163">
        <v>-23.972299999999905</v>
      </c>
      <c r="X35" s="163">
        <v>-13.070600000000013</v>
      </c>
      <c r="Y35" s="163">
        <v>-14.753099999999904</v>
      </c>
      <c r="Z35" s="163">
        <v>-16.298600000000079</v>
      </c>
      <c r="AA35" s="163">
        <v>-17.143000000000029</v>
      </c>
    </row>
    <row r="36" spans="1:27" ht="11.25" customHeight="1" x14ac:dyDescent="0.2">
      <c r="A36" s="160" t="s">
        <v>283</v>
      </c>
      <c r="C36" s="164">
        <v>-60.405899999999974</v>
      </c>
      <c r="D36" s="164">
        <v>-31.182699999999841</v>
      </c>
      <c r="E36" s="164">
        <v>-10.075400000000172</v>
      </c>
      <c r="F36" s="164">
        <v>-1.2508000000000266</v>
      </c>
      <c r="G36" s="164">
        <v>-1.6069999999999709</v>
      </c>
      <c r="H36" s="164">
        <v>-3.2732999999999493</v>
      </c>
      <c r="I36" s="164">
        <v>-27.854599999999891</v>
      </c>
      <c r="J36" s="164">
        <v>-27.189200000000028</v>
      </c>
      <c r="K36" s="164">
        <v>-22.997499999999945</v>
      </c>
      <c r="L36" s="164">
        <v>3.621599999999944</v>
      </c>
      <c r="M36" s="164">
        <v>-14.872800000000097</v>
      </c>
      <c r="N36" s="164">
        <v>-19.655999999999949</v>
      </c>
      <c r="O36" s="164">
        <v>-24.584599999999909</v>
      </c>
      <c r="P36" s="164">
        <v>-15.164500000000089</v>
      </c>
      <c r="Q36" s="164">
        <v>-8.8763000000001284</v>
      </c>
      <c r="R36" s="164">
        <v>-11.168599999999969</v>
      </c>
      <c r="S36" s="164">
        <v>-5.2802000000000362</v>
      </c>
      <c r="T36" s="164">
        <v>-9.0221000000000231</v>
      </c>
      <c r="U36" s="164">
        <v>-24.338799999999992</v>
      </c>
      <c r="V36" s="164">
        <v>-26.676899999999932</v>
      </c>
      <c r="W36" s="164">
        <v>-23.972299999999905</v>
      </c>
      <c r="X36" s="164">
        <v>-13.070600000000013</v>
      </c>
      <c r="Y36" s="164">
        <v>-14.753099999999904</v>
      </c>
      <c r="Z36" s="164">
        <v>-16.298600000000079</v>
      </c>
      <c r="AA36" s="164">
        <v>-17.143000000000029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284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285</v>
      </c>
      <c r="C40" s="163">
        <v>64.423100000000005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286</v>
      </c>
    </row>
    <row r="43" spans="1:27" ht="11.25" customHeight="1" x14ac:dyDescent="0.2">
      <c r="A43" s="163" t="s">
        <v>287</v>
      </c>
      <c r="C43" s="163">
        <v>-37316029</v>
      </c>
      <c r="D43" s="163">
        <v>-30942172</v>
      </c>
      <c r="E43" s="163">
        <v>-36264010</v>
      </c>
      <c r="F43" s="163">
        <v>-27767452</v>
      </c>
      <c r="G43" s="163">
        <v>-29145465</v>
      </c>
      <c r="H43" s="163">
        <v>-26843548</v>
      </c>
      <c r="I43" s="163">
        <v>-25398288</v>
      </c>
      <c r="J43" s="163">
        <v>-21161491</v>
      </c>
      <c r="K43" s="163">
        <v>-21957992</v>
      </c>
      <c r="L43" s="163">
        <v>-22439676</v>
      </c>
      <c r="M43" s="163">
        <v>-20393286</v>
      </c>
      <c r="N43" s="163">
        <v>-18813188</v>
      </c>
      <c r="O43" s="163">
        <v>-2509293</v>
      </c>
      <c r="P43" s="163">
        <v>-3266902</v>
      </c>
      <c r="Q43" s="163">
        <v>-4999285</v>
      </c>
      <c r="R43" s="163">
        <v>-5991182</v>
      </c>
      <c r="S43" s="163">
        <v>-7249499</v>
      </c>
      <c r="T43" s="163">
        <v>-6560583</v>
      </c>
      <c r="U43" s="163">
        <v>-1000014</v>
      </c>
      <c r="V43" s="163">
        <v>591480</v>
      </c>
      <c r="W43" s="163">
        <v>-726666</v>
      </c>
      <c r="X43" s="163">
        <v>-4166454</v>
      </c>
      <c r="Y43" s="163">
        <v>-2834340</v>
      </c>
      <c r="Z43" s="163">
        <v>-1494650</v>
      </c>
      <c r="AA43" s="163">
        <v>-358649985</v>
      </c>
    </row>
    <row r="44" spans="1:27" ht="11.25" customHeight="1" x14ac:dyDescent="0.2">
      <c r="A44" s="163" t="s">
        <v>277</v>
      </c>
      <c r="C44" s="163">
        <v>-50518099</v>
      </c>
      <c r="D44" s="163">
        <v>-38419742</v>
      </c>
      <c r="E44" s="163">
        <v>-33233827</v>
      </c>
      <c r="F44" s="163">
        <v>-27577178</v>
      </c>
      <c r="G44" s="163">
        <v>-25361795</v>
      </c>
      <c r="H44" s="163">
        <v>-25534085</v>
      </c>
      <c r="I44" s="163">
        <v>-45302274</v>
      </c>
      <c r="J44" s="163">
        <v>-57854730</v>
      </c>
      <c r="K44" s="163">
        <v>-48676960</v>
      </c>
      <c r="L44" s="163">
        <v>-41118334</v>
      </c>
      <c r="M44" s="163">
        <v>-45492915</v>
      </c>
      <c r="N44" s="163">
        <v>-55012595</v>
      </c>
      <c r="O44" s="163">
        <v>-59158550</v>
      </c>
      <c r="P44" s="163">
        <v>-46906659</v>
      </c>
      <c r="Q44" s="163">
        <v>-41419322</v>
      </c>
      <c r="R44" s="163">
        <v>-31767079</v>
      </c>
      <c r="S44" s="163">
        <v>-26289318</v>
      </c>
      <c r="T44" s="163">
        <v>-26812947</v>
      </c>
      <c r="U44" s="163">
        <v>-53498771</v>
      </c>
      <c r="V44" s="163">
        <v>-61570313</v>
      </c>
      <c r="W44" s="163">
        <v>-50287510</v>
      </c>
      <c r="X44" s="163">
        <v>-39497921</v>
      </c>
      <c r="Y44" s="163">
        <v>-44771672</v>
      </c>
      <c r="Z44" s="163">
        <v>-56844257</v>
      </c>
      <c r="AA44" s="163">
        <v>-1032926853</v>
      </c>
    </row>
    <row r="45" spans="1:27" ht="11.25" customHeight="1" x14ac:dyDescent="0.2">
      <c r="A45" s="163" t="s">
        <v>278</v>
      </c>
      <c r="C45" s="163">
        <v>12306606</v>
      </c>
      <c r="D45" s="163">
        <v>8795382</v>
      </c>
      <c r="E45" s="163">
        <v>10520258</v>
      </c>
      <c r="F45" s="163">
        <v>9274509</v>
      </c>
      <c r="G45" s="163">
        <v>7681783</v>
      </c>
      <c r="H45" s="163">
        <v>7769871</v>
      </c>
      <c r="I45" s="163">
        <v>15666416</v>
      </c>
      <c r="J45" s="163">
        <v>22263060</v>
      </c>
      <c r="K45" s="163">
        <v>17027682</v>
      </c>
      <c r="L45" s="163">
        <v>11309134</v>
      </c>
      <c r="M45" s="163">
        <v>12191846</v>
      </c>
      <c r="N45" s="163">
        <v>17476506</v>
      </c>
      <c r="O45" s="163">
        <v>14812405</v>
      </c>
      <c r="P45" s="163">
        <v>12303547</v>
      </c>
      <c r="Q45" s="163">
        <v>9082407</v>
      </c>
      <c r="R45" s="163">
        <v>7215035</v>
      </c>
      <c r="S45" s="163">
        <v>6102814</v>
      </c>
      <c r="T45" s="163">
        <v>7116795</v>
      </c>
      <c r="U45" s="163">
        <v>19524172</v>
      </c>
      <c r="V45" s="163">
        <v>22415352</v>
      </c>
      <c r="W45" s="163">
        <v>17747761</v>
      </c>
      <c r="X45" s="163">
        <v>10038691</v>
      </c>
      <c r="Y45" s="163">
        <v>13357451</v>
      </c>
      <c r="Z45" s="163">
        <v>18344513</v>
      </c>
      <c r="AA45" s="163">
        <v>310343996</v>
      </c>
    </row>
    <row r="46" spans="1:27" ht="11.25" customHeight="1" x14ac:dyDescent="0.2">
      <c r="A46" s="165" t="s">
        <v>288</v>
      </c>
      <c r="B46" s="166"/>
      <c r="C46" s="166">
        <v>-75527522</v>
      </c>
      <c r="D46" s="166">
        <v>-60566532</v>
      </c>
      <c r="E46" s="166">
        <v>-58977579</v>
      </c>
      <c r="F46" s="166">
        <v>-46070121</v>
      </c>
      <c r="G46" s="166">
        <v>-46825477</v>
      </c>
      <c r="H46" s="166">
        <v>-44607762</v>
      </c>
      <c r="I46" s="166">
        <v>-55034146</v>
      </c>
      <c r="J46" s="166">
        <v>-56753161</v>
      </c>
      <c r="K46" s="166">
        <v>-53607270</v>
      </c>
      <c r="L46" s="166">
        <v>-52248876</v>
      </c>
      <c r="M46" s="166">
        <v>-53694355</v>
      </c>
      <c r="N46" s="166">
        <v>-56349277</v>
      </c>
      <c r="O46" s="166">
        <v>-46855438</v>
      </c>
      <c r="P46" s="166">
        <v>-37870014</v>
      </c>
      <c r="Q46" s="166">
        <v>-37336200</v>
      </c>
      <c r="R46" s="166">
        <v>-30543226</v>
      </c>
      <c r="S46" s="166">
        <v>-27436003</v>
      </c>
      <c r="T46" s="166">
        <v>-26256735</v>
      </c>
      <c r="U46" s="166">
        <v>-34974613</v>
      </c>
      <c r="V46" s="166">
        <v>-38563481</v>
      </c>
      <c r="W46" s="166">
        <v>-33266415</v>
      </c>
      <c r="X46" s="166">
        <v>-33625684</v>
      </c>
      <c r="Y46" s="166">
        <v>-34248561</v>
      </c>
      <c r="Z46" s="166">
        <v>-39994394</v>
      </c>
      <c r="AA46" s="167">
        <v>-1081232842</v>
      </c>
    </row>
    <row r="47" spans="1:27" ht="11.25" customHeight="1" thickBot="1" x14ac:dyDescent="0.25">
      <c r="A47" s="163" t="s">
        <v>0</v>
      </c>
      <c r="C47" s="163">
        <v>-75513283</v>
      </c>
      <c r="D47" s="163">
        <v>-60620120</v>
      </c>
      <c r="E47" s="163">
        <v>-59007407</v>
      </c>
      <c r="F47" s="163">
        <v>-46002693</v>
      </c>
      <c r="G47" s="163">
        <v>-46810275</v>
      </c>
      <c r="H47" s="163">
        <v>-44512080</v>
      </c>
      <c r="I47" s="163">
        <v>-55048922</v>
      </c>
      <c r="J47" s="163">
        <v>-56714851</v>
      </c>
      <c r="K47" s="163">
        <v>-53601563</v>
      </c>
      <c r="L47" s="163">
        <v>-52217944</v>
      </c>
      <c r="M47" s="163">
        <v>-53712455</v>
      </c>
      <c r="N47" s="163">
        <v>-56390600</v>
      </c>
      <c r="O47" s="163">
        <v>-46837125</v>
      </c>
      <c r="P47" s="163">
        <v>-37907065</v>
      </c>
      <c r="Q47" s="163">
        <v>-37382119</v>
      </c>
      <c r="R47" s="163">
        <v>-30625360</v>
      </c>
      <c r="S47" s="163">
        <v>-27501065</v>
      </c>
      <c r="T47" s="163">
        <v>-26345249</v>
      </c>
      <c r="U47" s="163">
        <v>-34940506</v>
      </c>
      <c r="V47" s="163">
        <v>-38498884</v>
      </c>
      <c r="W47" s="163">
        <v>-33227152</v>
      </c>
      <c r="X47" s="163">
        <v>-33664494</v>
      </c>
      <c r="Y47" s="163">
        <v>-34294277</v>
      </c>
      <c r="Z47" s="163">
        <v>-40023469</v>
      </c>
      <c r="AA47" s="163">
        <v>-1081398958</v>
      </c>
    </row>
    <row r="48" spans="1:27" ht="11.25" customHeight="1" thickBot="1" x14ac:dyDescent="0.25">
      <c r="A48" s="187" t="s">
        <v>1</v>
      </c>
      <c r="B48" s="16"/>
      <c r="C48" s="16">
        <v>-14239</v>
      </c>
      <c r="D48" s="16">
        <v>53588</v>
      </c>
      <c r="E48" s="16">
        <v>29828</v>
      </c>
      <c r="F48" s="16">
        <v>-67428</v>
      </c>
      <c r="G48" s="16">
        <v>-15202</v>
      </c>
      <c r="H48" s="16">
        <v>-95682</v>
      </c>
      <c r="I48" s="16">
        <v>14776</v>
      </c>
      <c r="J48" s="16">
        <v>-38310</v>
      </c>
      <c r="K48" s="16">
        <v>-5707</v>
      </c>
      <c r="L48" s="16">
        <v>-30932</v>
      </c>
      <c r="M48" s="16">
        <v>18100</v>
      </c>
      <c r="N48" s="16">
        <v>41323</v>
      </c>
      <c r="O48" s="16">
        <v>-18313</v>
      </c>
      <c r="P48" s="16">
        <v>37051</v>
      </c>
      <c r="Q48" s="16">
        <v>45919</v>
      </c>
      <c r="R48" s="16">
        <v>82134</v>
      </c>
      <c r="S48" s="16">
        <v>65062</v>
      </c>
      <c r="T48" s="16">
        <v>88514</v>
      </c>
      <c r="U48" s="16">
        <v>-34107</v>
      </c>
      <c r="V48" s="16">
        <v>-64597</v>
      </c>
      <c r="W48" s="16">
        <v>-39263</v>
      </c>
      <c r="X48" s="16">
        <v>38810</v>
      </c>
      <c r="Y48" s="16">
        <v>45716</v>
      </c>
      <c r="Z48" s="16">
        <v>29075</v>
      </c>
      <c r="AA48" s="17">
        <v>166116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2001-12-22T00:22:51Z</cp:lastPrinted>
  <dcterms:created xsi:type="dcterms:W3CDTF">2001-06-07T23:43:10Z</dcterms:created>
  <dcterms:modified xsi:type="dcterms:W3CDTF">2023-09-10T12:21:36Z</dcterms:modified>
</cp:coreProperties>
</file>