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832" tabRatio="822" activeTab="7"/>
  </bookViews>
  <sheets>
    <sheet name="Assumptions" sheetId="1" r:id="rId1"/>
    <sheet name="EBITDAx15" sheetId="2" r:id="rId2"/>
    <sheet name="EBITDAx17" sheetId="6" r:id="rId3"/>
    <sheet name="EBITDAx20" sheetId="7" r:id="rId4"/>
    <sheet name="EBTIDA Graph" sheetId="8" r:id="rId5"/>
    <sheet name="EBITDAX15 CHART" sheetId="9" r:id="rId6"/>
    <sheet name="EBITDAX17 CHART" sheetId="10" r:id="rId7"/>
    <sheet name="EBITDAX20 CHART" sheetId="11" r:id="rId8"/>
    <sheet name="Data" sheetId="12" state="hidden" r:id="rId9"/>
    <sheet name="Value Analysis" sheetId="13" state="hidden" r:id="rId10"/>
  </sheets>
  <externalReferences>
    <externalReference r:id="rId11"/>
  </externalReferences>
  <calcPr calcId="0"/>
</workbook>
</file>

<file path=xl/calcChain.xml><?xml version="1.0" encoding="utf-8"?>
<calcChain xmlns="http://schemas.openxmlformats.org/spreadsheetml/2006/main">
  <c r="D6" i="1" l="1"/>
  <c r="D8" i="1"/>
  <c r="B11" i="1"/>
  <c r="C11" i="1"/>
  <c r="D11" i="1"/>
  <c r="D12" i="1"/>
  <c r="D13" i="1"/>
  <c r="B14" i="1"/>
  <c r="C14" i="1"/>
  <c r="D14" i="1"/>
  <c r="D29" i="1"/>
  <c r="E29" i="1"/>
  <c r="F29" i="1"/>
  <c r="G29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B37" i="1"/>
  <c r="C37" i="1"/>
  <c r="D37" i="1"/>
  <c r="E37" i="1"/>
  <c r="F37" i="1"/>
  <c r="G37" i="1"/>
  <c r="B39" i="1"/>
  <c r="C39" i="1"/>
  <c r="D39" i="1"/>
  <c r="E39" i="1"/>
  <c r="F39" i="1"/>
  <c r="G39" i="1"/>
  <c r="B40" i="1"/>
  <c r="C40" i="1"/>
  <c r="D40" i="1"/>
  <c r="E40" i="1"/>
  <c r="F40" i="1"/>
  <c r="G40" i="1"/>
  <c r="H3" i="12"/>
  <c r="H4" i="12"/>
  <c r="H5" i="12"/>
  <c r="H6" i="12"/>
  <c r="H7" i="12"/>
  <c r="C9" i="12"/>
  <c r="D9" i="12"/>
  <c r="E9" i="12"/>
  <c r="F9" i="12"/>
  <c r="G9" i="12"/>
  <c r="H9" i="12"/>
  <c r="H11" i="12"/>
  <c r="C21" i="12"/>
  <c r="D21" i="12"/>
  <c r="E21" i="12"/>
  <c r="E23" i="1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2" i="2"/>
  <c r="C12" i="2"/>
  <c r="D12" i="2"/>
  <c r="E12" i="2"/>
  <c r="F12" i="2"/>
  <c r="G12" i="2"/>
  <c r="C3" i="6"/>
  <c r="D3" i="6"/>
  <c r="E3" i="6"/>
  <c r="F3" i="6"/>
  <c r="G3" i="6"/>
  <c r="B4" i="6"/>
  <c r="C4" i="6"/>
  <c r="D4" i="6"/>
  <c r="E4" i="6"/>
  <c r="F4" i="6"/>
  <c r="G4" i="6"/>
  <c r="B5" i="6"/>
  <c r="C5" i="6"/>
  <c r="D5" i="6"/>
  <c r="E5" i="6"/>
  <c r="F5" i="6"/>
  <c r="G5" i="6"/>
  <c r="B6" i="6"/>
  <c r="C6" i="6"/>
  <c r="D6" i="6"/>
  <c r="E6" i="6"/>
  <c r="F6" i="6"/>
  <c r="G6" i="6"/>
  <c r="B7" i="6"/>
  <c r="C7" i="6"/>
  <c r="D7" i="6"/>
  <c r="E7" i="6"/>
  <c r="F7" i="6"/>
  <c r="G7" i="6"/>
  <c r="B8" i="6"/>
  <c r="C8" i="6"/>
  <c r="D8" i="6"/>
  <c r="E8" i="6"/>
  <c r="F8" i="6"/>
  <c r="G8" i="6"/>
  <c r="B9" i="6"/>
  <c r="C9" i="6"/>
  <c r="D9" i="6"/>
  <c r="E9" i="6"/>
  <c r="F9" i="6"/>
  <c r="G9" i="6"/>
  <c r="B11" i="6"/>
  <c r="C11" i="6"/>
  <c r="D11" i="6"/>
  <c r="E11" i="6"/>
  <c r="F11" i="6"/>
  <c r="G11" i="6"/>
  <c r="C3" i="7"/>
  <c r="D3" i="7"/>
  <c r="E3" i="7"/>
  <c r="F3" i="7"/>
  <c r="G3" i="7"/>
  <c r="B4" i="7"/>
  <c r="C4" i="7"/>
  <c r="D4" i="7"/>
  <c r="E4" i="7"/>
  <c r="F4" i="7"/>
  <c r="G4" i="7"/>
  <c r="B5" i="7"/>
  <c r="C5" i="7"/>
  <c r="D5" i="7"/>
  <c r="E5" i="7"/>
  <c r="F5" i="7"/>
  <c r="G5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11" i="7"/>
  <c r="C11" i="7"/>
  <c r="D11" i="7"/>
  <c r="E11" i="7"/>
  <c r="F11" i="7"/>
  <c r="G11" i="7"/>
  <c r="F12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C23" i="7"/>
  <c r="D23" i="7"/>
  <c r="E23" i="7"/>
  <c r="F23" i="7"/>
  <c r="C4" i="13"/>
  <c r="E4" i="13"/>
  <c r="F4" i="13"/>
  <c r="G4" i="13"/>
  <c r="H4" i="13"/>
  <c r="I4" i="13"/>
  <c r="K4" i="13"/>
  <c r="C5" i="13"/>
  <c r="E5" i="13"/>
  <c r="F5" i="13"/>
  <c r="G5" i="13"/>
  <c r="H5" i="13"/>
  <c r="I5" i="13"/>
  <c r="K5" i="13"/>
  <c r="C6" i="13"/>
  <c r="E6" i="13"/>
  <c r="F6" i="13"/>
  <c r="G6" i="13"/>
  <c r="H6" i="13"/>
  <c r="I6" i="13"/>
  <c r="K6" i="13"/>
  <c r="C7" i="13"/>
  <c r="E7" i="13"/>
  <c r="G7" i="13"/>
  <c r="H7" i="13"/>
  <c r="I7" i="13"/>
  <c r="K7" i="13"/>
  <c r="C8" i="13"/>
  <c r="E8" i="13"/>
  <c r="F8" i="13"/>
  <c r="G8" i="13"/>
  <c r="H8" i="13"/>
  <c r="I8" i="13"/>
  <c r="K8" i="13"/>
  <c r="C9" i="13"/>
  <c r="E9" i="13"/>
  <c r="F9" i="13"/>
  <c r="G9" i="13"/>
  <c r="H9" i="13"/>
  <c r="I9" i="13"/>
  <c r="B11" i="13"/>
  <c r="C11" i="13"/>
  <c r="E11" i="13"/>
  <c r="F11" i="13"/>
  <c r="G11" i="13"/>
  <c r="H11" i="13"/>
  <c r="I11" i="13"/>
  <c r="D14" i="13"/>
  <c r="D15" i="13"/>
  <c r="K15" i="13"/>
  <c r="D17" i="13"/>
  <c r="B18" i="13"/>
  <c r="C18" i="13"/>
  <c r="D18" i="13"/>
  <c r="E18" i="13"/>
  <c r="F18" i="13"/>
  <c r="G18" i="13"/>
  <c r="H18" i="13"/>
  <c r="B19" i="13"/>
  <c r="C19" i="13"/>
  <c r="D19" i="13"/>
  <c r="E19" i="13"/>
  <c r="F19" i="13"/>
  <c r="G19" i="13"/>
  <c r="H19" i="13"/>
  <c r="B21" i="13"/>
  <c r="D21" i="13"/>
  <c r="F21" i="13"/>
  <c r="H21" i="13"/>
</calcChain>
</file>

<file path=xl/sharedStrings.xml><?xml version="1.0" encoding="utf-8"?>
<sst xmlns="http://schemas.openxmlformats.org/spreadsheetml/2006/main" count="137" uniqueCount="84">
  <si>
    <t>Synergy - G&amp;A</t>
  </si>
  <si>
    <t>Synergy - O&amp;M</t>
  </si>
  <si>
    <t>Growth 1 - Pricing &amp; Network Utilization</t>
  </si>
  <si>
    <t>Growth 2 - JV &amp; Outsourcing</t>
  </si>
  <si>
    <t>P2P - O&amp;M</t>
  </si>
  <si>
    <t>Pricing &amp; Network Utilization</t>
  </si>
  <si>
    <t>JV &amp; Outsourcing</t>
  </si>
  <si>
    <t>M&amp;A and O&amp;M</t>
  </si>
  <si>
    <t>Growth 3 - M&amp;A and O&amp;M</t>
  </si>
  <si>
    <t>TOTAL</t>
  </si>
  <si>
    <t>P2W - O&amp;M</t>
  </si>
  <si>
    <t>Low</t>
  </si>
  <si>
    <t>High</t>
  </si>
  <si>
    <t>Avg.</t>
  </si>
  <si>
    <t>P/E</t>
  </si>
  <si>
    <t>Values Achieved ($ Million)</t>
  </si>
  <si>
    <t>Growth 4 - RoW</t>
  </si>
  <si>
    <t>INFLATION, p.a.</t>
  </si>
  <si>
    <t>Ticker</t>
  </si>
  <si>
    <t>Company</t>
  </si>
  <si>
    <t>Mkt Cap</t>
  </si>
  <si>
    <t>Sales (ttm)</t>
  </si>
  <si>
    <t>EPS (ttm)</t>
  </si>
  <si>
    <t>Sh/Outstd.</t>
  </si>
  <si>
    <t>Earnings</t>
  </si>
  <si>
    <t>($ Billion)</t>
  </si>
  <si>
    <t>$</t>
  </si>
  <si>
    <t>(Million)</t>
  </si>
  <si>
    <t>($ Million)</t>
  </si>
  <si>
    <t>AEP</t>
  </si>
  <si>
    <t>American Electric Power</t>
  </si>
  <si>
    <t>CMS</t>
  </si>
  <si>
    <t>Consumers Energy</t>
  </si>
  <si>
    <t>DTE</t>
  </si>
  <si>
    <t>Detroit Edison</t>
  </si>
  <si>
    <t>FE</t>
  </si>
  <si>
    <t>First Energy</t>
  </si>
  <si>
    <t>D</t>
  </si>
  <si>
    <t>Virginia Power (Dominion)</t>
  </si>
  <si>
    <t>?</t>
  </si>
  <si>
    <r>
      <t>ALLIANCE</t>
    </r>
    <r>
      <rPr>
        <i/>
        <sz val="10"/>
        <rFont val="Arial"/>
        <family val="2"/>
      </rPr>
      <t xml:space="preserve"> (Wt.Avg.)</t>
    </r>
  </si>
  <si>
    <t>ENE</t>
  </si>
  <si>
    <t>ENRON</t>
  </si>
  <si>
    <t>Transmission/Pipeline Assets (1998)</t>
  </si>
  <si>
    <t>Gross Pl.</t>
  </si>
  <si>
    <t>Depr.</t>
  </si>
  <si>
    <t>Net Plant</t>
  </si>
  <si>
    <t>ALLIANCE</t>
  </si>
  <si>
    <t>ENRON (affected pipes only)</t>
  </si>
  <si>
    <t>Participant</t>
  </si>
  <si>
    <t>Market Cap</t>
  </si>
  <si>
    <t>Book Value</t>
  </si>
  <si>
    <t>($B)</t>
  </si>
  <si>
    <t>(%)</t>
  </si>
  <si>
    <t>Cristobal-A</t>
  </si>
  <si>
    <t>Cristobal-C</t>
  </si>
  <si>
    <t>Cristobal-D</t>
  </si>
  <si>
    <t>Cristobal-F</t>
  </si>
  <si>
    <t>Cristobal-V</t>
  </si>
  <si>
    <t>Texas</t>
  </si>
  <si>
    <t>Texas PEx</t>
  </si>
  <si>
    <t>Cristobal PEX</t>
  </si>
  <si>
    <t>Cristobal</t>
  </si>
  <si>
    <r>
      <t>Estimated Market Cap Net Plant</t>
    </r>
    <r>
      <rPr>
        <b/>
        <vertAlign val="superscript"/>
        <sz val="12"/>
        <color indexed="9"/>
        <rFont val="Arial"/>
        <family val="2"/>
      </rPr>
      <t xml:space="preserve"> (1)</t>
    </r>
  </si>
  <si>
    <t>Value</t>
  </si>
  <si>
    <t>EBITDA X</t>
  </si>
  <si>
    <t>EBITDA/EAC</t>
  </si>
  <si>
    <t>SYNERGY (EBITDA)</t>
  </si>
  <si>
    <t>GROWTH (EBITDA)</t>
  </si>
  <si>
    <t>EBITDA ACHIEVED</t>
  </si>
  <si>
    <t>% ACHIEVABLE BY MONTH</t>
  </si>
  <si>
    <t>P2P - A&amp;G</t>
  </si>
  <si>
    <t>P2W - A&amp;G</t>
  </si>
  <si>
    <t>Total of Growth Options Only</t>
  </si>
  <si>
    <t>Total</t>
  </si>
  <si>
    <t>Multiples</t>
  </si>
  <si>
    <t>Year 0</t>
  </si>
  <si>
    <t>Year 1</t>
  </si>
  <si>
    <t>Year 2</t>
  </si>
  <si>
    <t>Year 3</t>
  </si>
  <si>
    <t>Year 4</t>
  </si>
  <si>
    <t>Year 5</t>
  </si>
  <si>
    <t>Increase over $17 billion</t>
  </si>
  <si>
    <t>Total of Synergy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</si>
</sst>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8" formatCode="&quot;$&quot;#,##0.0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b/>
      <vertAlign val="superscript"/>
      <sz val="12"/>
      <color indexed="9"/>
      <name val="Arial"/>
      <family val="2"/>
    </font>
    <font>
      <sz val="12"/>
      <color indexed="9"/>
      <name val="Arial"/>
      <family val="2"/>
    </font>
    <font>
      <sz val="10.25"/>
      <name val="Arial"/>
      <family val="2"/>
    </font>
    <font>
      <sz val="10.25"/>
      <name val="Arial"/>
      <family val="2"/>
    </font>
    <font>
      <sz val="10"/>
      <name val="Arial"/>
    </font>
    <font>
      <sz val="9.5"/>
      <name val="Arial"/>
    </font>
    <font>
      <sz val="10"/>
      <name val="Arial"/>
    </font>
    <font>
      <sz val="9.75"/>
      <name val="Arial"/>
    </font>
    <font>
      <sz val="10"/>
      <name val="Arial"/>
      <family val="2"/>
    </font>
    <font>
      <sz val="10"/>
      <name val="Arial"/>
      <family val="2"/>
    </font>
    <font>
      <sz val="12"/>
      <name val="Tahoma"/>
      <family val="2"/>
    </font>
    <font>
      <b/>
      <sz val="12"/>
      <color indexed="8"/>
      <name val="Tahoma"/>
      <family val="2"/>
    </font>
    <font>
      <sz val="12"/>
      <color indexed="8"/>
      <name val="Tahoma"/>
      <family val="2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0" fontId="2" fillId="0" borderId="1" xfId="0" applyFont="1" applyBorder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0" fillId="0" borderId="1" xfId="0" applyNumberForma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/>
    <xf numFmtId="168" fontId="2" fillId="0" borderId="2" xfId="0" applyNumberFormat="1" applyFont="1" applyBorder="1"/>
    <xf numFmtId="168" fontId="2" fillId="0" borderId="0" xfId="0" applyNumberFormat="1" applyFont="1"/>
    <xf numFmtId="0" fontId="2" fillId="0" borderId="2" xfId="0" applyFont="1" applyBorder="1" applyAlignment="1">
      <alignment horizontal="center"/>
    </xf>
    <xf numFmtId="1" fontId="2" fillId="0" borderId="0" xfId="0" applyNumberFormat="1" applyFont="1"/>
    <xf numFmtId="0" fontId="2" fillId="0" borderId="1" xfId="0" applyFont="1" applyBorder="1" applyAlignment="1">
      <alignment horizontal="center"/>
    </xf>
    <xf numFmtId="3" fontId="0" fillId="0" borderId="0" xfId="0" applyNumberFormat="1" applyBorder="1"/>
    <xf numFmtId="3" fontId="0" fillId="0" borderId="1" xfId="0" applyNumberFormat="1" applyBorder="1"/>
    <xf numFmtId="0" fontId="0" fillId="0" borderId="2" xfId="0" applyBorder="1"/>
    <xf numFmtId="3" fontId="2" fillId="0" borderId="2" xfId="0" applyNumberFormat="1" applyFont="1" applyBorder="1"/>
    <xf numFmtId="0" fontId="4" fillId="0" borderId="3" xfId="0" applyFont="1" applyBorder="1"/>
    <xf numFmtId="0" fontId="5" fillId="2" borderId="0" xfId="0" applyFont="1" applyFill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164" fontId="7" fillId="2" borderId="0" xfId="0" applyNumberFormat="1" applyFont="1" applyFill="1" applyAlignment="1">
      <alignment horizontal="center"/>
    </xf>
    <xf numFmtId="9" fontId="7" fillId="2" borderId="0" xfId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2" xfId="0" applyFont="1" applyFill="1" applyBorder="1"/>
    <xf numFmtId="164" fontId="5" fillId="2" borderId="2" xfId="0" applyNumberFormat="1" applyFont="1" applyFill="1" applyBorder="1" applyAlignment="1">
      <alignment horizontal="center"/>
    </xf>
    <xf numFmtId="9" fontId="7" fillId="2" borderId="2" xfId="0" applyNumberFormat="1" applyFont="1" applyFill="1" applyBorder="1" applyAlignment="1">
      <alignment horizontal="center"/>
    </xf>
    <xf numFmtId="9" fontId="1" fillId="0" borderId="0" xfId="1"/>
    <xf numFmtId="9" fontId="0" fillId="0" borderId="0" xfId="1" applyFont="1"/>
    <xf numFmtId="0" fontId="16" fillId="0" borderId="0" xfId="0" applyFont="1"/>
    <xf numFmtId="0" fontId="17" fillId="0" borderId="0" xfId="0" applyFont="1" applyFill="1" applyBorder="1"/>
    <xf numFmtId="9" fontId="17" fillId="0" borderId="0" xfId="0" applyNumberFormat="1" applyFont="1" applyFill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 indent="1"/>
    </xf>
    <xf numFmtId="1" fontId="18" fillId="0" borderId="0" xfId="0" applyNumberFormat="1" applyFont="1" applyFill="1" applyBorder="1" applyAlignment="1">
      <alignment horizontal="center"/>
    </xf>
    <xf numFmtId="1" fontId="18" fillId="0" borderId="0" xfId="0" applyNumberFormat="1" applyFont="1" applyFill="1" applyBorder="1"/>
    <xf numFmtId="0" fontId="17" fillId="0" borderId="0" xfId="0" applyFont="1" applyFill="1" applyBorder="1" applyAlignment="1">
      <alignment horizontal="left" indent="1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9" fontId="18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18" fillId="0" borderId="0" xfId="0" applyFont="1" applyFill="1"/>
    <xf numFmtId="1" fontId="18" fillId="0" borderId="0" xfId="0" applyNumberFormat="1" applyFont="1" applyFill="1"/>
    <xf numFmtId="0" fontId="17" fillId="0" borderId="4" xfId="0" applyFont="1" applyFill="1" applyBorder="1"/>
    <xf numFmtId="0" fontId="17" fillId="0" borderId="5" xfId="0" applyFont="1" applyFill="1" applyBorder="1"/>
    <xf numFmtId="0" fontId="18" fillId="0" borderId="6" xfId="0" applyFont="1" applyFill="1" applyBorder="1"/>
    <xf numFmtId="0" fontId="18" fillId="0" borderId="7" xfId="0" applyFont="1" applyFill="1" applyBorder="1"/>
    <xf numFmtId="0" fontId="18" fillId="0" borderId="8" xfId="0" applyFont="1" applyFill="1" applyBorder="1"/>
    <xf numFmtId="0" fontId="18" fillId="0" borderId="9" xfId="0" applyFont="1" applyFill="1" applyBorder="1"/>
    <xf numFmtId="0" fontId="17" fillId="0" borderId="10" xfId="0" applyFont="1" applyFill="1" applyBorder="1"/>
    <xf numFmtId="0" fontId="17" fillId="0" borderId="3" xfId="0" applyFont="1" applyFill="1" applyBorder="1"/>
    <xf numFmtId="0" fontId="17" fillId="0" borderId="11" xfId="0" applyFont="1" applyFill="1" applyBorder="1"/>
    <xf numFmtId="3" fontId="18" fillId="0" borderId="0" xfId="0" applyNumberFormat="1" applyFont="1" applyFill="1" applyBorder="1"/>
    <xf numFmtId="3" fontId="18" fillId="0" borderId="9" xfId="0" applyNumberFormat="1" applyFont="1" applyFill="1" applyBorder="1"/>
    <xf numFmtId="0" fontId="18" fillId="0" borderId="10" xfId="0" applyFont="1" applyFill="1" applyBorder="1"/>
    <xf numFmtId="1" fontId="18" fillId="0" borderId="3" xfId="0" applyNumberFormat="1" applyFont="1" applyFill="1" applyBorder="1"/>
    <xf numFmtId="3" fontId="18" fillId="0" borderId="3" xfId="0" applyNumberFormat="1" applyFont="1" applyFill="1" applyBorder="1"/>
    <xf numFmtId="3" fontId="18" fillId="0" borderId="11" xfId="0" applyNumberFormat="1" applyFont="1" applyFill="1" applyBorder="1"/>
    <xf numFmtId="0" fontId="19" fillId="0" borderId="0" xfId="0" applyFont="1" applyFill="1"/>
    <xf numFmtId="1" fontId="19" fillId="0" borderId="0" xfId="0" applyNumberFormat="1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externalLink" Target="externalLinks/externalLink1.xml"/><Relationship Id="rId5" Type="http://schemas.openxmlformats.org/officeDocument/2006/relationships/chartsheet" Target="chartsheets/sheet1.xml"/><Relationship Id="rId15" Type="http://schemas.openxmlformats.org/officeDocument/2006/relationships/calcChain" Target="calcChain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EBITDA IMPACTS OF GROWTH OPTIONS AND SYNERGIES</a:t>
            </a:r>
          </a:p>
        </c:rich>
      </c:tx>
      <c:layout>
        <c:manualLayout>
          <c:xMode val="edge"/>
          <c:yMode val="edge"/>
          <c:x val="0.24822064056939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195729537366533E-2"/>
          <c:y val="0.13350785340314136"/>
          <c:w val="0.88256227758007111"/>
          <c:h val="0.71727748691099469"/>
        </c:manualLayout>
      </c:layout>
      <c:areaChart>
        <c:grouping val="stacked"/>
        <c:varyColors val="0"/>
        <c:ser>
          <c:idx val="0"/>
          <c:order val="0"/>
          <c:tx>
            <c:strRef>
              <c:f>Assumptions!$A$31</c:f>
              <c:strCache>
                <c:ptCount val="1"/>
                <c:pt idx="0">
                  <c:v>Synergy - G&amp;A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9999FF" mc:Ignorable="a14" a14:legacySpreadsheetColorIndex="2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Assumptions!$B$29:$G$29</c:f>
              <c:numCache>
                <c:formatCode>0</c:formatCode>
                <c:ptCount val="6"/>
                <c:pt idx="0" formatCode="General">
                  <c:v>0</c:v>
                </c:pt>
                <c:pt idx="1">
                  <c:v>12.0001</c:v>
                </c:pt>
                <c:pt idx="2">
                  <c:v>24.0001</c:v>
                </c:pt>
                <c:pt idx="3">
                  <c:v>36.000100000000003</c:v>
                </c:pt>
                <c:pt idx="4">
                  <c:v>48.000100000000003</c:v>
                </c:pt>
                <c:pt idx="5">
                  <c:v>60.000100000000003</c:v>
                </c:pt>
              </c:numCache>
            </c:numRef>
          </c:cat>
          <c:val>
            <c:numRef>
              <c:f>Assumptions!$B$31:$G$31</c:f>
              <c:numCache>
                <c:formatCode>0</c:formatCode>
                <c:ptCount val="6"/>
                <c:pt idx="0" formatCode="General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18.54</c:v>
                </c:pt>
                <c:pt idx="4">
                  <c:v>19.0962</c:v>
                </c:pt>
                <c:pt idx="5">
                  <c:v>19.669086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6-46C7-9DDD-F1CDFAB03F3E}"/>
            </c:ext>
          </c:extLst>
        </c:ser>
        <c:ser>
          <c:idx val="1"/>
          <c:order val="1"/>
          <c:tx>
            <c:strRef>
              <c:f>Assumptions!$A$32</c:f>
              <c:strCache>
                <c:ptCount val="1"/>
                <c:pt idx="0">
                  <c:v>Synergy - O&amp;M</c:v>
                </c:pt>
              </c:strCache>
            </c:strRef>
          </c:tx>
          <c:spPr>
            <a:pattFill prst="ltVert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Assumptions!$B$29:$G$29</c:f>
              <c:numCache>
                <c:formatCode>0</c:formatCode>
                <c:ptCount val="6"/>
                <c:pt idx="0" formatCode="General">
                  <c:v>0</c:v>
                </c:pt>
                <c:pt idx="1">
                  <c:v>12.0001</c:v>
                </c:pt>
                <c:pt idx="2">
                  <c:v>24.0001</c:v>
                </c:pt>
                <c:pt idx="3">
                  <c:v>36.000100000000003</c:v>
                </c:pt>
                <c:pt idx="4">
                  <c:v>48.000100000000003</c:v>
                </c:pt>
                <c:pt idx="5">
                  <c:v>60.000100000000003</c:v>
                </c:pt>
              </c:numCache>
            </c:numRef>
          </c:cat>
          <c:val>
            <c:numRef>
              <c:f>Assumptions!$B$32:$G$32</c:f>
              <c:numCache>
                <c:formatCode>0</c:formatCode>
                <c:ptCount val="6"/>
                <c:pt idx="0" formatCode="General">
                  <c:v>0</c:v>
                </c:pt>
                <c:pt idx="1">
                  <c:v>41.835000000000001</c:v>
                </c:pt>
                <c:pt idx="2">
                  <c:v>83.67</c:v>
                </c:pt>
                <c:pt idx="3">
                  <c:v>86.18010000000001</c:v>
                </c:pt>
                <c:pt idx="4">
                  <c:v>88.76550300000001</c:v>
                </c:pt>
                <c:pt idx="5">
                  <c:v>91.42846809000001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6-46C7-9DDD-F1CDFAB03F3E}"/>
            </c:ext>
          </c:extLst>
        </c:ser>
        <c:ser>
          <c:idx val="2"/>
          <c:order val="2"/>
          <c:tx>
            <c:strRef>
              <c:f>Assumptions!$A$33</c:f>
              <c:strCache>
                <c:ptCount val="1"/>
                <c:pt idx="0">
                  <c:v>Growth 1 - Pricing &amp; Network Utilization</c:v>
                </c:pt>
              </c:strCache>
            </c:strRef>
          </c:tx>
          <c:spPr>
            <a:pattFill prst="ltHorz">
              <a:fgClr>
                <a:srgbClr xmlns:mc="http://schemas.openxmlformats.org/markup-compatibility/2006" xmlns:a14="http://schemas.microsoft.com/office/drawing/2010/main" val="FFFF00" mc:Ignorable="a14" a14:legacySpreadsheetColorIndex="1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Assumptions!$B$29:$G$29</c:f>
              <c:numCache>
                <c:formatCode>0</c:formatCode>
                <c:ptCount val="6"/>
                <c:pt idx="0" formatCode="General">
                  <c:v>0</c:v>
                </c:pt>
                <c:pt idx="1">
                  <c:v>12.0001</c:v>
                </c:pt>
                <c:pt idx="2">
                  <c:v>24.0001</c:v>
                </c:pt>
                <c:pt idx="3">
                  <c:v>36.000100000000003</c:v>
                </c:pt>
                <c:pt idx="4">
                  <c:v>48.000100000000003</c:v>
                </c:pt>
                <c:pt idx="5">
                  <c:v>60.000100000000003</c:v>
                </c:pt>
              </c:numCache>
            </c:numRef>
          </c:cat>
          <c:val>
            <c:numRef>
              <c:f>Assumptions!$B$33:$G$33</c:f>
              <c:numCache>
                <c:formatCode>0</c:formatCode>
                <c:ptCount val="6"/>
                <c:pt idx="0" formatCode="General">
                  <c:v>0</c:v>
                </c:pt>
                <c:pt idx="1">
                  <c:v>33.44</c:v>
                </c:pt>
                <c:pt idx="2">
                  <c:v>62.699999999999996</c:v>
                </c:pt>
                <c:pt idx="3">
                  <c:v>83.6</c:v>
                </c:pt>
                <c:pt idx="4">
                  <c:v>86.10799999999999</c:v>
                </c:pt>
                <c:pt idx="5">
                  <c:v>88.691239999999993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66-46C7-9DDD-F1CDFAB03F3E}"/>
            </c:ext>
          </c:extLst>
        </c:ser>
        <c:ser>
          <c:idx val="3"/>
          <c:order val="3"/>
          <c:tx>
            <c:strRef>
              <c:f>Assumptions!$A$34</c:f>
              <c:strCache>
                <c:ptCount val="1"/>
                <c:pt idx="0">
                  <c:v>Growth 2 - JV &amp; Outsourcing</c:v>
                </c:pt>
              </c:strCache>
            </c:strRef>
          </c:tx>
          <c:spPr>
            <a:pattFill prst="ltUpDiag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Assumptions!$B$29:$G$29</c:f>
              <c:numCache>
                <c:formatCode>0</c:formatCode>
                <c:ptCount val="6"/>
                <c:pt idx="0" formatCode="General">
                  <c:v>0</c:v>
                </c:pt>
                <c:pt idx="1">
                  <c:v>12.0001</c:v>
                </c:pt>
                <c:pt idx="2">
                  <c:v>24.0001</c:v>
                </c:pt>
                <c:pt idx="3">
                  <c:v>36.000100000000003</c:v>
                </c:pt>
                <c:pt idx="4">
                  <c:v>48.000100000000003</c:v>
                </c:pt>
                <c:pt idx="5">
                  <c:v>60.000100000000003</c:v>
                </c:pt>
              </c:numCache>
            </c:numRef>
          </c:cat>
          <c:val>
            <c:numRef>
              <c:f>Assumptions!$B$34:$G$34</c:f>
              <c:numCache>
                <c:formatCode>0</c:formatCode>
                <c:ptCount val="6"/>
                <c:pt idx="0" formatCode="General">
                  <c:v>0</c:v>
                </c:pt>
                <c:pt idx="1">
                  <c:v>10.125</c:v>
                </c:pt>
                <c:pt idx="2">
                  <c:v>20.25</c:v>
                </c:pt>
                <c:pt idx="3">
                  <c:v>30.375</c:v>
                </c:pt>
                <c:pt idx="4">
                  <c:v>40.5</c:v>
                </c:pt>
                <c:pt idx="5">
                  <c:v>41.715000000000003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66-46C7-9DDD-F1CDFAB03F3E}"/>
            </c:ext>
          </c:extLst>
        </c:ser>
        <c:ser>
          <c:idx val="4"/>
          <c:order val="4"/>
          <c:tx>
            <c:strRef>
              <c:f>Assumptions!$A$35</c:f>
              <c:strCache>
                <c:ptCount val="1"/>
                <c:pt idx="0">
                  <c:v>Growth 3 - M&amp;A and O&amp;M</c:v>
                </c:pt>
              </c:strCache>
            </c:strRef>
          </c:tx>
          <c:spPr>
            <a:pattFill prst="smGrid">
              <a:fgClr>
                <a:srgbClr xmlns:mc="http://schemas.openxmlformats.org/markup-compatibility/2006" xmlns:a14="http://schemas.microsoft.com/office/drawing/2010/main" val="666699" mc:Ignorable="a14" a14:legacySpreadsheetColorIndex="5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Assumptions!$B$29:$G$29</c:f>
              <c:numCache>
                <c:formatCode>0</c:formatCode>
                <c:ptCount val="6"/>
                <c:pt idx="0" formatCode="General">
                  <c:v>0</c:v>
                </c:pt>
                <c:pt idx="1">
                  <c:v>12.0001</c:v>
                </c:pt>
                <c:pt idx="2">
                  <c:v>24.0001</c:v>
                </c:pt>
                <c:pt idx="3">
                  <c:v>36.000100000000003</c:v>
                </c:pt>
                <c:pt idx="4">
                  <c:v>48.000100000000003</c:v>
                </c:pt>
                <c:pt idx="5">
                  <c:v>60.000100000000003</c:v>
                </c:pt>
              </c:numCache>
            </c:numRef>
          </c:cat>
          <c:val>
            <c:numRef>
              <c:f>Assumptions!$B$35:$G$35</c:f>
              <c:numCache>
                <c:formatCode>0</c:formatCode>
                <c:ptCount val="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25.5</c:v>
                </c:pt>
                <c:pt idx="4">
                  <c:v>51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66-46C7-9DDD-F1CDFAB0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71272"/>
        <c:axId val="1"/>
      </c:areaChart>
      <c:catAx>
        <c:axId val="18117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 from Approval</a:t>
                </a:r>
              </a:p>
            </c:rich>
          </c:tx>
          <c:layout>
            <c:manualLayout>
              <c:xMode val="edge"/>
              <c:yMode val="edge"/>
              <c:x val="0.46352313167259784"/>
              <c:y val="0.903141361256544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Additional EBITDA Achieved
($ Million)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5340314136125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71272"/>
        <c:crosses val="autoZero"/>
        <c:crossBetween val="midCat"/>
        <c:majorUnit val="5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767647" mc:Ignorable="a14" a14:legacySpreadsheetColorIndex="43">
                <a:gamma/>
                <a:shade val="4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7793594306049819E-3"/>
          <c:y val="0.96073298429319376"/>
          <c:w val="0.99822064056939475"/>
          <c:h val="3.6649214659685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MARKET VALUE OF GROWTH AND SYNERGIES AT EBITDA X15</a:t>
            </a:r>
          </a:p>
        </c:rich>
      </c:tx>
      <c:layout>
        <c:manualLayout>
          <c:xMode val="edge"/>
          <c:yMode val="edge"/>
          <c:x val="0.2286476868327401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6512455516014"/>
          <c:y val="0.13350785340314136"/>
          <c:w val="0.87010676156583633"/>
          <c:h val="0.71465968586387429"/>
        </c:manualLayout>
      </c:layout>
      <c:areaChart>
        <c:grouping val="stacked"/>
        <c:varyColors val="0"/>
        <c:ser>
          <c:idx val="0"/>
          <c:order val="0"/>
          <c:tx>
            <c:strRef>
              <c:f>EBITDAx15!$A$4</c:f>
              <c:strCache>
                <c:ptCount val="1"/>
                <c:pt idx="0">
                  <c:v>Synergy - G&amp;A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9999FF" mc:Ignorable="a14" a14:legacySpreadsheetColorIndex="2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EBITDAx15!$B$3:$G$3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EBITDAx15!$B$4:$G$4</c:f>
              <c:numCache>
                <c:formatCode>#,##0</c:formatCode>
                <c:ptCount val="6"/>
                <c:pt idx="0" formatCode="0">
                  <c:v>0</c:v>
                </c:pt>
                <c:pt idx="1">
                  <c:v>135</c:v>
                </c:pt>
                <c:pt idx="2">
                  <c:v>270</c:v>
                </c:pt>
                <c:pt idx="3">
                  <c:v>278.09999999999997</c:v>
                </c:pt>
                <c:pt idx="4">
                  <c:v>286.44299999999998</c:v>
                </c:pt>
                <c:pt idx="5">
                  <c:v>295.03629000000001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5-42EA-B00C-4C7D00A72D55}"/>
            </c:ext>
          </c:extLst>
        </c:ser>
        <c:ser>
          <c:idx val="1"/>
          <c:order val="1"/>
          <c:tx>
            <c:strRef>
              <c:f>EBITDAx15!$A$5</c:f>
              <c:strCache>
                <c:ptCount val="1"/>
                <c:pt idx="0">
                  <c:v>Synergy - O&amp;M</c:v>
                </c:pt>
              </c:strCache>
            </c:strRef>
          </c:tx>
          <c:spPr>
            <a:pattFill prst="ltVert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EBITDAx15!$B$3:$G$3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EBITDAx15!$B$5:$G$5</c:f>
              <c:numCache>
                <c:formatCode>#,##0</c:formatCode>
                <c:ptCount val="6"/>
                <c:pt idx="0" formatCode="0">
                  <c:v>0</c:v>
                </c:pt>
                <c:pt idx="1">
                  <c:v>627.52499999999998</c:v>
                </c:pt>
                <c:pt idx="2">
                  <c:v>1255.05</c:v>
                </c:pt>
                <c:pt idx="3">
                  <c:v>1292.7015000000001</c:v>
                </c:pt>
                <c:pt idx="4">
                  <c:v>1331.4825450000001</c:v>
                </c:pt>
                <c:pt idx="5">
                  <c:v>1371.4270213500001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5-42EA-B00C-4C7D00A72D55}"/>
            </c:ext>
          </c:extLst>
        </c:ser>
        <c:ser>
          <c:idx val="2"/>
          <c:order val="2"/>
          <c:tx>
            <c:strRef>
              <c:f>EBITDAx15!$A$6</c:f>
              <c:strCache>
                <c:ptCount val="1"/>
                <c:pt idx="0">
                  <c:v>Growth 1 - Pricing &amp; Network Utilization</c:v>
                </c:pt>
              </c:strCache>
            </c:strRef>
          </c:tx>
          <c:spPr>
            <a:pattFill prst="ltHorz">
              <a:fgClr>
                <a:srgbClr xmlns:mc="http://schemas.openxmlformats.org/markup-compatibility/2006" xmlns:a14="http://schemas.microsoft.com/office/drawing/2010/main" val="FFFF00" mc:Ignorable="a14" a14:legacySpreadsheetColorIndex="1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EBITDAx15!$B$3:$G$3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EBITDAx15!$B$6:$G$6</c:f>
              <c:numCache>
                <c:formatCode>#,##0</c:formatCode>
                <c:ptCount val="6"/>
                <c:pt idx="0" formatCode="0">
                  <c:v>0</c:v>
                </c:pt>
                <c:pt idx="1">
                  <c:v>501.59999999999997</c:v>
                </c:pt>
                <c:pt idx="2">
                  <c:v>940.49999999999989</c:v>
                </c:pt>
                <c:pt idx="3">
                  <c:v>1254</c:v>
                </c:pt>
                <c:pt idx="4">
                  <c:v>1291.6199999999999</c:v>
                </c:pt>
                <c:pt idx="5">
                  <c:v>1330.3685999999998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A5-42EA-B00C-4C7D00A72D55}"/>
            </c:ext>
          </c:extLst>
        </c:ser>
        <c:ser>
          <c:idx val="3"/>
          <c:order val="3"/>
          <c:tx>
            <c:strRef>
              <c:f>EBITDAx15!$A$7</c:f>
              <c:strCache>
                <c:ptCount val="1"/>
                <c:pt idx="0">
                  <c:v>Growth 2 - JV &amp; Outsourcing</c:v>
                </c:pt>
              </c:strCache>
            </c:strRef>
          </c:tx>
          <c:spPr>
            <a:pattFill prst="ltUpDiag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EBITDAx15!$B$3:$G$3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EBITDAx15!$B$7:$G$7</c:f>
              <c:numCache>
                <c:formatCode>#,##0</c:formatCode>
                <c:ptCount val="6"/>
                <c:pt idx="0" formatCode="0">
                  <c:v>0</c:v>
                </c:pt>
                <c:pt idx="1">
                  <c:v>151.875</c:v>
                </c:pt>
                <c:pt idx="2">
                  <c:v>303.75</c:v>
                </c:pt>
                <c:pt idx="3">
                  <c:v>455.625</c:v>
                </c:pt>
                <c:pt idx="4">
                  <c:v>607.5</c:v>
                </c:pt>
                <c:pt idx="5">
                  <c:v>625.72500000000002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A5-42EA-B00C-4C7D00A72D55}"/>
            </c:ext>
          </c:extLst>
        </c:ser>
        <c:ser>
          <c:idx val="4"/>
          <c:order val="4"/>
          <c:tx>
            <c:strRef>
              <c:f>EBITDAx15!$A$8</c:f>
              <c:strCache>
                <c:ptCount val="1"/>
                <c:pt idx="0">
                  <c:v>Growth 3 - M&amp;A and O&amp;M</c:v>
                </c:pt>
              </c:strCache>
            </c:strRef>
          </c:tx>
          <c:spPr>
            <a:pattFill prst="smGrid">
              <a:fgClr>
                <a:srgbClr xmlns:mc="http://schemas.openxmlformats.org/markup-compatibility/2006" xmlns:a14="http://schemas.microsoft.com/office/drawing/2010/main" val="666699" mc:Ignorable="a14" a14:legacySpreadsheetColorIndex="5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EBITDAx15!$B$3:$G$3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EBITDAx15!$B$8:$G$8</c:f>
              <c:numCache>
                <c:formatCode>#,##0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382.5</c:v>
                </c:pt>
                <c:pt idx="4">
                  <c:v>765</c:v>
                </c:pt>
                <c:pt idx="5">
                  <c:v>1147.5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A5-42EA-B00C-4C7D00A72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66096"/>
        <c:axId val="1"/>
      </c:areaChart>
      <c:catAx>
        <c:axId val="18146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 from Approval</a:t>
                </a:r>
              </a:p>
            </c:rich>
          </c:tx>
          <c:layout>
            <c:manualLayout>
              <c:xMode val="edge"/>
              <c:yMode val="edge"/>
              <c:x val="0.46975088967971523"/>
              <c:y val="0.9005235602094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 at EBITDA X 15
($ Million)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821989528795811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66096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767647" mc:Ignorable="a14" a14:legacySpreadsheetColorIndex="43">
                <a:gamma/>
                <a:shade val="4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8967971530249095E-4"/>
          <c:y val="0.95942408376963362"/>
          <c:w val="0.99822064056939475"/>
          <c:h val="3.79581151832460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MARKET VALUE OF GROWTH AND SYNERGIES AT EBITDA X17</a:t>
            </a:r>
          </a:p>
        </c:rich>
      </c:tx>
      <c:layout>
        <c:manualLayout>
          <c:xMode val="edge"/>
          <c:yMode val="edge"/>
          <c:x val="0.2286476868327401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4092526690388"/>
          <c:y val="0.13089005235602094"/>
          <c:w val="0.87277580071174365"/>
          <c:h val="0.73167539267015702"/>
        </c:manualLayout>
      </c:layout>
      <c:areaChart>
        <c:grouping val="stacked"/>
        <c:varyColors val="0"/>
        <c:ser>
          <c:idx val="0"/>
          <c:order val="0"/>
          <c:tx>
            <c:strRef>
              <c:f>EBITDAx17!$A$4</c:f>
              <c:strCache>
                <c:ptCount val="1"/>
                <c:pt idx="0">
                  <c:v>Synergy - G&amp;A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9999FF" mc:Ignorable="a14" a14:legacySpreadsheetColorIndex="2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EBITDAx17!$B$3:$G$3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EBITDAx17!$B$4:$G$4</c:f>
              <c:numCache>
                <c:formatCode>#,##0</c:formatCode>
                <c:ptCount val="6"/>
                <c:pt idx="0" formatCode="0">
                  <c:v>0</c:v>
                </c:pt>
                <c:pt idx="1">
                  <c:v>153</c:v>
                </c:pt>
                <c:pt idx="2">
                  <c:v>306</c:v>
                </c:pt>
                <c:pt idx="3">
                  <c:v>315.18</c:v>
                </c:pt>
                <c:pt idx="4">
                  <c:v>324.6354</c:v>
                </c:pt>
                <c:pt idx="5">
                  <c:v>334.37446199999999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3-4DC3-AC3D-8C49EB933421}"/>
            </c:ext>
          </c:extLst>
        </c:ser>
        <c:ser>
          <c:idx val="1"/>
          <c:order val="1"/>
          <c:tx>
            <c:strRef>
              <c:f>EBITDAx17!$A$5</c:f>
              <c:strCache>
                <c:ptCount val="1"/>
                <c:pt idx="0">
                  <c:v>Synergy - O&amp;M</c:v>
                </c:pt>
              </c:strCache>
            </c:strRef>
          </c:tx>
          <c:spPr>
            <a:pattFill prst="ltVert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EBITDAx17!$B$3:$G$3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EBITDAx17!$B$5:$G$5</c:f>
              <c:numCache>
                <c:formatCode>#,##0</c:formatCode>
                <c:ptCount val="6"/>
                <c:pt idx="0" formatCode="0">
                  <c:v>0</c:v>
                </c:pt>
                <c:pt idx="1">
                  <c:v>711.19500000000005</c:v>
                </c:pt>
                <c:pt idx="2">
                  <c:v>1422.39</c:v>
                </c:pt>
                <c:pt idx="3">
                  <c:v>1465.0617000000002</c:v>
                </c:pt>
                <c:pt idx="4">
                  <c:v>1509.0135510000002</c:v>
                </c:pt>
                <c:pt idx="5">
                  <c:v>1554.2839575300002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3-4DC3-AC3D-8C49EB933421}"/>
            </c:ext>
          </c:extLst>
        </c:ser>
        <c:ser>
          <c:idx val="2"/>
          <c:order val="2"/>
          <c:tx>
            <c:strRef>
              <c:f>EBITDAx17!$A$6</c:f>
              <c:strCache>
                <c:ptCount val="1"/>
                <c:pt idx="0">
                  <c:v>Growth 1 - Pricing &amp; Network Utilization</c:v>
                </c:pt>
              </c:strCache>
            </c:strRef>
          </c:tx>
          <c:spPr>
            <a:pattFill prst="ltHorz">
              <a:fgClr>
                <a:srgbClr xmlns:mc="http://schemas.openxmlformats.org/markup-compatibility/2006" xmlns:a14="http://schemas.microsoft.com/office/drawing/2010/main" val="FFFF00" mc:Ignorable="a14" a14:legacySpreadsheetColorIndex="1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EBITDAx17!$B$3:$G$3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EBITDAx17!$B$6:$G$6</c:f>
              <c:numCache>
                <c:formatCode>#,##0</c:formatCode>
                <c:ptCount val="6"/>
                <c:pt idx="0" formatCode="0">
                  <c:v>0</c:v>
                </c:pt>
                <c:pt idx="1">
                  <c:v>568.48</c:v>
                </c:pt>
                <c:pt idx="2">
                  <c:v>1065.8999999999999</c:v>
                </c:pt>
                <c:pt idx="3">
                  <c:v>1421.1999999999998</c:v>
                </c:pt>
                <c:pt idx="4">
                  <c:v>1463.8359999999998</c:v>
                </c:pt>
                <c:pt idx="5">
                  <c:v>1507.75108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3-4DC3-AC3D-8C49EB933421}"/>
            </c:ext>
          </c:extLst>
        </c:ser>
        <c:ser>
          <c:idx val="3"/>
          <c:order val="3"/>
          <c:tx>
            <c:strRef>
              <c:f>EBITDAx17!$A$7</c:f>
              <c:strCache>
                <c:ptCount val="1"/>
                <c:pt idx="0">
                  <c:v>Growth 2 - JV &amp; Outsourcing</c:v>
                </c:pt>
              </c:strCache>
            </c:strRef>
          </c:tx>
          <c:spPr>
            <a:pattFill prst="ltUpDiag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EBITDAx17!$B$3:$G$3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EBITDAx17!$B$7:$G$7</c:f>
              <c:numCache>
                <c:formatCode>#,##0</c:formatCode>
                <c:ptCount val="6"/>
                <c:pt idx="0" formatCode="0">
                  <c:v>0</c:v>
                </c:pt>
                <c:pt idx="1">
                  <c:v>172.125</c:v>
                </c:pt>
                <c:pt idx="2">
                  <c:v>344.25</c:v>
                </c:pt>
                <c:pt idx="3">
                  <c:v>516.375</c:v>
                </c:pt>
                <c:pt idx="4">
                  <c:v>688.5</c:v>
                </c:pt>
                <c:pt idx="5">
                  <c:v>709.15500000000009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E3-4DC3-AC3D-8C49EB933421}"/>
            </c:ext>
          </c:extLst>
        </c:ser>
        <c:ser>
          <c:idx val="4"/>
          <c:order val="4"/>
          <c:tx>
            <c:strRef>
              <c:f>EBITDAx17!$A$8</c:f>
              <c:strCache>
                <c:ptCount val="1"/>
                <c:pt idx="0">
                  <c:v>Growth 3 - M&amp;A and O&amp;M</c:v>
                </c:pt>
              </c:strCache>
            </c:strRef>
          </c:tx>
          <c:spPr>
            <a:pattFill prst="smGrid">
              <a:fgClr>
                <a:srgbClr xmlns:mc="http://schemas.openxmlformats.org/markup-compatibility/2006" xmlns:a14="http://schemas.microsoft.com/office/drawing/2010/main" val="666699" mc:Ignorable="a14" a14:legacySpreadsheetColorIndex="5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EBITDAx17!$B$3:$G$3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EBITDAx17!$B$8:$G$8</c:f>
              <c:numCache>
                <c:formatCode>#,##0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433.5</c:v>
                </c:pt>
                <c:pt idx="4">
                  <c:v>867</c:v>
                </c:pt>
                <c:pt idx="5">
                  <c:v>1300.5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E3-4DC3-AC3D-8C49EB933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9352"/>
        <c:axId val="1"/>
      </c:areaChart>
      <c:catAx>
        <c:axId val="18159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 from Approval</a:t>
                </a:r>
              </a:p>
            </c:rich>
          </c:tx>
          <c:layout>
            <c:manualLayout>
              <c:xMode val="edge"/>
              <c:yMode val="edge"/>
              <c:x val="0.47153024911032021"/>
              <c:y val="0.909685863874345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 at EBITDA X 17
($ Million)</a:t>
                </a:r>
              </a:p>
            </c:rich>
          </c:tx>
          <c:layout>
            <c:manualLayout>
              <c:xMode val="edge"/>
              <c:yMode val="edge"/>
              <c:x val="1.2455516014234874E-2"/>
              <c:y val="0.3874345549738220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99352"/>
        <c:crosses val="autoZero"/>
        <c:crossBetween val="midCat"/>
        <c:majorUnit val="50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767647" mc:Ignorable="a14" a14:legacySpreadsheetColorIndex="43">
                <a:gamma/>
                <a:shade val="4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2700000" scaled="1"/>
        </a:gradFill>
        <a:ln w="3175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"/>
          <c:y val="0.95680628272251322"/>
          <c:w val="0.99822064056939475"/>
          <c:h val="3.79581151832460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MARKET VALUE OF GROWTH AND SYNERGIES AT EBITDA X20</a:t>
            </a:r>
          </a:p>
        </c:rich>
      </c:tx>
      <c:layout>
        <c:manualLayout>
          <c:xMode val="edge"/>
          <c:yMode val="edge"/>
          <c:x val="0.2286476868327401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06049822064031E-2"/>
          <c:y val="0.13089005235602094"/>
          <c:w val="0.89412811387900348"/>
          <c:h val="0.73036649214659688"/>
        </c:manualLayout>
      </c:layout>
      <c:areaChart>
        <c:grouping val="stacked"/>
        <c:varyColors val="0"/>
        <c:ser>
          <c:idx val="0"/>
          <c:order val="0"/>
          <c:tx>
            <c:strRef>
              <c:f>EBITDAx20!$A$4</c:f>
              <c:strCache>
                <c:ptCount val="1"/>
                <c:pt idx="0">
                  <c:v>Synergy - G&amp;A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9999FF" mc:Ignorable="a14" a14:legacySpreadsheetColorIndex="2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EBITDAx20!$B$3:$G$3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EBITDAx20!$B$4:$G$4</c:f>
              <c:numCache>
                <c:formatCode>#,##0</c:formatCode>
                <c:ptCount val="6"/>
                <c:pt idx="0" formatCode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370.79999999999995</c:v>
                </c:pt>
                <c:pt idx="4">
                  <c:v>381.92399999999998</c:v>
                </c:pt>
                <c:pt idx="5">
                  <c:v>393.38171999999997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E-40A5-A3CD-68DC2112B797}"/>
            </c:ext>
          </c:extLst>
        </c:ser>
        <c:ser>
          <c:idx val="1"/>
          <c:order val="1"/>
          <c:tx>
            <c:strRef>
              <c:f>EBITDAx20!$A$5</c:f>
              <c:strCache>
                <c:ptCount val="1"/>
                <c:pt idx="0">
                  <c:v>Synergy - O&amp;M</c:v>
                </c:pt>
              </c:strCache>
            </c:strRef>
          </c:tx>
          <c:spPr>
            <a:pattFill prst="ltVert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EBITDAx20!$B$3:$G$3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EBITDAx20!$B$5:$G$5</c:f>
              <c:numCache>
                <c:formatCode>#,##0</c:formatCode>
                <c:ptCount val="6"/>
                <c:pt idx="0" formatCode="0">
                  <c:v>0</c:v>
                </c:pt>
                <c:pt idx="1">
                  <c:v>836.7</c:v>
                </c:pt>
                <c:pt idx="2">
                  <c:v>1673.4</c:v>
                </c:pt>
                <c:pt idx="3">
                  <c:v>1723.6020000000003</c:v>
                </c:pt>
                <c:pt idx="4">
                  <c:v>1775.3100600000002</c:v>
                </c:pt>
                <c:pt idx="5">
                  <c:v>1828.5693618000003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E-40A5-A3CD-68DC2112B797}"/>
            </c:ext>
          </c:extLst>
        </c:ser>
        <c:ser>
          <c:idx val="2"/>
          <c:order val="2"/>
          <c:tx>
            <c:strRef>
              <c:f>EBITDAx20!$A$6</c:f>
              <c:strCache>
                <c:ptCount val="1"/>
                <c:pt idx="0">
                  <c:v>Growth 1 - Pricing &amp; Network Utilization</c:v>
                </c:pt>
              </c:strCache>
            </c:strRef>
          </c:tx>
          <c:spPr>
            <a:pattFill prst="ltHorz">
              <a:fgClr>
                <a:srgbClr xmlns:mc="http://schemas.openxmlformats.org/markup-compatibility/2006" xmlns:a14="http://schemas.microsoft.com/office/drawing/2010/main" val="FFFF00" mc:Ignorable="a14" a14:legacySpreadsheetColorIndex="1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EBITDAx20!$B$3:$G$3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EBITDAx20!$B$6:$G$6</c:f>
              <c:numCache>
                <c:formatCode>#,##0</c:formatCode>
                <c:ptCount val="6"/>
                <c:pt idx="0" formatCode="0">
                  <c:v>0</c:v>
                </c:pt>
                <c:pt idx="1">
                  <c:v>668.8</c:v>
                </c:pt>
                <c:pt idx="2">
                  <c:v>1254</c:v>
                </c:pt>
                <c:pt idx="3">
                  <c:v>1672</c:v>
                </c:pt>
                <c:pt idx="4">
                  <c:v>1722.1599999999999</c:v>
                </c:pt>
                <c:pt idx="5">
                  <c:v>1773.8247999999999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E-40A5-A3CD-68DC2112B797}"/>
            </c:ext>
          </c:extLst>
        </c:ser>
        <c:ser>
          <c:idx val="3"/>
          <c:order val="3"/>
          <c:tx>
            <c:strRef>
              <c:f>EBITDAx20!$A$7</c:f>
              <c:strCache>
                <c:ptCount val="1"/>
                <c:pt idx="0">
                  <c:v>Growth 2 - JV &amp; Outsourcing</c:v>
                </c:pt>
              </c:strCache>
            </c:strRef>
          </c:tx>
          <c:spPr>
            <a:pattFill prst="ltUpDiag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EBITDAx20!$B$3:$G$3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EBITDAx20!$B$7:$G$7</c:f>
              <c:numCache>
                <c:formatCode>#,##0</c:formatCode>
                <c:ptCount val="6"/>
                <c:pt idx="0" formatCode="0">
                  <c:v>0</c:v>
                </c:pt>
                <c:pt idx="1">
                  <c:v>202.5</c:v>
                </c:pt>
                <c:pt idx="2">
                  <c:v>405</c:v>
                </c:pt>
                <c:pt idx="3">
                  <c:v>607.5</c:v>
                </c:pt>
                <c:pt idx="4">
                  <c:v>810</c:v>
                </c:pt>
                <c:pt idx="5">
                  <c:v>834.30000000000007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E-40A5-A3CD-68DC2112B797}"/>
            </c:ext>
          </c:extLst>
        </c:ser>
        <c:ser>
          <c:idx val="4"/>
          <c:order val="4"/>
          <c:tx>
            <c:strRef>
              <c:f>EBITDAx20!$A$8</c:f>
              <c:strCache>
                <c:ptCount val="1"/>
                <c:pt idx="0">
                  <c:v>Growth 3 - M&amp;A and O&amp;M</c:v>
                </c:pt>
              </c:strCache>
            </c:strRef>
          </c:tx>
          <c:spPr>
            <a:pattFill prst="smGrid">
              <a:fgClr>
                <a:srgbClr xmlns:mc="http://schemas.openxmlformats.org/markup-compatibility/2006" xmlns:a14="http://schemas.microsoft.com/office/drawing/2010/main" val="666699" mc:Ignorable="a14" a14:legacySpreadsheetColorIndex="5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EBITDAx20!$B$3:$G$3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EBITDAx20!$B$8:$G$8</c:f>
              <c:numCache>
                <c:formatCode>#,##0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510</c:v>
                </c:pt>
                <c:pt idx="4">
                  <c:v>1020</c:v>
                </c:pt>
                <c:pt idx="5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6E-40A5-A3CD-68DC2112B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23344"/>
        <c:axId val="1"/>
      </c:areaChart>
      <c:catAx>
        <c:axId val="18172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 from Approval</a:t>
                </a:r>
              </a:p>
            </c:rich>
          </c:tx>
          <c:layout>
            <c:manualLayout>
              <c:xMode val="edge"/>
              <c:yMode val="edge"/>
              <c:x val="0.47153024911032021"/>
              <c:y val="0.908376963350785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 at EBITDA X 20
($ Million)</a:t>
                </a:r>
              </a:p>
            </c:rich>
          </c:tx>
          <c:layout>
            <c:manualLayout>
              <c:xMode val="edge"/>
              <c:yMode val="edge"/>
              <c:x val="3.5587188612099638E-3"/>
              <c:y val="0.39136125654450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23344"/>
        <c:crosses val="autoZero"/>
        <c:crossBetween val="midCat"/>
        <c:majorUnit val="50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767647" mc:Ignorable="a14" a14:legacySpreadsheetColorIndex="43">
                <a:gamma/>
                <a:shade val="4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2700000" scaled="1"/>
        </a:gradFill>
        <a:ln w="3175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"/>
          <c:y val="0.95157068062827244"/>
          <c:w val="0.99822064056939475"/>
          <c:h val="3.6649214659685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>
    <oddFooter>&amp;LPricewaterhouseCoopers Securities LLC&amp;C&amp;D&amp;RPricewaterhouseCoopers LLP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&amp;LPricewaterhouseCoopers Securities LLC&amp;C&amp;D&amp;RPricewaterhouseCoopers LLP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&amp;LPricewaterhouseCoopers Securities LLC&amp;C&amp;D&amp;RPricewaterhouseCoopers LLP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/>
  </sheetViews>
  <pageMargins left="0.75" right="0.75" top="1" bottom="1" header="0.5" footer="0.5"/>
  <pageSetup orientation="landscape" r:id="rId1"/>
  <headerFooter alignWithMargins="0">
    <oddFooter>&amp;LPricewaterhouseCoopers Securities LLC&amp;C&amp;D&amp;RPricewaterhouseCoopers LLP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a/P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ue Analysis"/>
      <sheetName val="Sheet3"/>
      <sheetName val="Sheet4"/>
      <sheetName val="Sheet5"/>
    </sheetNames>
    <sheetDataSet>
      <sheetData sheetId="0">
        <row r="9">
          <cell r="C9">
            <v>11.982112261546185</v>
          </cell>
        </row>
        <row r="11">
          <cell r="C11">
            <v>48.1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0"/>
  <sheetViews>
    <sheetView showGridLines="0" zoomScale="75" workbookViewId="0">
      <selection activeCell="A2" sqref="A2"/>
    </sheetView>
  </sheetViews>
  <sheetFormatPr defaultColWidth="9.109375" defaultRowHeight="15" x14ac:dyDescent="0.25"/>
  <cols>
    <col min="1" max="1" width="42" style="46" bestFit="1" customWidth="1"/>
    <col min="2" max="7" width="10.6640625" style="46" customWidth="1"/>
    <col min="8" max="16384" width="9.109375" style="46"/>
  </cols>
  <sheetData>
    <row r="1" spans="1:7" x14ac:dyDescent="0.25">
      <c r="A1" s="47" t="s">
        <v>17</v>
      </c>
      <c r="B1" s="48">
        <v>0.03</v>
      </c>
      <c r="C1" s="49"/>
      <c r="D1" s="49"/>
      <c r="E1" s="49"/>
      <c r="F1" s="49"/>
      <c r="G1" s="49"/>
    </row>
    <row r="2" spans="1:7" x14ac:dyDescent="0.25">
      <c r="A2" s="49"/>
      <c r="B2" s="49"/>
      <c r="C2" s="49"/>
      <c r="D2" s="49"/>
      <c r="E2" s="49"/>
      <c r="F2" s="49"/>
      <c r="G2" s="49"/>
    </row>
    <row r="3" spans="1:7" x14ac:dyDescent="0.25">
      <c r="A3" s="47" t="s">
        <v>67</v>
      </c>
      <c r="B3" s="50" t="s">
        <v>11</v>
      </c>
      <c r="C3" s="50" t="s">
        <v>12</v>
      </c>
      <c r="D3" s="50" t="s">
        <v>13</v>
      </c>
      <c r="E3" s="49"/>
      <c r="F3" s="49"/>
      <c r="G3" s="49"/>
    </row>
    <row r="4" spans="1:7" x14ac:dyDescent="0.25">
      <c r="A4" s="51" t="s">
        <v>71</v>
      </c>
      <c r="B4" s="50"/>
      <c r="C4" s="50"/>
      <c r="D4" s="52">
        <v>14.3</v>
      </c>
      <c r="E4" s="49"/>
      <c r="F4" s="49"/>
      <c r="G4" s="49"/>
    </row>
    <row r="5" spans="1:7" x14ac:dyDescent="0.25">
      <c r="A5" s="51" t="s">
        <v>72</v>
      </c>
      <c r="B5" s="50"/>
      <c r="C5" s="50"/>
      <c r="D5" s="52">
        <v>3.7</v>
      </c>
      <c r="E5" s="53"/>
      <c r="F5" s="49"/>
      <c r="G5" s="49"/>
    </row>
    <row r="6" spans="1:7" x14ac:dyDescent="0.25">
      <c r="A6" s="51" t="s">
        <v>4</v>
      </c>
      <c r="B6" s="50"/>
      <c r="C6" s="50"/>
      <c r="D6" s="52">
        <f>(60.95+22.72)</f>
        <v>83.67</v>
      </c>
      <c r="E6" s="53"/>
      <c r="F6" s="49"/>
      <c r="G6" s="49"/>
    </row>
    <row r="7" spans="1:7" x14ac:dyDescent="0.25">
      <c r="A7" s="51" t="s">
        <v>10</v>
      </c>
      <c r="B7" s="50"/>
      <c r="C7" s="50"/>
      <c r="D7" s="52">
        <v>0</v>
      </c>
      <c r="E7" s="49"/>
      <c r="F7" s="49"/>
      <c r="G7" s="49"/>
    </row>
    <row r="8" spans="1:7" x14ac:dyDescent="0.25">
      <c r="A8" s="54" t="s">
        <v>9</v>
      </c>
      <c r="B8" s="50"/>
      <c r="C8" s="50"/>
      <c r="D8" s="52">
        <f>SUM(D4:D7)</f>
        <v>101.67</v>
      </c>
      <c r="E8" s="49"/>
      <c r="F8" s="49"/>
      <c r="G8" s="49"/>
    </row>
    <row r="9" spans="1:7" x14ac:dyDescent="0.25">
      <c r="A9" s="51"/>
      <c r="B9" s="49"/>
      <c r="C9" s="49"/>
      <c r="D9" s="49"/>
      <c r="E9" s="49"/>
      <c r="F9" s="49"/>
      <c r="G9" s="49"/>
    </row>
    <row r="10" spans="1:7" x14ac:dyDescent="0.25">
      <c r="A10" s="55" t="s">
        <v>68</v>
      </c>
      <c r="B10" s="50" t="s">
        <v>11</v>
      </c>
      <c r="C10" s="50" t="s">
        <v>12</v>
      </c>
      <c r="D10" s="50" t="s">
        <v>13</v>
      </c>
      <c r="E10" s="49"/>
      <c r="F10" s="49"/>
      <c r="G10" s="49"/>
    </row>
    <row r="11" spans="1:7" x14ac:dyDescent="0.25">
      <c r="A11" s="51" t="s">
        <v>5</v>
      </c>
      <c r="B11" s="52">
        <f>11*3.8</f>
        <v>41.8</v>
      </c>
      <c r="C11" s="52">
        <f>33*3.8</f>
        <v>125.39999999999999</v>
      </c>
      <c r="D11" s="52">
        <f>AVERAGE(B11:C11)</f>
        <v>83.6</v>
      </c>
      <c r="E11" s="49"/>
      <c r="F11" s="49"/>
      <c r="G11" s="49"/>
    </row>
    <row r="12" spans="1:7" x14ac:dyDescent="0.25">
      <c r="A12" s="51" t="s">
        <v>6</v>
      </c>
      <c r="B12" s="50">
        <v>31</v>
      </c>
      <c r="C12" s="50">
        <v>50</v>
      </c>
      <c r="D12" s="52">
        <f>AVERAGE(B12:C12)</f>
        <v>40.5</v>
      </c>
      <c r="E12" s="49"/>
      <c r="F12" s="49"/>
      <c r="G12" s="49"/>
    </row>
    <row r="13" spans="1:7" x14ac:dyDescent="0.25">
      <c r="A13" s="51" t="s">
        <v>7</v>
      </c>
      <c r="B13" s="50">
        <v>53</v>
      </c>
      <c r="C13" s="50">
        <v>151</v>
      </c>
      <c r="D13" s="52">
        <f>AVERAGE(B13:C13)</f>
        <v>102</v>
      </c>
      <c r="E13" s="49"/>
      <c r="F13" s="49"/>
      <c r="G13" s="49"/>
    </row>
    <row r="14" spans="1:7" x14ac:dyDescent="0.25">
      <c r="A14" s="51" t="s">
        <v>9</v>
      </c>
      <c r="B14" s="52">
        <f>SUM(B11:B13)</f>
        <v>125.8</v>
      </c>
      <c r="C14" s="52">
        <f>SUM(C11:C13)</f>
        <v>326.39999999999998</v>
      </c>
      <c r="D14" s="52">
        <f>SUM(D11:D13)</f>
        <v>226.1</v>
      </c>
      <c r="E14" s="49"/>
      <c r="F14" s="49"/>
      <c r="G14" s="49"/>
    </row>
    <row r="15" spans="1:7" x14ac:dyDescent="0.25">
      <c r="A15" s="51"/>
      <c r="B15" s="50"/>
      <c r="C15" s="50"/>
      <c r="D15" s="50"/>
      <c r="E15" s="49"/>
      <c r="F15" s="49"/>
      <c r="G15" s="49"/>
    </row>
    <row r="16" spans="1:7" x14ac:dyDescent="0.25">
      <c r="A16" s="51"/>
      <c r="B16" s="50"/>
      <c r="C16" s="50"/>
      <c r="D16" s="50"/>
      <c r="E16" s="49"/>
      <c r="F16" s="49"/>
      <c r="G16" s="49"/>
    </row>
    <row r="17" spans="1:7" x14ac:dyDescent="0.25">
      <c r="A17" s="51"/>
      <c r="B17" s="50"/>
      <c r="C17" s="50"/>
      <c r="D17" s="50"/>
      <c r="E17" s="49"/>
      <c r="F17" s="49"/>
      <c r="G17" s="49"/>
    </row>
    <row r="18" spans="1:7" x14ac:dyDescent="0.25">
      <c r="A18" s="49"/>
      <c r="B18" s="49"/>
      <c r="C18" s="49"/>
      <c r="D18" s="49"/>
      <c r="E18" s="49"/>
      <c r="F18" s="49"/>
      <c r="G18" s="49"/>
    </row>
    <row r="19" spans="1:7" x14ac:dyDescent="0.25">
      <c r="A19" s="47" t="s">
        <v>70</v>
      </c>
      <c r="B19" s="56">
        <v>0</v>
      </c>
      <c r="C19" s="56">
        <v>12</v>
      </c>
      <c r="D19" s="56">
        <v>24</v>
      </c>
      <c r="E19" s="56">
        <v>36</v>
      </c>
      <c r="F19" s="56">
        <v>48</v>
      </c>
      <c r="G19" s="56">
        <v>60</v>
      </c>
    </row>
    <row r="20" spans="1:7" x14ac:dyDescent="0.25">
      <c r="A20" s="49"/>
      <c r="B20" s="49"/>
      <c r="C20" s="49"/>
      <c r="D20" s="49"/>
      <c r="E20" s="49"/>
      <c r="F20" s="49"/>
      <c r="G20" s="49"/>
    </row>
    <row r="21" spans="1:7" x14ac:dyDescent="0.25">
      <c r="A21" s="49" t="s">
        <v>0</v>
      </c>
      <c r="B21" s="57">
        <v>0</v>
      </c>
      <c r="C21" s="57">
        <v>0.5</v>
      </c>
      <c r="D21" s="57">
        <v>1</v>
      </c>
      <c r="E21" s="57">
        <v>1</v>
      </c>
      <c r="F21" s="57">
        <v>1</v>
      </c>
      <c r="G21" s="57">
        <v>1</v>
      </c>
    </row>
    <row r="22" spans="1:7" x14ac:dyDescent="0.25">
      <c r="A22" s="49" t="s">
        <v>1</v>
      </c>
      <c r="B22" s="57">
        <v>0</v>
      </c>
      <c r="C22" s="57">
        <v>0.5</v>
      </c>
      <c r="D22" s="57">
        <v>1</v>
      </c>
      <c r="E22" s="57">
        <v>1</v>
      </c>
      <c r="F22" s="57">
        <v>1</v>
      </c>
      <c r="G22" s="57">
        <v>1</v>
      </c>
    </row>
    <row r="23" spans="1:7" x14ac:dyDescent="0.25">
      <c r="A23" s="49" t="s">
        <v>2</v>
      </c>
      <c r="B23" s="57">
        <v>0</v>
      </c>
      <c r="C23" s="57">
        <v>0.4</v>
      </c>
      <c r="D23" s="57">
        <v>0.75</v>
      </c>
      <c r="E23" s="57">
        <v>1</v>
      </c>
      <c r="F23" s="57">
        <v>1</v>
      </c>
      <c r="G23" s="57">
        <v>1</v>
      </c>
    </row>
    <row r="24" spans="1:7" x14ac:dyDescent="0.25">
      <c r="A24" s="49" t="s">
        <v>3</v>
      </c>
      <c r="B24" s="57">
        <v>0</v>
      </c>
      <c r="C24" s="57">
        <v>0.25</v>
      </c>
      <c r="D24" s="57">
        <v>0.5</v>
      </c>
      <c r="E24" s="57">
        <v>0.75</v>
      </c>
      <c r="F24" s="57">
        <v>1</v>
      </c>
      <c r="G24" s="57">
        <v>1</v>
      </c>
    </row>
    <row r="25" spans="1:7" x14ac:dyDescent="0.25">
      <c r="A25" s="49" t="s">
        <v>8</v>
      </c>
      <c r="B25" s="57">
        <v>0</v>
      </c>
      <c r="C25" s="57">
        <v>0</v>
      </c>
      <c r="D25" s="57">
        <v>0</v>
      </c>
      <c r="E25" s="57">
        <v>0.25</v>
      </c>
      <c r="F25" s="57">
        <v>0.5</v>
      </c>
      <c r="G25" s="57">
        <v>0.75</v>
      </c>
    </row>
    <row r="26" spans="1:7" x14ac:dyDescent="0.25">
      <c r="A26" s="49"/>
      <c r="B26" s="57"/>
      <c r="C26" s="57"/>
      <c r="D26" s="57"/>
      <c r="E26" s="57"/>
      <c r="F26" s="57"/>
      <c r="G26" s="57"/>
    </row>
    <row r="27" spans="1:7" x14ac:dyDescent="0.25">
      <c r="A27" s="49"/>
      <c r="B27" s="57"/>
      <c r="C27" s="57"/>
      <c r="D27" s="57"/>
      <c r="E27" s="57"/>
      <c r="F27" s="57"/>
      <c r="G27" s="57"/>
    </row>
    <row r="28" spans="1:7" x14ac:dyDescent="0.25">
      <c r="A28" s="49"/>
      <c r="B28" s="57"/>
      <c r="C28" s="57"/>
      <c r="D28" s="57"/>
      <c r="E28" s="57"/>
      <c r="F28" s="57"/>
      <c r="G28" s="57"/>
    </row>
    <row r="29" spans="1:7" x14ac:dyDescent="0.25">
      <c r="A29" s="47" t="s">
        <v>69</v>
      </c>
      <c r="B29" s="56">
        <v>0</v>
      </c>
      <c r="C29" s="58">
        <v>12.0001</v>
      </c>
      <c r="D29" s="58">
        <f>C29+12</f>
        <v>24.0001</v>
      </c>
      <c r="E29" s="58">
        <f>D29+12</f>
        <v>36.000100000000003</v>
      </c>
      <c r="F29" s="58">
        <f>E29+12</f>
        <v>48.000100000000003</v>
      </c>
      <c r="G29" s="58">
        <f>F29+12</f>
        <v>60.000100000000003</v>
      </c>
    </row>
    <row r="30" spans="1:7" x14ac:dyDescent="0.25">
      <c r="A30" s="47"/>
      <c r="B30" s="56"/>
      <c r="C30" s="58"/>
      <c r="D30" s="58"/>
      <c r="E30" s="58"/>
      <c r="F30" s="58"/>
      <c r="G30" s="58"/>
    </row>
    <row r="31" spans="1:7" x14ac:dyDescent="0.25">
      <c r="A31" s="49" t="s">
        <v>0</v>
      </c>
      <c r="B31" s="50">
        <v>0</v>
      </c>
      <c r="C31" s="52">
        <f>IF(B21&lt;100%,SUM($D4:$D5)*C21,B31*(1+$B$1))</f>
        <v>9</v>
      </c>
      <c r="D31" s="52">
        <f>IF(C21&lt;100%,SUM($D4:$D5)*D21,C31*(1+$B$1))</f>
        <v>18</v>
      </c>
      <c r="E31" s="52">
        <f>IF(D21&lt;100%,SUM($D4:$D5)*E21,D31*(1+$B$1))</f>
        <v>18.54</v>
      </c>
      <c r="F31" s="52">
        <f>IF(E21&lt;100%,SUM($D4:$D5)*F21,E31*(1+$B$1))</f>
        <v>19.0962</v>
      </c>
      <c r="G31" s="52">
        <f>IF(F21&lt;100%,SUM($D4:$D5)*G21,F31*(1+$B$1))</f>
        <v>19.669086</v>
      </c>
    </row>
    <row r="32" spans="1:7" x14ac:dyDescent="0.25">
      <c r="A32" s="49" t="s">
        <v>1</v>
      </c>
      <c r="B32" s="50">
        <v>0</v>
      </c>
      <c r="C32" s="52">
        <f>IF(B22&lt;100%,SUM($D6:$D7)*C22,B32*(1+$B$1))</f>
        <v>41.835000000000001</v>
      </c>
      <c r="D32" s="52">
        <f>IF(C22&lt;100%,SUM($D6:$D7)*D22,C32*(1+$B$1))</f>
        <v>83.67</v>
      </c>
      <c r="E32" s="52">
        <f>IF(D22&lt;100%,SUM($D6:$D7)*E22,D32*(1+$B$1))</f>
        <v>86.18010000000001</v>
      </c>
      <c r="F32" s="52">
        <f>IF(E22&lt;100%,SUM($D6:$D7)*F22,E32*(1+$B$1))</f>
        <v>88.76550300000001</v>
      </c>
      <c r="G32" s="52">
        <f>IF(F22&lt;100%,SUM($D6:$D7)*G22,F32*(1+$B$1))</f>
        <v>91.42846809000001</v>
      </c>
    </row>
    <row r="33" spans="1:7" x14ac:dyDescent="0.25">
      <c r="A33" s="49" t="s">
        <v>2</v>
      </c>
      <c r="B33" s="50">
        <v>0</v>
      </c>
      <c r="C33" s="52">
        <f t="shared" ref="C33:G35" si="0">IF(B23&lt;100%,$D11*C23,B33*(1+$B$1))</f>
        <v>33.44</v>
      </c>
      <c r="D33" s="52">
        <f t="shared" si="0"/>
        <v>62.699999999999996</v>
      </c>
      <c r="E33" s="52">
        <f t="shared" si="0"/>
        <v>83.6</v>
      </c>
      <c r="F33" s="52">
        <f t="shared" si="0"/>
        <v>86.10799999999999</v>
      </c>
      <c r="G33" s="52">
        <f t="shared" si="0"/>
        <v>88.691239999999993</v>
      </c>
    </row>
    <row r="34" spans="1:7" x14ac:dyDescent="0.25">
      <c r="A34" s="49" t="s">
        <v>3</v>
      </c>
      <c r="B34" s="50">
        <v>0</v>
      </c>
      <c r="C34" s="52">
        <f t="shared" si="0"/>
        <v>10.125</v>
      </c>
      <c r="D34" s="52">
        <f t="shared" si="0"/>
        <v>20.25</v>
      </c>
      <c r="E34" s="52">
        <f t="shared" si="0"/>
        <v>30.375</v>
      </c>
      <c r="F34" s="52">
        <f t="shared" si="0"/>
        <v>40.5</v>
      </c>
      <c r="G34" s="52">
        <f t="shared" si="0"/>
        <v>41.715000000000003</v>
      </c>
    </row>
    <row r="35" spans="1:7" x14ac:dyDescent="0.25">
      <c r="A35" s="49" t="s">
        <v>8</v>
      </c>
      <c r="B35" s="50">
        <v>0</v>
      </c>
      <c r="C35" s="52">
        <f t="shared" si="0"/>
        <v>0</v>
      </c>
      <c r="D35" s="52">
        <f t="shared" si="0"/>
        <v>0</v>
      </c>
      <c r="E35" s="52">
        <f t="shared" si="0"/>
        <v>25.5</v>
      </c>
      <c r="F35" s="52">
        <f t="shared" si="0"/>
        <v>51</v>
      </c>
      <c r="G35" s="52">
        <f t="shared" si="0"/>
        <v>76.5</v>
      </c>
    </row>
    <row r="36" spans="1:7" x14ac:dyDescent="0.25">
      <c r="A36" s="49"/>
      <c r="B36" s="50"/>
      <c r="C36" s="52"/>
      <c r="D36" s="52"/>
      <c r="E36" s="52"/>
      <c r="F36" s="52"/>
      <c r="G36" s="52"/>
    </row>
    <row r="37" spans="1:7" x14ac:dyDescent="0.25">
      <c r="A37" s="47" t="s">
        <v>9</v>
      </c>
      <c r="B37" s="58">
        <f t="shared" ref="B37:G37" si="1">SUM(B31:B36)</f>
        <v>0</v>
      </c>
      <c r="C37" s="58">
        <f t="shared" si="1"/>
        <v>94.4</v>
      </c>
      <c r="D37" s="58">
        <f t="shared" si="1"/>
        <v>184.62</v>
      </c>
      <c r="E37" s="58">
        <f t="shared" si="1"/>
        <v>244.1951</v>
      </c>
      <c r="F37" s="58">
        <f t="shared" si="1"/>
        <v>285.46970299999998</v>
      </c>
      <c r="G37" s="58">
        <f t="shared" si="1"/>
        <v>318.00379409000004</v>
      </c>
    </row>
    <row r="38" spans="1:7" x14ac:dyDescent="0.25">
      <c r="A38" s="59"/>
      <c r="B38" s="59"/>
      <c r="C38" s="59"/>
      <c r="D38" s="59"/>
      <c r="E38" s="59"/>
      <c r="F38" s="59"/>
      <c r="G38" s="59"/>
    </row>
    <row r="39" spans="1:7" x14ac:dyDescent="0.25">
      <c r="A39" s="59" t="s">
        <v>73</v>
      </c>
      <c r="B39" s="60">
        <f t="shared" ref="B39:G39" si="2">SUM(B33:B35)</f>
        <v>0</v>
      </c>
      <c r="C39" s="60">
        <f t="shared" si="2"/>
        <v>43.564999999999998</v>
      </c>
      <c r="D39" s="60">
        <f t="shared" si="2"/>
        <v>82.949999999999989</v>
      </c>
      <c r="E39" s="60">
        <f t="shared" si="2"/>
        <v>139.47499999999999</v>
      </c>
      <c r="F39" s="60">
        <f t="shared" si="2"/>
        <v>177.608</v>
      </c>
      <c r="G39" s="60">
        <f t="shared" si="2"/>
        <v>206.90624</v>
      </c>
    </row>
    <row r="40" spans="1:7" x14ac:dyDescent="0.25">
      <c r="A40" s="59" t="s">
        <v>83</v>
      </c>
      <c r="B40" s="60">
        <f t="shared" ref="B40:G40" si="3">SUM(B31:B32)</f>
        <v>0</v>
      </c>
      <c r="C40" s="60">
        <f t="shared" si="3"/>
        <v>50.835000000000001</v>
      </c>
      <c r="D40" s="60">
        <f t="shared" si="3"/>
        <v>101.67</v>
      </c>
      <c r="E40" s="60">
        <f t="shared" si="3"/>
        <v>104.7201</v>
      </c>
      <c r="F40" s="60">
        <f t="shared" si="3"/>
        <v>107.86170300000001</v>
      </c>
      <c r="G40" s="60">
        <f t="shared" si="3"/>
        <v>111.09755409000002</v>
      </c>
    </row>
  </sheetData>
  <pageMargins left="0.75" right="0.75" top="1" bottom="1" header="0.5" footer="0.5"/>
  <pageSetup scale="75" orientation="landscape" r:id="rId1"/>
  <headerFooter alignWithMargins="0">
    <oddHeader>&amp;CSUMMARY OF GROWTH AND SYNERGIES</oddHeader>
    <oddFooter>&amp;LPricwaterhouseCoopers Securities LLC&amp;C&amp;D&amp;RPricewaterhouseCoopers LLP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showGridLines="0" workbookViewId="0"/>
  </sheetViews>
  <sheetFormatPr defaultRowHeight="13.2" x14ac:dyDescent="0.25"/>
  <cols>
    <col min="1" max="1" width="42" bestFit="1" customWidth="1"/>
  </cols>
  <sheetData>
    <row r="1" spans="1:7" ht="15.6" thickBot="1" x14ac:dyDescent="0.3">
      <c r="A1" s="61" t="s">
        <v>65</v>
      </c>
      <c r="B1" s="62">
        <v>15</v>
      </c>
      <c r="C1" s="63"/>
      <c r="D1" s="63"/>
      <c r="E1" s="63"/>
      <c r="F1" s="63"/>
      <c r="G1" s="64"/>
    </row>
    <row r="2" spans="1:7" ht="15" x14ac:dyDescent="0.25">
      <c r="A2" s="65"/>
      <c r="B2" s="49"/>
      <c r="C2" s="49"/>
      <c r="D2" s="49"/>
      <c r="E2" s="49"/>
      <c r="F2" s="49"/>
      <c r="G2" s="66"/>
    </row>
    <row r="3" spans="1:7" ht="15.6" thickBot="1" x14ac:dyDescent="0.3">
      <c r="A3" s="67" t="s">
        <v>15</v>
      </c>
      <c r="B3" s="68">
        <v>0</v>
      </c>
      <c r="C3" s="68">
        <f>B3+12</f>
        <v>12</v>
      </c>
      <c r="D3" s="68">
        <f>C3+12</f>
        <v>24</v>
      </c>
      <c r="E3" s="68">
        <f>D3+12</f>
        <v>36</v>
      </c>
      <c r="F3" s="68">
        <f>E3+12</f>
        <v>48</v>
      </c>
      <c r="G3" s="69">
        <f>F3+12</f>
        <v>60</v>
      </c>
    </row>
    <row r="4" spans="1:7" ht="15" x14ac:dyDescent="0.25">
      <c r="A4" s="65" t="s">
        <v>0</v>
      </c>
      <c r="B4" s="53">
        <f>$B$1*Assumptions!B31</f>
        <v>0</v>
      </c>
      <c r="C4" s="70">
        <f>$B$1*Assumptions!C31</f>
        <v>135</v>
      </c>
      <c r="D4" s="70">
        <f>$B$1*Assumptions!D31</f>
        <v>270</v>
      </c>
      <c r="E4" s="70">
        <f>$B$1*Assumptions!E31</f>
        <v>278.09999999999997</v>
      </c>
      <c r="F4" s="70">
        <f>$B$1*Assumptions!F31</f>
        <v>286.44299999999998</v>
      </c>
      <c r="G4" s="71">
        <f>$B$1*Assumptions!G31</f>
        <v>295.03629000000001</v>
      </c>
    </row>
    <row r="5" spans="1:7" ht="15" x14ac:dyDescent="0.25">
      <c r="A5" s="65" t="s">
        <v>1</v>
      </c>
      <c r="B5" s="53">
        <f>$B$1*Assumptions!B32</f>
        <v>0</v>
      </c>
      <c r="C5" s="70">
        <f>$B$1*Assumptions!C32</f>
        <v>627.52499999999998</v>
      </c>
      <c r="D5" s="70">
        <f>$B$1*Assumptions!D32</f>
        <v>1255.05</v>
      </c>
      <c r="E5" s="70">
        <f>$B$1*Assumptions!E32</f>
        <v>1292.7015000000001</v>
      </c>
      <c r="F5" s="70">
        <f>$B$1*Assumptions!F32</f>
        <v>1331.4825450000001</v>
      </c>
      <c r="G5" s="71">
        <f>$B$1*Assumptions!G32</f>
        <v>1371.4270213500001</v>
      </c>
    </row>
    <row r="6" spans="1:7" ht="15" x14ac:dyDescent="0.25">
      <c r="A6" s="65" t="s">
        <v>2</v>
      </c>
      <c r="B6" s="53">
        <f>$B$1*Assumptions!B33</f>
        <v>0</v>
      </c>
      <c r="C6" s="70">
        <f>$B$1*Assumptions!C33</f>
        <v>501.59999999999997</v>
      </c>
      <c r="D6" s="70">
        <f>$B$1*Assumptions!D33</f>
        <v>940.49999999999989</v>
      </c>
      <c r="E6" s="70">
        <f>$B$1*Assumptions!E33</f>
        <v>1254</v>
      </c>
      <c r="F6" s="70">
        <f>$B$1*Assumptions!F33</f>
        <v>1291.6199999999999</v>
      </c>
      <c r="G6" s="71">
        <f>$B$1*Assumptions!G33</f>
        <v>1330.3685999999998</v>
      </c>
    </row>
    <row r="7" spans="1:7" ht="15" x14ac:dyDescent="0.25">
      <c r="A7" s="65" t="s">
        <v>3</v>
      </c>
      <c r="B7" s="53">
        <f>$B$1*Assumptions!B34</f>
        <v>0</v>
      </c>
      <c r="C7" s="70">
        <f>$B$1*Assumptions!C34</f>
        <v>151.875</v>
      </c>
      <c r="D7" s="70">
        <f>$B$1*Assumptions!D34</f>
        <v>303.75</v>
      </c>
      <c r="E7" s="70">
        <f>$B$1*Assumptions!E34</f>
        <v>455.625</v>
      </c>
      <c r="F7" s="70">
        <f>$B$1*Assumptions!F34</f>
        <v>607.5</v>
      </c>
      <c r="G7" s="71">
        <f>$B$1*Assumptions!G34</f>
        <v>625.72500000000002</v>
      </c>
    </row>
    <row r="8" spans="1:7" ht="15" x14ac:dyDescent="0.25">
      <c r="A8" s="65" t="s">
        <v>8</v>
      </c>
      <c r="B8" s="53">
        <f>$B$1*Assumptions!B35</f>
        <v>0</v>
      </c>
      <c r="C8" s="70">
        <f>$B$1*Assumptions!C35</f>
        <v>0</v>
      </c>
      <c r="D8" s="70">
        <f>$B$1*Assumptions!D35</f>
        <v>0</v>
      </c>
      <c r="E8" s="70">
        <f>$B$1*Assumptions!E35</f>
        <v>382.5</v>
      </c>
      <c r="F8" s="70">
        <f>$B$1*Assumptions!F35</f>
        <v>765</v>
      </c>
      <c r="G8" s="71">
        <f>$B$1*Assumptions!G35</f>
        <v>1147.5</v>
      </c>
    </row>
    <row r="9" spans="1:7" ht="15.6" thickBot="1" x14ac:dyDescent="0.3">
      <c r="A9" s="72" t="s">
        <v>16</v>
      </c>
      <c r="B9" s="73">
        <f>$B$1*Assumptions!B36</f>
        <v>0</v>
      </c>
      <c r="C9" s="74">
        <f>$B$1*Assumptions!C36</f>
        <v>0</v>
      </c>
      <c r="D9" s="74">
        <f>$B$1*Assumptions!D36</f>
        <v>0</v>
      </c>
      <c r="E9" s="74">
        <f>$B$1*Assumptions!E36</f>
        <v>0</v>
      </c>
      <c r="F9" s="74">
        <f>$B$1*Assumptions!F36</f>
        <v>0</v>
      </c>
      <c r="G9" s="75">
        <f>$B$1*Assumptions!G36</f>
        <v>0</v>
      </c>
    </row>
    <row r="10" spans="1:7" x14ac:dyDescent="0.25">
      <c r="A10" s="76"/>
      <c r="B10" s="76"/>
      <c r="C10" s="76"/>
      <c r="D10" s="76"/>
      <c r="E10" s="76"/>
      <c r="F10" s="76"/>
      <c r="G10" s="76"/>
    </row>
    <row r="11" spans="1:7" x14ac:dyDescent="0.25">
      <c r="A11" s="76"/>
      <c r="B11" s="76"/>
      <c r="C11" s="76"/>
      <c r="D11" s="76"/>
      <c r="E11" s="76"/>
      <c r="F11" s="76"/>
      <c r="G11" s="76"/>
    </row>
    <row r="12" spans="1:7" x14ac:dyDescent="0.25">
      <c r="A12" s="76" t="s">
        <v>74</v>
      </c>
      <c r="B12" s="77">
        <f t="shared" ref="B12:G12" si="0">SUM(B3:B11)</f>
        <v>0</v>
      </c>
      <c r="C12" s="77">
        <f t="shared" si="0"/>
        <v>1428</v>
      </c>
      <c r="D12" s="77">
        <f t="shared" si="0"/>
        <v>2793.2999999999997</v>
      </c>
      <c r="E12" s="77">
        <f t="shared" si="0"/>
        <v>3698.9265</v>
      </c>
      <c r="F12" s="77">
        <f t="shared" si="0"/>
        <v>4330.0455449999999</v>
      </c>
      <c r="G12" s="77">
        <f t="shared" si="0"/>
        <v>4830.0569113500005</v>
      </c>
    </row>
    <row r="14" spans="1:7" x14ac:dyDescent="0.25">
      <c r="F14" s="45"/>
    </row>
  </sheetData>
  <printOptions horizontalCentered="1"/>
  <pageMargins left="0.75" right="0.75" top="1" bottom="1" header="0.5" footer="0.5"/>
  <pageSetup orientation="landscape" r:id="rId1"/>
  <headerFooter alignWithMargins="0">
    <oddHeader>&amp;CMARKET VALUE OF GROWTH AND SYNERGIES AT EBITDA X 15</oddHeader>
    <oddFooter>&amp;LPricewaterhouseCoopers Securities LLC&amp;C&amp;D&amp;RPricewaterhouseCoopers LLP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showGridLines="0" workbookViewId="0">
      <selection activeCell="G11" sqref="G11"/>
    </sheetView>
  </sheetViews>
  <sheetFormatPr defaultRowHeight="13.2" x14ac:dyDescent="0.25"/>
  <cols>
    <col min="1" max="1" width="42" bestFit="1" customWidth="1"/>
  </cols>
  <sheetData>
    <row r="1" spans="1:7" ht="15.6" thickBot="1" x14ac:dyDescent="0.3">
      <c r="A1" s="61" t="s">
        <v>65</v>
      </c>
      <c r="B1" s="62">
        <v>17</v>
      </c>
      <c r="C1" s="63"/>
      <c r="D1" s="63"/>
      <c r="E1" s="63"/>
      <c r="F1" s="63"/>
      <c r="G1" s="64"/>
    </row>
    <row r="2" spans="1:7" ht="15" x14ac:dyDescent="0.25">
      <c r="A2" s="65"/>
      <c r="B2" s="49"/>
      <c r="C2" s="49"/>
      <c r="D2" s="49"/>
      <c r="E2" s="49"/>
      <c r="F2" s="49"/>
      <c r="G2" s="66"/>
    </row>
    <row r="3" spans="1:7" ht="15.6" thickBot="1" x14ac:dyDescent="0.3">
      <c r="A3" s="67" t="s">
        <v>15</v>
      </c>
      <c r="B3" s="68">
        <v>0</v>
      </c>
      <c r="C3" s="68">
        <f>B3+12</f>
        <v>12</v>
      </c>
      <c r="D3" s="68">
        <f>C3+12</f>
        <v>24</v>
      </c>
      <c r="E3" s="68">
        <f>D3+12</f>
        <v>36</v>
      </c>
      <c r="F3" s="68">
        <f>E3+12</f>
        <v>48</v>
      </c>
      <c r="G3" s="69">
        <f>F3+12</f>
        <v>60</v>
      </c>
    </row>
    <row r="4" spans="1:7" ht="15" x14ac:dyDescent="0.25">
      <c r="A4" s="65" t="s">
        <v>0</v>
      </c>
      <c r="B4" s="53">
        <f>$B$1*Assumptions!B31</f>
        <v>0</v>
      </c>
      <c r="C4" s="70">
        <f>$B$1*Assumptions!C31</f>
        <v>153</v>
      </c>
      <c r="D4" s="70">
        <f>$B$1*Assumptions!D31</f>
        <v>306</v>
      </c>
      <c r="E4" s="70">
        <f>$B$1*Assumptions!E31</f>
        <v>315.18</v>
      </c>
      <c r="F4" s="70">
        <f>$B$1*Assumptions!F31</f>
        <v>324.6354</v>
      </c>
      <c r="G4" s="71">
        <f>$B$1*Assumptions!G31</f>
        <v>334.37446199999999</v>
      </c>
    </row>
    <row r="5" spans="1:7" ht="15" x14ac:dyDescent="0.25">
      <c r="A5" s="65" t="s">
        <v>1</v>
      </c>
      <c r="B5" s="53">
        <f>$B$1*Assumptions!B32</f>
        <v>0</v>
      </c>
      <c r="C5" s="70">
        <f>$B$1*Assumptions!C32</f>
        <v>711.19500000000005</v>
      </c>
      <c r="D5" s="70">
        <f>$B$1*Assumptions!D32</f>
        <v>1422.39</v>
      </c>
      <c r="E5" s="70">
        <f>$B$1*Assumptions!E32</f>
        <v>1465.0617000000002</v>
      </c>
      <c r="F5" s="70">
        <f>$B$1*Assumptions!F32</f>
        <v>1509.0135510000002</v>
      </c>
      <c r="G5" s="71">
        <f>$B$1*Assumptions!G32</f>
        <v>1554.2839575300002</v>
      </c>
    </row>
    <row r="6" spans="1:7" ht="15" x14ac:dyDescent="0.25">
      <c r="A6" s="65" t="s">
        <v>2</v>
      </c>
      <c r="B6" s="53">
        <f>$B$1*Assumptions!B33</f>
        <v>0</v>
      </c>
      <c r="C6" s="70">
        <f>$B$1*Assumptions!C33</f>
        <v>568.48</v>
      </c>
      <c r="D6" s="70">
        <f>$B$1*Assumptions!D33</f>
        <v>1065.8999999999999</v>
      </c>
      <c r="E6" s="70">
        <f>$B$1*Assumptions!E33</f>
        <v>1421.1999999999998</v>
      </c>
      <c r="F6" s="70">
        <f>$B$1*Assumptions!F33</f>
        <v>1463.8359999999998</v>
      </c>
      <c r="G6" s="71">
        <f>$B$1*Assumptions!G33</f>
        <v>1507.75108</v>
      </c>
    </row>
    <row r="7" spans="1:7" ht="15" x14ac:dyDescent="0.25">
      <c r="A7" s="65" t="s">
        <v>3</v>
      </c>
      <c r="B7" s="53">
        <f>$B$1*Assumptions!B34</f>
        <v>0</v>
      </c>
      <c r="C7" s="70">
        <f>$B$1*Assumptions!C34</f>
        <v>172.125</v>
      </c>
      <c r="D7" s="70">
        <f>$B$1*Assumptions!D34</f>
        <v>344.25</v>
      </c>
      <c r="E7" s="70">
        <f>$B$1*Assumptions!E34</f>
        <v>516.375</v>
      </c>
      <c r="F7" s="70">
        <f>$B$1*Assumptions!F34</f>
        <v>688.5</v>
      </c>
      <c r="G7" s="71">
        <f>$B$1*Assumptions!G34</f>
        <v>709.15500000000009</v>
      </c>
    </row>
    <row r="8" spans="1:7" ht="15" x14ac:dyDescent="0.25">
      <c r="A8" s="65" t="s">
        <v>8</v>
      </c>
      <c r="B8" s="53">
        <f>$B$1*Assumptions!B35</f>
        <v>0</v>
      </c>
      <c r="C8" s="70">
        <f>$B$1*Assumptions!C35</f>
        <v>0</v>
      </c>
      <c r="D8" s="70">
        <f>$B$1*Assumptions!D35</f>
        <v>0</v>
      </c>
      <c r="E8" s="70">
        <f>$B$1*Assumptions!E35</f>
        <v>433.5</v>
      </c>
      <c r="F8" s="70">
        <f>$B$1*Assumptions!F35</f>
        <v>867</v>
      </c>
      <c r="G8" s="71">
        <f>$B$1*Assumptions!G35</f>
        <v>1300.5</v>
      </c>
    </row>
    <row r="9" spans="1:7" ht="15.6" thickBot="1" x14ac:dyDescent="0.3">
      <c r="A9" s="72" t="s">
        <v>16</v>
      </c>
      <c r="B9" s="73">
        <f>$B$1*Assumptions!B36</f>
        <v>0</v>
      </c>
      <c r="C9" s="74">
        <f>$B$1*Assumptions!C36</f>
        <v>0</v>
      </c>
      <c r="D9" s="74">
        <f>$B$1*Assumptions!D36</f>
        <v>0</v>
      </c>
      <c r="E9" s="74">
        <f>$B$1*Assumptions!E36</f>
        <v>0</v>
      </c>
      <c r="F9" s="74">
        <f>$B$1*Assumptions!F36</f>
        <v>0</v>
      </c>
      <c r="G9" s="75">
        <f>$B$1*Assumptions!G36</f>
        <v>0</v>
      </c>
    </row>
    <row r="10" spans="1:7" x14ac:dyDescent="0.25">
      <c r="A10" s="76"/>
      <c r="B10" s="76"/>
      <c r="C10" s="76"/>
      <c r="D10" s="76"/>
      <c r="E10" s="76"/>
      <c r="F10" s="76"/>
      <c r="G10" s="76"/>
    </row>
    <row r="11" spans="1:7" x14ac:dyDescent="0.25">
      <c r="A11" s="76" t="s">
        <v>9</v>
      </c>
      <c r="B11" s="77">
        <f t="shared" ref="B11:G11" si="0">SUM(B3:B10)</f>
        <v>0</v>
      </c>
      <c r="C11" s="77">
        <f t="shared" si="0"/>
        <v>1616.8000000000002</v>
      </c>
      <c r="D11" s="77">
        <f t="shared" si="0"/>
        <v>3162.54</v>
      </c>
      <c r="E11" s="77">
        <f t="shared" si="0"/>
        <v>4187.3167000000003</v>
      </c>
      <c r="F11" s="77">
        <f t="shared" si="0"/>
        <v>4900.9849510000004</v>
      </c>
      <c r="G11" s="77">
        <f t="shared" si="0"/>
        <v>5466.0644995299999</v>
      </c>
    </row>
    <row r="13" spans="1:7" x14ac:dyDescent="0.25">
      <c r="F13" s="45"/>
    </row>
  </sheetData>
  <printOptions horizontalCentered="1"/>
  <pageMargins left="0.75" right="0.75" top="1" bottom="1" header="0.5" footer="0.5"/>
  <pageSetup orientation="landscape" r:id="rId1"/>
  <headerFooter alignWithMargins="0">
    <oddHeader>&amp;CMARKET VALUE OF GROWTH AND SYNERGIES AT EBITDA X 17</oddHeader>
    <oddFooter>&amp;LPricewaterhouseCoopers Securities LLC&amp;C&amp;D&amp;RPricewaterhouseCoopers LLP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showGridLines="0" workbookViewId="0">
      <selection activeCell="F11" sqref="F11"/>
    </sheetView>
  </sheetViews>
  <sheetFormatPr defaultRowHeight="13.2" x14ac:dyDescent="0.25"/>
  <cols>
    <col min="1" max="1" width="42" bestFit="1" customWidth="1"/>
  </cols>
  <sheetData>
    <row r="1" spans="1:7" ht="15.6" thickBot="1" x14ac:dyDescent="0.3">
      <c r="A1" s="61" t="s">
        <v>65</v>
      </c>
      <c r="B1" s="62">
        <v>20</v>
      </c>
      <c r="C1" s="63"/>
      <c r="D1" s="63"/>
      <c r="E1" s="63"/>
      <c r="F1" s="63"/>
      <c r="G1" s="64"/>
    </row>
    <row r="2" spans="1:7" ht="15" x14ac:dyDescent="0.25">
      <c r="A2" s="65"/>
      <c r="B2" s="49"/>
      <c r="C2" s="49"/>
      <c r="D2" s="49"/>
      <c r="E2" s="49"/>
      <c r="F2" s="49"/>
      <c r="G2" s="66"/>
    </row>
    <row r="3" spans="1:7" ht="15.6" thickBot="1" x14ac:dyDescent="0.3">
      <c r="A3" s="67" t="s">
        <v>15</v>
      </c>
      <c r="B3" s="68">
        <v>0</v>
      </c>
      <c r="C3" s="68">
        <f>B3+12</f>
        <v>12</v>
      </c>
      <c r="D3" s="68">
        <f>C3+12</f>
        <v>24</v>
      </c>
      <c r="E3" s="68">
        <f>D3+12</f>
        <v>36</v>
      </c>
      <c r="F3" s="68">
        <f>E3+12</f>
        <v>48</v>
      </c>
      <c r="G3" s="69">
        <f>F3+12</f>
        <v>60</v>
      </c>
    </row>
    <row r="4" spans="1:7" ht="15" x14ac:dyDescent="0.25">
      <c r="A4" s="65" t="s">
        <v>0</v>
      </c>
      <c r="B4" s="53">
        <f>$B$1*Assumptions!B31</f>
        <v>0</v>
      </c>
      <c r="C4" s="70">
        <f>$B$1*Assumptions!C31</f>
        <v>180</v>
      </c>
      <c r="D4" s="70">
        <f>$B$1*Assumptions!D31</f>
        <v>360</v>
      </c>
      <c r="E4" s="70">
        <f>$B$1*Assumptions!E31</f>
        <v>370.79999999999995</v>
      </c>
      <c r="F4" s="70">
        <f>$B$1*Assumptions!F31</f>
        <v>381.92399999999998</v>
      </c>
      <c r="G4" s="71">
        <f>$B$1*Assumptions!G31</f>
        <v>393.38171999999997</v>
      </c>
    </row>
    <row r="5" spans="1:7" ht="15" x14ac:dyDescent="0.25">
      <c r="A5" s="65" t="s">
        <v>1</v>
      </c>
      <c r="B5" s="53">
        <f>$B$1*Assumptions!B32</f>
        <v>0</v>
      </c>
      <c r="C5" s="70">
        <f>$B$1*Assumptions!C32</f>
        <v>836.7</v>
      </c>
      <c r="D5" s="70">
        <f>$B$1*Assumptions!D32</f>
        <v>1673.4</v>
      </c>
      <c r="E5" s="70">
        <f>$B$1*Assumptions!E32</f>
        <v>1723.6020000000003</v>
      </c>
      <c r="F5" s="70">
        <f>$B$1*Assumptions!F32</f>
        <v>1775.3100600000002</v>
      </c>
      <c r="G5" s="71">
        <f>$B$1*Assumptions!G32</f>
        <v>1828.5693618000003</v>
      </c>
    </row>
    <row r="6" spans="1:7" ht="15" x14ac:dyDescent="0.25">
      <c r="A6" s="65" t="s">
        <v>2</v>
      </c>
      <c r="B6" s="53">
        <f>$B$1*Assumptions!B33</f>
        <v>0</v>
      </c>
      <c r="C6" s="70">
        <f>$B$1*Assumptions!C33</f>
        <v>668.8</v>
      </c>
      <c r="D6" s="70">
        <f>$B$1*Assumptions!D33</f>
        <v>1254</v>
      </c>
      <c r="E6" s="70">
        <f>$B$1*Assumptions!E33</f>
        <v>1672</v>
      </c>
      <c r="F6" s="70">
        <f>$B$1*Assumptions!F33</f>
        <v>1722.1599999999999</v>
      </c>
      <c r="G6" s="71">
        <f>$B$1*Assumptions!G33</f>
        <v>1773.8247999999999</v>
      </c>
    </row>
    <row r="7" spans="1:7" ht="15" x14ac:dyDescent="0.25">
      <c r="A7" s="65" t="s">
        <v>3</v>
      </c>
      <c r="B7" s="53">
        <f>$B$1*Assumptions!B34</f>
        <v>0</v>
      </c>
      <c r="C7" s="70">
        <f>$B$1*Assumptions!C34</f>
        <v>202.5</v>
      </c>
      <c r="D7" s="70">
        <f>$B$1*Assumptions!D34</f>
        <v>405</v>
      </c>
      <c r="E7" s="70">
        <f>$B$1*Assumptions!E34</f>
        <v>607.5</v>
      </c>
      <c r="F7" s="70">
        <f>$B$1*Assumptions!F34</f>
        <v>810</v>
      </c>
      <c r="G7" s="71">
        <f>$B$1*Assumptions!G34</f>
        <v>834.30000000000007</v>
      </c>
    </row>
    <row r="8" spans="1:7" ht="15" x14ac:dyDescent="0.25">
      <c r="A8" s="65" t="s">
        <v>8</v>
      </c>
      <c r="B8" s="53">
        <f>$B$1*Assumptions!B35</f>
        <v>0</v>
      </c>
      <c r="C8" s="70">
        <f>$B$1*Assumptions!C35</f>
        <v>0</v>
      </c>
      <c r="D8" s="70">
        <f>$B$1*Assumptions!D35</f>
        <v>0</v>
      </c>
      <c r="E8" s="70">
        <f>$B$1*Assumptions!E35</f>
        <v>510</v>
      </c>
      <c r="F8" s="70">
        <f>$B$1*Assumptions!F35</f>
        <v>1020</v>
      </c>
      <c r="G8" s="71">
        <f>$B$1*Assumptions!G35</f>
        <v>1530</v>
      </c>
    </row>
    <row r="9" spans="1:7" ht="15.6" thickBot="1" x14ac:dyDescent="0.3">
      <c r="A9" s="72"/>
      <c r="B9" s="73"/>
      <c r="C9" s="74"/>
      <c r="D9" s="74"/>
      <c r="E9" s="74"/>
      <c r="F9" s="74"/>
      <c r="G9" s="75"/>
    </row>
    <row r="10" spans="1:7" x14ac:dyDescent="0.25">
      <c r="A10" s="76"/>
      <c r="B10" s="76"/>
      <c r="C10" s="76"/>
      <c r="D10" s="76"/>
      <c r="E10" s="76"/>
      <c r="F10" s="76"/>
      <c r="G10" s="76"/>
    </row>
    <row r="11" spans="1:7" x14ac:dyDescent="0.25">
      <c r="A11" s="76" t="s">
        <v>9</v>
      </c>
      <c r="B11" s="77">
        <f t="shared" ref="B11:G11" si="0">SUM(B3:B10)</f>
        <v>0</v>
      </c>
      <c r="C11" s="77">
        <f t="shared" si="0"/>
        <v>1900</v>
      </c>
      <c r="D11" s="77">
        <f t="shared" si="0"/>
        <v>3716.4</v>
      </c>
      <c r="E11" s="77">
        <f t="shared" si="0"/>
        <v>4919.902</v>
      </c>
      <c r="F11" s="77">
        <f t="shared" si="0"/>
        <v>5757.3940600000005</v>
      </c>
      <c r="G11" s="77">
        <f t="shared" si="0"/>
        <v>6420.0758818000004</v>
      </c>
    </row>
    <row r="12" spans="1:7" hidden="1" x14ac:dyDescent="0.25">
      <c r="F12" s="45">
        <f>F11/17000</f>
        <v>0.33867023882352942</v>
      </c>
    </row>
    <row r="13" spans="1:7" hidden="1" x14ac:dyDescent="0.25"/>
    <row r="14" spans="1:7" hidden="1" x14ac:dyDescent="0.25"/>
    <row r="15" spans="1:7" hidden="1" x14ac:dyDescent="0.25"/>
    <row r="16" spans="1:7" hidden="1" x14ac:dyDescent="0.25"/>
    <row r="17" spans="1:7" hidden="1" x14ac:dyDescent="0.25">
      <c r="A17" s="1" t="s">
        <v>75</v>
      </c>
      <c r="B17" t="s">
        <v>76</v>
      </c>
      <c r="C17" t="s">
        <v>77</v>
      </c>
      <c r="D17" t="s">
        <v>78</v>
      </c>
      <c r="E17" t="s">
        <v>79</v>
      </c>
      <c r="F17" t="s">
        <v>80</v>
      </c>
      <c r="G17" t="s">
        <v>81</v>
      </c>
    </row>
    <row r="18" spans="1:7" hidden="1" x14ac:dyDescent="0.25">
      <c r="A18" s="1"/>
    </row>
    <row r="19" spans="1:7" hidden="1" x14ac:dyDescent="0.25">
      <c r="A19" s="1">
        <v>15</v>
      </c>
      <c r="B19" s="6">
        <f>EBITDAx15!B12</f>
        <v>0</v>
      </c>
      <c r="C19" s="6">
        <f>EBITDAx15!C12</f>
        <v>1428</v>
      </c>
      <c r="D19" s="6">
        <f>EBITDAx15!D12</f>
        <v>2793.2999999999997</v>
      </c>
      <c r="E19" s="6">
        <f>EBITDAx15!E12</f>
        <v>3698.9265</v>
      </c>
      <c r="F19" s="6">
        <f>EBITDAx15!F12</f>
        <v>4330.0455449999999</v>
      </c>
      <c r="G19" s="6">
        <f>EBITDAx15!G12</f>
        <v>4830.0569113500005</v>
      </c>
    </row>
    <row r="20" spans="1:7" hidden="1" x14ac:dyDescent="0.25">
      <c r="A20" s="1">
        <v>17</v>
      </c>
      <c r="B20" s="6">
        <f>EBITDAx17!B11</f>
        <v>0</v>
      </c>
      <c r="C20" s="6">
        <f>EBITDAx17!C11</f>
        <v>1616.8000000000002</v>
      </c>
      <c r="D20" s="6">
        <f>EBITDAx17!D11</f>
        <v>3162.54</v>
      </c>
      <c r="E20" s="6">
        <f>EBITDAx17!E11</f>
        <v>4187.3167000000003</v>
      </c>
      <c r="F20" s="6">
        <f>EBITDAx17!F11</f>
        <v>4900.9849510000004</v>
      </c>
      <c r="G20" s="6">
        <f>EBITDAx17!G11</f>
        <v>5466.0644995299999</v>
      </c>
    </row>
    <row r="21" spans="1:7" hidden="1" x14ac:dyDescent="0.25">
      <c r="A21" s="1">
        <v>20</v>
      </c>
      <c r="B21" s="6">
        <f t="shared" ref="B21:G21" si="1">B11</f>
        <v>0</v>
      </c>
      <c r="C21" s="6">
        <f t="shared" si="1"/>
        <v>1900</v>
      </c>
      <c r="D21" s="6">
        <f t="shared" si="1"/>
        <v>3716.4</v>
      </c>
      <c r="E21" s="6">
        <f t="shared" si="1"/>
        <v>4919.902</v>
      </c>
      <c r="F21" s="6">
        <f t="shared" si="1"/>
        <v>5757.3940600000005</v>
      </c>
      <c r="G21" s="6">
        <f t="shared" si="1"/>
        <v>6420.0758818000004</v>
      </c>
    </row>
    <row r="22" spans="1:7" hidden="1" x14ac:dyDescent="0.25"/>
    <row r="23" spans="1:7" hidden="1" x14ac:dyDescent="0.25">
      <c r="A23" t="s">
        <v>82</v>
      </c>
      <c r="C23" s="45">
        <f>C20/17000</f>
        <v>9.5105882352941193E-2</v>
      </c>
      <c r="D23" s="45">
        <f>D20/17000</f>
        <v>0.18603176470588234</v>
      </c>
      <c r="E23" s="45">
        <f>E20/17000</f>
        <v>0.24631274705882356</v>
      </c>
      <c r="F23" s="45">
        <f>F20/17000</f>
        <v>0.28829323241176474</v>
      </c>
    </row>
  </sheetData>
  <printOptions horizontalCentered="1"/>
  <pageMargins left="0.75" right="0.75" top="1" bottom="1" header="0.5" footer="0.5"/>
  <pageSetup orientation="landscape" r:id="rId1"/>
  <headerFooter alignWithMargins="0">
    <oddHeader>&amp;CMARKET VALUE OF GROWTH AND SYNERGIES AT EBITDA X 20</oddHeader>
    <oddFooter>&amp;LPricewaterhouseCoopers Securities LLC&amp;C&amp;D&amp;RPricewaterhouseCoopers LLP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workbookViewId="0">
      <pane xSplit="2" ySplit="2" topLeftCell="C3" activePane="bottomRight" state="frozen"/>
      <selection activeCell="K15" sqref="K15"/>
      <selection pane="topRight" activeCell="K15" sqref="K15"/>
      <selection pane="bottomLeft" activeCell="K15" sqref="K15"/>
      <selection pane="bottomRight" activeCell="K15" sqref="K15"/>
    </sheetView>
  </sheetViews>
  <sheetFormatPr defaultRowHeight="13.2" x14ac:dyDescent="0.25"/>
  <cols>
    <col min="2" max="2" width="28" customWidth="1"/>
    <col min="3" max="4" width="12.6640625" bestFit="1" customWidth="1"/>
    <col min="5" max="5" width="13.6640625" customWidth="1"/>
    <col min="6" max="6" width="10" bestFit="1" customWidth="1"/>
    <col min="7" max="7" width="10.5546875" customWidth="1"/>
    <col min="8" max="8" width="12" customWidth="1"/>
  </cols>
  <sheetData>
    <row r="1" spans="1:9" x14ac:dyDescent="0.25">
      <c r="A1" s="7" t="s">
        <v>18</v>
      </c>
      <c r="B1" s="7" t="s">
        <v>19</v>
      </c>
      <c r="C1" s="7" t="s">
        <v>14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/>
    </row>
    <row r="2" spans="1:9" x14ac:dyDescent="0.25">
      <c r="A2" s="7"/>
      <c r="B2" s="7"/>
      <c r="C2" s="7"/>
      <c r="D2" s="7" t="s">
        <v>25</v>
      </c>
      <c r="E2" s="7" t="s">
        <v>25</v>
      </c>
      <c r="F2" s="7" t="s">
        <v>26</v>
      </c>
      <c r="G2" s="7" t="s">
        <v>27</v>
      </c>
      <c r="H2" s="7" t="s">
        <v>28</v>
      </c>
    </row>
    <row r="3" spans="1:9" x14ac:dyDescent="0.25">
      <c r="A3" s="2" t="s">
        <v>29</v>
      </c>
      <c r="B3" t="s">
        <v>30</v>
      </c>
      <c r="C3" s="5">
        <v>12.52</v>
      </c>
      <c r="D3" s="5">
        <v>6.54</v>
      </c>
      <c r="E3" s="5">
        <v>6.92</v>
      </c>
      <c r="F3" s="4">
        <v>2.69</v>
      </c>
      <c r="G3" s="3">
        <v>194.1</v>
      </c>
      <c r="H3" s="3">
        <f>G3*F3</f>
        <v>522.12900000000002</v>
      </c>
      <c r="I3" s="4"/>
    </row>
    <row r="4" spans="1:9" x14ac:dyDescent="0.25">
      <c r="A4" s="2" t="s">
        <v>31</v>
      </c>
      <c r="B4" t="s">
        <v>32</v>
      </c>
      <c r="C4" s="5">
        <v>11.5</v>
      </c>
      <c r="D4" s="5">
        <v>3.52</v>
      </c>
      <c r="E4" s="5">
        <v>5.73</v>
      </c>
      <c r="F4" s="4">
        <v>2.65</v>
      </c>
      <c r="G4" s="3">
        <v>115.8</v>
      </c>
      <c r="H4" s="3">
        <f>G4*F4</f>
        <v>306.87</v>
      </c>
      <c r="I4" s="4"/>
    </row>
    <row r="5" spans="1:9" x14ac:dyDescent="0.25">
      <c r="A5" s="9" t="s">
        <v>33</v>
      </c>
      <c r="B5" s="10" t="s">
        <v>34</v>
      </c>
      <c r="C5" s="11">
        <v>10.58</v>
      </c>
      <c r="D5" s="11">
        <v>5.2</v>
      </c>
      <c r="E5" s="11">
        <v>4.63</v>
      </c>
      <c r="F5" s="12">
        <v>3.39</v>
      </c>
      <c r="G5" s="13">
        <v>145</v>
      </c>
      <c r="H5" s="13">
        <f>G5*F5</f>
        <v>491.55</v>
      </c>
      <c r="I5" s="4"/>
    </row>
    <row r="6" spans="1:9" x14ac:dyDescent="0.25">
      <c r="A6" s="9" t="s">
        <v>35</v>
      </c>
      <c r="B6" s="10" t="s">
        <v>36</v>
      </c>
      <c r="C6" s="11">
        <v>9.25</v>
      </c>
      <c r="D6" s="11">
        <v>5.39</v>
      </c>
      <c r="E6" s="11">
        <v>6.32</v>
      </c>
      <c r="F6" s="12">
        <v>2.5</v>
      </c>
      <c r="G6" s="13">
        <v>233</v>
      </c>
      <c r="H6" s="13">
        <f>G6*F6</f>
        <v>582.5</v>
      </c>
      <c r="I6" s="4"/>
    </row>
    <row r="7" spans="1:9" x14ac:dyDescent="0.25">
      <c r="A7" s="14" t="s">
        <v>37</v>
      </c>
      <c r="B7" s="15" t="s">
        <v>38</v>
      </c>
      <c r="C7" s="16">
        <v>15.14</v>
      </c>
      <c r="D7" s="16">
        <v>8.15</v>
      </c>
      <c r="E7" s="16">
        <v>5.45</v>
      </c>
      <c r="F7" s="17">
        <v>2.82</v>
      </c>
      <c r="G7" s="18">
        <v>190.8</v>
      </c>
      <c r="H7" s="18">
        <f>G7*F7</f>
        <v>538.05600000000004</v>
      </c>
      <c r="I7" s="4"/>
    </row>
    <row r="8" spans="1:9" x14ac:dyDescent="0.25">
      <c r="C8" s="4"/>
      <c r="D8" s="5"/>
      <c r="E8" s="5"/>
      <c r="F8" s="4"/>
    </row>
    <row r="9" spans="1:9" ht="13.8" thickBot="1" x14ac:dyDescent="0.3">
      <c r="A9" s="19" t="s">
        <v>39</v>
      </c>
      <c r="B9" s="19" t="s">
        <v>40</v>
      </c>
      <c r="C9" s="20">
        <f>(SUMPRODUCT(C3:C7,$D$3:$D$7)/SUM($D$3:$D$7)+SUMPRODUCT(C3:C7,$E$3:$E$7)/SUM($E$3:$E$7))/2</f>
        <v>11.982112261546185</v>
      </c>
      <c r="D9" s="20">
        <f>SUM(D3:D7)</f>
        <v>28.800000000000004</v>
      </c>
      <c r="E9" s="20">
        <f>SUM(E3:E8)</f>
        <v>29.05</v>
      </c>
      <c r="F9" s="20">
        <f>(SUMPRODUCT(F3:F7,$D$3:$D$7)/SUM($D$3:$D$7)+SUMPRODUCT(F3:F7,$E$3:$E$7)/SUM($E$3:$E$7))/2</f>
        <v>2.7947294714572575</v>
      </c>
      <c r="G9" s="21">
        <f>SUM(G3:G8)</f>
        <v>878.7</v>
      </c>
      <c r="H9" s="22">
        <f>SUM(H3:H8)</f>
        <v>2441.105</v>
      </c>
      <c r="I9" s="23"/>
    </row>
    <row r="10" spans="1:9" ht="13.8" thickTop="1" x14ac:dyDescent="0.25">
      <c r="C10" s="4"/>
      <c r="D10" s="5"/>
      <c r="E10" s="5"/>
    </row>
    <row r="11" spans="1:9" ht="13.8" thickBot="1" x14ac:dyDescent="0.3">
      <c r="A11" s="19" t="s">
        <v>41</v>
      </c>
      <c r="B11" s="19" t="s">
        <v>42</v>
      </c>
      <c r="C11" s="20">
        <v>48.1</v>
      </c>
      <c r="D11" s="20">
        <v>43.79</v>
      </c>
      <c r="E11" s="20">
        <v>40.1</v>
      </c>
      <c r="F11" s="24">
        <v>1.27</v>
      </c>
      <c r="G11" s="19">
        <v>715.6</v>
      </c>
      <c r="H11" s="22">
        <f>G11*F11</f>
        <v>908.81200000000001</v>
      </c>
      <c r="I11" s="25"/>
    </row>
    <row r="12" spans="1:9" ht="13.8" thickTop="1" x14ac:dyDescent="0.25"/>
    <row r="13" spans="1:9" x14ac:dyDescent="0.25">
      <c r="C13" s="4"/>
    </row>
    <row r="14" spans="1:9" x14ac:dyDescent="0.25">
      <c r="A14" s="14" t="s">
        <v>43</v>
      </c>
      <c r="B14" s="15"/>
      <c r="C14" s="26" t="s">
        <v>44</v>
      </c>
      <c r="D14" s="26" t="s">
        <v>45</v>
      </c>
      <c r="E14" s="26" t="s">
        <v>46</v>
      </c>
    </row>
    <row r="15" spans="1:9" x14ac:dyDescent="0.25">
      <c r="A15" s="2" t="s">
        <v>29</v>
      </c>
      <c r="B15" t="s">
        <v>30</v>
      </c>
      <c r="C15" s="8">
        <v>3466513611</v>
      </c>
      <c r="D15" s="8">
        <v>890462814</v>
      </c>
      <c r="E15" s="8">
        <v>2576050797</v>
      </c>
    </row>
    <row r="16" spans="1:9" x14ac:dyDescent="0.25">
      <c r="A16" s="2" t="s">
        <v>31</v>
      </c>
      <c r="B16" t="s">
        <v>32</v>
      </c>
      <c r="C16" s="8">
        <v>822547772</v>
      </c>
      <c r="D16" s="8">
        <v>309985004</v>
      </c>
      <c r="E16" s="8">
        <v>512562768</v>
      </c>
    </row>
    <row r="17" spans="1:5" x14ac:dyDescent="0.25">
      <c r="A17" s="9" t="s">
        <v>33</v>
      </c>
      <c r="B17" s="10" t="s">
        <v>34</v>
      </c>
      <c r="C17" s="27">
        <v>1197491012</v>
      </c>
      <c r="D17" s="27">
        <v>554891878</v>
      </c>
      <c r="E17" s="27">
        <v>642599134</v>
      </c>
    </row>
    <row r="18" spans="1:5" x14ac:dyDescent="0.25">
      <c r="A18" s="9" t="s">
        <v>35</v>
      </c>
      <c r="B18" s="10" t="s">
        <v>36</v>
      </c>
      <c r="C18" s="27">
        <v>1843066806</v>
      </c>
      <c r="D18" s="27">
        <v>673901266</v>
      </c>
      <c r="E18" s="27">
        <v>1169165540</v>
      </c>
    </row>
    <row r="19" spans="1:5" x14ac:dyDescent="0.25">
      <c r="A19" s="14" t="s">
        <v>37</v>
      </c>
      <c r="B19" s="15" t="s">
        <v>38</v>
      </c>
      <c r="C19" s="28">
        <v>1415683029</v>
      </c>
      <c r="D19" s="28">
        <v>542350218</v>
      </c>
      <c r="E19" s="28">
        <v>873332811</v>
      </c>
    </row>
    <row r="20" spans="1:5" x14ac:dyDescent="0.25">
      <c r="C20" s="8"/>
      <c r="D20" s="8"/>
      <c r="E20" s="8"/>
    </row>
    <row r="21" spans="1:5" ht="13.8" thickBot="1" x14ac:dyDescent="0.3">
      <c r="A21" s="29"/>
      <c r="B21" s="19" t="s">
        <v>47</v>
      </c>
      <c r="C21" s="30">
        <f>SUM(C15:C20)</f>
        <v>8745302230</v>
      </c>
      <c r="D21" s="30">
        <f>SUM(D15:D20)</f>
        <v>2971591180</v>
      </c>
      <c r="E21" s="30">
        <f>SUM(E15:E20)</f>
        <v>5773711050</v>
      </c>
    </row>
    <row r="22" spans="1:5" ht="13.8" thickTop="1" x14ac:dyDescent="0.25">
      <c r="C22" s="8"/>
      <c r="D22" s="8"/>
      <c r="E22" s="8"/>
    </row>
    <row r="23" spans="1:5" ht="13.8" thickBot="1" x14ac:dyDescent="0.3">
      <c r="A23" s="19" t="s">
        <v>41</v>
      </c>
      <c r="B23" s="19" t="s">
        <v>48</v>
      </c>
      <c r="C23" s="30">
        <v>3571946000</v>
      </c>
      <c r="D23" s="30">
        <v>1762215000</v>
      </c>
      <c r="E23" s="30">
        <f>C23-D23</f>
        <v>1809731000</v>
      </c>
    </row>
    <row r="24" spans="1:5" ht="13.8" thickTop="1" x14ac:dyDescent="0.25"/>
  </sheetData>
  <pageMargins left="0.75" right="0.75" top="1" bottom="1" header="0.5" footer="0.5"/>
  <pageSetup orientation="landscape" r:id="rId1"/>
  <headerFooter alignWithMargins="0">
    <oddHeader>&amp;CPROJECT TEXAS</oddHeader>
    <oddFooter>&amp;L&amp;D
&amp;F&amp;RPwCS/HD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5" sqref="K15"/>
    </sheetView>
  </sheetViews>
  <sheetFormatPr defaultRowHeight="13.2" x14ac:dyDescent="0.25"/>
  <cols>
    <col min="1" max="1" width="14.88671875" bestFit="1" customWidth="1"/>
    <col min="2" max="2" width="10.5546875" bestFit="1" customWidth="1"/>
    <col min="3" max="3" width="10.5546875" customWidth="1"/>
    <col min="4" max="4" width="12.5546875" bestFit="1" customWidth="1"/>
    <col min="5" max="5" width="8.6640625" customWidth="1"/>
    <col min="6" max="6" width="10.5546875" bestFit="1" customWidth="1"/>
    <col min="7" max="7" width="10.5546875" customWidth="1"/>
    <col min="8" max="8" width="11.33203125" customWidth="1"/>
    <col min="9" max="9" width="12.33203125" customWidth="1"/>
    <col min="11" max="11" width="12" bestFit="1" customWidth="1"/>
  </cols>
  <sheetData>
    <row r="1" spans="1:11" ht="15.6" thickBot="1" x14ac:dyDescent="0.3">
      <c r="A1" s="31"/>
      <c r="B1" s="31"/>
      <c r="C1" s="31"/>
      <c r="D1" s="31"/>
      <c r="E1" s="31"/>
      <c r="F1" s="31"/>
      <c r="G1" s="31"/>
      <c r="H1" s="31"/>
      <c r="I1" s="31"/>
    </row>
    <row r="2" spans="1:11" ht="33" customHeight="1" x14ac:dyDescent="0.3">
      <c r="A2" s="32" t="s">
        <v>49</v>
      </c>
      <c r="B2" s="78" t="s">
        <v>50</v>
      </c>
      <c r="C2" s="78"/>
      <c r="D2" s="78" t="s">
        <v>46</v>
      </c>
      <c r="E2" s="78"/>
      <c r="F2" s="78" t="s">
        <v>51</v>
      </c>
      <c r="G2" s="78"/>
      <c r="H2" s="79" t="s">
        <v>63</v>
      </c>
      <c r="I2" s="79"/>
      <c r="K2" t="s">
        <v>66</v>
      </c>
    </row>
    <row r="3" spans="1:11" ht="15" x14ac:dyDescent="0.25">
      <c r="A3" s="33"/>
      <c r="B3" s="34" t="s">
        <v>52</v>
      </c>
      <c r="C3" s="34" t="s">
        <v>53</v>
      </c>
      <c r="D3" s="34" t="s">
        <v>52</v>
      </c>
      <c r="E3" s="34" t="s">
        <v>53</v>
      </c>
      <c r="F3" s="34" t="s">
        <v>52</v>
      </c>
      <c r="G3" s="34" t="s">
        <v>53</v>
      </c>
      <c r="H3" s="34" t="s">
        <v>52</v>
      </c>
      <c r="I3" s="34" t="s">
        <v>53</v>
      </c>
    </row>
    <row r="4" spans="1:11" ht="15.6" x14ac:dyDescent="0.3">
      <c r="A4" s="32" t="s">
        <v>54</v>
      </c>
      <c r="B4" s="35">
        <v>6.54</v>
      </c>
      <c r="C4" s="36">
        <f t="shared" ref="C4:C9" si="0">B4/$B$11</f>
        <v>8.9958734525447046E-2</v>
      </c>
      <c r="D4" s="35">
        <v>2.5760507970000002</v>
      </c>
      <c r="E4" s="36">
        <f t="shared" ref="E4:E9" si="1">D4/$D$11</f>
        <v>0.33969413625307521</v>
      </c>
      <c r="F4" s="35">
        <f>B4/1.3</f>
        <v>5.0307692307692307</v>
      </c>
      <c r="G4" s="36">
        <f t="shared" ref="G4:G9" si="2">F4/$F$11</f>
        <v>0.17069400585483063</v>
      </c>
      <c r="H4" s="37">
        <f t="shared" ref="H4:H9" si="3">D4/F4*B4</f>
        <v>3.3488660361000004</v>
      </c>
      <c r="I4" s="36">
        <f t="shared" ref="I4:I9" si="4">H4/$H$11</f>
        <v>0.19330769431539785</v>
      </c>
      <c r="K4" s="3">
        <f>1860/(2.69*194.1)</f>
        <v>3.5623380428974447</v>
      </c>
    </row>
    <row r="5" spans="1:11" ht="15.6" x14ac:dyDescent="0.3">
      <c r="A5" s="32" t="s">
        <v>55</v>
      </c>
      <c r="B5" s="35">
        <v>3.52</v>
      </c>
      <c r="C5" s="36">
        <f t="shared" si="0"/>
        <v>4.8418156808803299E-2</v>
      </c>
      <c r="D5" s="35">
        <v>0.512562768</v>
      </c>
      <c r="E5" s="36">
        <f t="shared" si="1"/>
        <v>6.7589725697185216E-2</v>
      </c>
      <c r="F5" s="35">
        <f>B5/1.5</f>
        <v>2.3466666666666667</v>
      </c>
      <c r="G5" s="36">
        <f t="shared" si="2"/>
        <v>7.9622402731060651E-2</v>
      </c>
      <c r="H5" s="37">
        <f t="shared" si="3"/>
        <v>0.768844152</v>
      </c>
      <c r="I5" s="36">
        <f t="shared" si="4"/>
        <v>4.4380243553749379E-2</v>
      </c>
      <c r="K5" s="3">
        <f>1480/(2.65*115.8)</f>
        <v>4.8228891713103268</v>
      </c>
    </row>
    <row r="6" spans="1:11" ht="15.6" x14ac:dyDescent="0.3">
      <c r="A6" s="32" t="s">
        <v>56</v>
      </c>
      <c r="B6" s="38">
        <v>5.2</v>
      </c>
      <c r="C6" s="36">
        <f t="shared" si="0"/>
        <v>7.1526822558459421E-2</v>
      </c>
      <c r="D6" s="35">
        <v>0.64259913400000002</v>
      </c>
      <c r="E6" s="36">
        <f t="shared" si="1"/>
        <v>8.4737132526779183E-2</v>
      </c>
      <c r="F6" s="35">
        <f>B6/1.35</f>
        <v>3.8518518518518516</v>
      </c>
      <c r="G6" s="36">
        <f t="shared" si="2"/>
        <v>0.1306933378161349</v>
      </c>
      <c r="H6" s="37">
        <f t="shared" si="3"/>
        <v>0.86750883090000008</v>
      </c>
      <c r="I6" s="36">
        <f t="shared" si="4"/>
        <v>5.0075497225568269E-2</v>
      </c>
      <c r="K6" s="3">
        <f>1610/(3.39*145)</f>
        <v>3.2753534737056249</v>
      </c>
    </row>
    <row r="7" spans="1:11" ht="15.6" x14ac:dyDescent="0.3">
      <c r="A7" s="32" t="s">
        <v>57</v>
      </c>
      <c r="B7" s="38">
        <v>5.39</v>
      </c>
      <c r="C7" s="36">
        <f t="shared" si="0"/>
        <v>7.414030261348005E-2</v>
      </c>
      <c r="D7" s="35">
        <v>1.1691655400000001</v>
      </c>
      <c r="E7" s="36">
        <f t="shared" si="1"/>
        <v>0.15417346533293547</v>
      </c>
      <c r="F7" s="39">
        <v>4.5</v>
      </c>
      <c r="G7" s="36">
        <f t="shared" si="2"/>
        <v>0.15268500523711914</v>
      </c>
      <c r="H7" s="37">
        <f t="shared" si="3"/>
        <v>1.4004005023555555</v>
      </c>
      <c r="I7" s="36">
        <f t="shared" si="4"/>
        <v>8.0835778233678407E-2</v>
      </c>
      <c r="K7" s="3">
        <f>2390/(2.5*233)</f>
        <v>4.1030042918454939</v>
      </c>
    </row>
    <row r="8" spans="1:11" ht="15.6" x14ac:dyDescent="0.3">
      <c r="A8" s="32" t="s">
        <v>58</v>
      </c>
      <c r="B8" s="38">
        <v>8.15</v>
      </c>
      <c r="C8" s="36">
        <f t="shared" si="0"/>
        <v>0.11210453920220083</v>
      </c>
      <c r="D8" s="35">
        <v>0.87333281100000004</v>
      </c>
      <c r="E8" s="36">
        <f t="shared" si="1"/>
        <v>0.11516311527692098</v>
      </c>
      <c r="F8" s="35">
        <f>B8/1.48</f>
        <v>5.506756756756757</v>
      </c>
      <c r="G8" s="36">
        <f t="shared" si="2"/>
        <v>0.18684426316554373</v>
      </c>
      <c r="H8" s="37">
        <f t="shared" si="3"/>
        <v>1.29253256028</v>
      </c>
      <c r="I8" s="36">
        <f t="shared" si="4"/>
        <v>7.4609281578274456E-2</v>
      </c>
      <c r="K8" s="3">
        <f>2020/(2.82*190.8)</f>
        <v>3.754256062565978</v>
      </c>
    </row>
    <row r="9" spans="1:11" ht="15.6" x14ac:dyDescent="0.3">
      <c r="A9" s="32" t="s">
        <v>59</v>
      </c>
      <c r="B9" s="39">
        <v>43.9</v>
      </c>
      <c r="C9" s="36">
        <f t="shared" si="0"/>
        <v>0.60385144429160931</v>
      </c>
      <c r="D9" s="35">
        <v>1.809731</v>
      </c>
      <c r="E9" s="36">
        <f t="shared" si="1"/>
        <v>0.23864242491310392</v>
      </c>
      <c r="F9" s="35">
        <f>B9/5.33</f>
        <v>8.2363977485928697</v>
      </c>
      <c r="G9" s="36">
        <f t="shared" si="2"/>
        <v>0.27946098519531082</v>
      </c>
      <c r="H9" s="37">
        <f t="shared" si="3"/>
        <v>9.6458662300000011</v>
      </c>
      <c r="I9" s="36">
        <f t="shared" si="4"/>
        <v>0.55679150509333175</v>
      </c>
      <c r="K9" s="3"/>
    </row>
    <row r="10" spans="1:11" ht="15" x14ac:dyDescent="0.25">
      <c r="A10" s="40"/>
      <c r="B10" s="40"/>
      <c r="C10" s="40"/>
      <c r="D10" s="40"/>
      <c r="E10" s="40"/>
      <c r="F10" s="39"/>
      <c r="G10" s="39"/>
      <c r="H10" s="40"/>
      <c r="I10" s="40"/>
      <c r="K10" s="3"/>
    </row>
    <row r="11" spans="1:11" ht="16.2" thickBot="1" x14ac:dyDescent="0.35">
      <c r="A11" s="41" t="s">
        <v>9</v>
      </c>
      <c r="B11" s="42">
        <f>SUM(B4:B10)</f>
        <v>72.7</v>
      </c>
      <c r="C11" s="43">
        <f>SUM(C4:C10)</f>
        <v>1</v>
      </c>
      <c r="D11" s="42">
        <v>7.5834420500000004</v>
      </c>
      <c r="E11" s="43">
        <f>SUM(E4:E9)</f>
        <v>1</v>
      </c>
      <c r="F11" s="42">
        <f>SUM(F4:F9)</f>
        <v>29.472442254637379</v>
      </c>
      <c r="G11" s="43">
        <f>SUM(G4:G9)</f>
        <v>0.99999999999999978</v>
      </c>
      <c r="H11" s="42">
        <f>SUM(H4:H9)</f>
        <v>17.324018311635555</v>
      </c>
      <c r="I11" s="43">
        <f>SUM(I4:I9)</f>
        <v>1</v>
      </c>
      <c r="K11" s="3"/>
    </row>
    <row r="12" spans="1:11" ht="13.8" thickTop="1" x14ac:dyDescent="0.25"/>
    <row r="13" spans="1:11" x14ac:dyDescent="0.25">
      <c r="D13" s="5" t="s">
        <v>64</v>
      </c>
    </row>
    <row r="14" spans="1:11" x14ac:dyDescent="0.25">
      <c r="A14" t="s">
        <v>60</v>
      </c>
      <c r="B14">
        <v>17</v>
      </c>
      <c r="C14" s="44"/>
      <c r="D14" s="3">
        <f>D18*$B$14/$B$15</f>
        <v>2.7968569999999997</v>
      </c>
    </row>
    <row r="15" spans="1:11" x14ac:dyDescent="0.25">
      <c r="A15" t="s">
        <v>61</v>
      </c>
      <c r="B15">
        <v>11</v>
      </c>
      <c r="C15" s="44"/>
      <c r="D15" s="3">
        <f>D19</f>
        <v>5.7737110500000002</v>
      </c>
      <c r="K15" s="3">
        <f>SUMPRODUCT(K4:K8,B4:B8)/SUM(B4:B8)</f>
        <v>3.8200860690899585</v>
      </c>
    </row>
    <row r="17" spans="1:11" x14ac:dyDescent="0.25">
      <c r="D17" s="3">
        <f>SUM(D14:D16)</f>
        <v>8.5705680500000003</v>
      </c>
    </row>
    <row r="18" spans="1:11" x14ac:dyDescent="0.25">
      <c r="A18" t="s">
        <v>59</v>
      </c>
      <c r="B18" s="3">
        <f>B9/[1]Data!C11*B14</f>
        <v>15.515592515592516</v>
      </c>
      <c r="C18" s="45">
        <f>B18/B$21</f>
        <v>0.3698150620760482</v>
      </c>
      <c r="D18" s="3">
        <f>D9</f>
        <v>1.809731</v>
      </c>
      <c r="E18" s="45">
        <f>D18/D$21</f>
        <v>0.23864242491310392</v>
      </c>
      <c r="F18" s="3">
        <f>F9</f>
        <v>8.2363977485928697</v>
      </c>
      <c r="G18" s="45">
        <f>F18/F$21</f>
        <v>0.27946098519531082</v>
      </c>
      <c r="H18" s="3">
        <f>D18/F18*B18</f>
        <v>3.4091419108108112</v>
      </c>
      <c r="J18" s="44"/>
      <c r="K18" s="44"/>
    </row>
    <row r="19" spans="1:11" x14ac:dyDescent="0.25">
      <c r="A19" t="s">
        <v>62</v>
      </c>
      <c r="B19" s="3">
        <f>SUM(B4:B8)/[1]Data!C9*B15</f>
        <v>26.439411773556515</v>
      </c>
      <c r="C19" s="45">
        <f>B19/B$21</f>
        <v>0.6301849379239518</v>
      </c>
      <c r="D19" s="3">
        <f>SUM(D4:D8)</f>
        <v>5.7737110500000002</v>
      </c>
      <c r="E19" s="45">
        <f>D19/D$21</f>
        <v>0.76135757508689605</v>
      </c>
      <c r="F19" s="3">
        <f>SUM(F4:F8)</f>
        <v>21.236044506044507</v>
      </c>
      <c r="G19" s="45">
        <f>F19/F$21</f>
        <v>0.72053901480468907</v>
      </c>
      <c r="H19" s="3">
        <f>D19/F19*B19</f>
        <v>7.1884160851627952</v>
      </c>
      <c r="J19" s="44"/>
      <c r="K19" s="44"/>
    </row>
    <row r="20" spans="1:11" x14ac:dyDescent="0.25">
      <c r="B20" s="3"/>
      <c r="C20" s="3"/>
      <c r="E20" s="3"/>
      <c r="F20" s="3"/>
      <c r="G20" s="3"/>
      <c r="H20" s="3"/>
    </row>
    <row r="21" spans="1:11" x14ac:dyDescent="0.25">
      <c r="B21" s="3">
        <f>SUM(B18:B19)</f>
        <v>41.955004289149031</v>
      </c>
      <c r="C21" s="3"/>
      <c r="D21" s="3">
        <f>SUM(D18:D19)</f>
        <v>7.5834420500000004</v>
      </c>
      <c r="E21" s="3"/>
      <c r="F21" s="3">
        <f>SUM(F18:F19)</f>
        <v>29.472442254637379</v>
      </c>
      <c r="G21" s="3"/>
      <c r="H21" s="3">
        <f>SUM(H18:H19)</f>
        <v>10.597557995973606</v>
      </c>
    </row>
  </sheetData>
  <mergeCells count="4">
    <mergeCell ref="B2:C2"/>
    <mergeCell ref="D2:E2"/>
    <mergeCell ref="F2:G2"/>
    <mergeCell ref="H2:I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Assumptions</vt:lpstr>
      <vt:lpstr>EBITDAx15</vt:lpstr>
      <vt:lpstr>EBITDAx17</vt:lpstr>
      <vt:lpstr>EBITDAx20</vt:lpstr>
      <vt:lpstr>Data</vt:lpstr>
      <vt:lpstr>Value Analysis</vt:lpstr>
      <vt:lpstr>EBTIDA Graph</vt:lpstr>
      <vt:lpstr>EBITDAX15 CHART</vt:lpstr>
      <vt:lpstr>EBITDAX17 CHART</vt:lpstr>
      <vt:lpstr>EBITDAX20 CHART</vt:lpstr>
    </vt:vector>
  </TitlesOfParts>
  <Company>PricewaterhouseCoopers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Himesh Dhungel</dc:creator>
  <cp:lastModifiedBy>Havlíček Jan</cp:lastModifiedBy>
  <cp:lastPrinted>2000-02-03T19:33:15Z</cp:lastPrinted>
  <dcterms:created xsi:type="dcterms:W3CDTF">2000-02-02T16:32:56Z</dcterms:created>
  <dcterms:modified xsi:type="dcterms:W3CDTF">2023-09-10T12:21:56Z</dcterms:modified>
</cp:coreProperties>
</file>