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14868" windowHeight="9348" activeTab="5"/>
  </bookViews>
  <sheets>
    <sheet name="Exhibit B1" sheetId="9" r:id="rId1"/>
    <sheet name="Exhibit B2" sheetId="11" r:id="rId2"/>
    <sheet name="Exhibit B1, Chart 1" sheetId="10" r:id="rId3"/>
    <sheet name="Exhibit B2, Chart 2" sheetId="12" r:id="rId4"/>
    <sheet name="Exhibit B2, Chart 3" sheetId="13" r:id="rId5"/>
    <sheet name="Exhibit F" sheetId="5" r:id="rId6"/>
    <sheet name="Exhibit F, Chart 1" sheetId="6" r:id="rId7"/>
  </sheets>
  <externalReferences>
    <externalReference r:id="rId8"/>
    <externalReference r:id="rId9"/>
  </externalReferences>
  <definedNames>
    <definedName name="DiscRate" localSheetId="0">'Exhibit B1'!$D$12</definedName>
    <definedName name="DiscRate" localSheetId="1">'Exhibit B2'!$D$13</definedName>
    <definedName name="DiscRate">[2]facts!$C$15</definedName>
    <definedName name="discrate2" localSheetId="1">'Exhibit B2'!$E$13</definedName>
    <definedName name="discrate2">'Exhibit B1'!$E$12</definedName>
    <definedName name="DiscRate3" localSheetId="1">'Exhibit B2'!$F$13</definedName>
    <definedName name="DiscRate3">'Exhibit B1'!$F$12</definedName>
    <definedName name="DiscRate4" localSheetId="1">'Exhibit B2'!$G$13</definedName>
    <definedName name="DiscRate4">'Exhibit B1'!$G$12</definedName>
    <definedName name="DiscRate5" localSheetId="1">'Exhibit B2'!$H$13</definedName>
    <definedName name="DiscRate5">'Exhibit B1'!$H$12</definedName>
    <definedName name="DiscRate6" localSheetId="1">'Exhibit B2'!$I$13</definedName>
    <definedName name="DiscRate6">'Exhibit B1'!$I$12</definedName>
    <definedName name="tixdr0">[2]attendance!$F$24</definedName>
    <definedName name="tixdr2">[2]attendance!$G$24</definedName>
    <definedName name="tixdr3">[2]attendance!$H$24</definedName>
    <definedName name="tixdr4">[2]attendance!$I$24</definedName>
    <definedName name="tixdr5">[2]attendance!$J$24</definedName>
    <definedName name="tixdr6">[2]attendance!$K$24</definedName>
  </definedNames>
  <calcPr calcId="92512"/>
</workbook>
</file>

<file path=xl/calcChain.xml><?xml version="1.0" encoding="utf-8"?>
<calcChain xmlns="http://schemas.openxmlformats.org/spreadsheetml/2006/main">
  <c r="D6" i="9" l="1"/>
  <c r="E12" i="9"/>
  <c r="F12" i="9"/>
  <c r="G12" i="9"/>
  <c r="H12" i="9"/>
  <c r="I12" i="9"/>
  <c r="E16" i="9"/>
  <c r="F16" i="9"/>
  <c r="G16" i="9"/>
  <c r="H16" i="9"/>
  <c r="I16" i="9"/>
  <c r="D17" i="9"/>
  <c r="E17" i="9"/>
  <c r="F17" i="9"/>
  <c r="G17" i="9"/>
  <c r="H17" i="9"/>
  <c r="I17" i="9"/>
  <c r="D20" i="9"/>
  <c r="D21" i="9"/>
  <c r="E21" i="9"/>
  <c r="F21" i="9"/>
  <c r="G21" i="9"/>
  <c r="H21" i="9"/>
  <c r="I21" i="9"/>
  <c r="D25" i="9"/>
  <c r="E25" i="9"/>
  <c r="F25" i="9"/>
  <c r="G25" i="9"/>
  <c r="H25" i="9"/>
  <c r="I25" i="9"/>
  <c r="D26" i="9"/>
  <c r="E26" i="9"/>
  <c r="F26" i="9"/>
  <c r="G26" i="9"/>
  <c r="H26" i="9"/>
  <c r="I26" i="9"/>
  <c r="D28" i="9"/>
  <c r="E28" i="9"/>
  <c r="F28" i="9"/>
  <c r="G28" i="9"/>
  <c r="H28" i="9"/>
  <c r="I28" i="9"/>
  <c r="D6" i="11"/>
  <c r="D8" i="11"/>
  <c r="E13" i="11"/>
  <c r="F13" i="11"/>
  <c r="G13" i="11"/>
  <c r="H13" i="11"/>
  <c r="I13" i="11"/>
  <c r="E14" i="11"/>
  <c r="F14" i="11"/>
  <c r="G14" i="11"/>
  <c r="H14" i="11"/>
  <c r="I14" i="11"/>
  <c r="E17" i="11"/>
  <c r="F17" i="11"/>
  <c r="G17" i="11"/>
  <c r="H17" i="11"/>
  <c r="I17" i="11"/>
  <c r="D18" i="11"/>
  <c r="E18" i="11"/>
  <c r="F18" i="11"/>
  <c r="G18" i="11"/>
  <c r="H18" i="11"/>
  <c r="I18" i="11"/>
  <c r="D22" i="11"/>
  <c r="E22" i="11"/>
  <c r="F22" i="11"/>
  <c r="G22" i="11"/>
  <c r="H22" i="11"/>
  <c r="I22" i="11"/>
  <c r="D25" i="11"/>
  <c r="E25" i="11"/>
  <c r="F25" i="11"/>
  <c r="G25" i="11"/>
  <c r="H25" i="11"/>
  <c r="I25" i="11"/>
  <c r="D26" i="11"/>
  <c r="E26" i="11"/>
  <c r="F26" i="11"/>
  <c r="G26" i="11"/>
  <c r="H26" i="11"/>
  <c r="I26" i="11"/>
  <c r="D30" i="11"/>
  <c r="E30" i="11"/>
  <c r="F30" i="11"/>
  <c r="G30" i="11"/>
  <c r="H30" i="11"/>
  <c r="I30" i="11"/>
  <c r="D31" i="11"/>
  <c r="E31" i="11"/>
  <c r="F31" i="11"/>
  <c r="G31" i="11"/>
  <c r="H31" i="11"/>
  <c r="I31" i="11"/>
  <c r="D33" i="11"/>
  <c r="E33" i="11"/>
  <c r="F33" i="11"/>
  <c r="G33" i="11"/>
  <c r="H33" i="11"/>
  <c r="I33" i="11"/>
  <c r="C2" i="5"/>
  <c r="D2" i="5"/>
  <c r="E2" i="5"/>
  <c r="F2" i="5"/>
  <c r="G2" i="5"/>
  <c r="H2" i="5"/>
  <c r="C3" i="5"/>
  <c r="D3" i="5"/>
  <c r="E3" i="5"/>
  <c r="F3" i="5"/>
  <c r="G3" i="5"/>
  <c r="H3" i="5"/>
  <c r="C4" i="5"/>
  <c r="D4" i="5"/>
  <c r="E4" i="5"/>
  <c r="F4" i="5"/>
  <c r="G4" i="5"/>
  <c r="H4" i="5"/>
  <c r="C5" i="5"/>
  <c r="D5" i="5"/>
  <c r="E5" i="5"/>
  <c r="F5" i="5"/>
  <c r="G5" i="5"/>
  <c r="H5" i="5"/>
  <c r="C6" i="5"/>
  <c r="D6" i="5"/>
  <c r="E6" i="5"/>
  <c r="F6" i="5"/>
  <c r="G6" i="5"/>
  <c r="H6" i="5"/>
  <c r="C7" i="5"/>
  <c r="D7" i="5"/>
  <c r="E7" i="5"/>
  <c r="F7" i="5"/>
  <c r="G7" i="5"/>
  <c r="H7" i="5"/>
  <c r="C8" i="5"/>
  <c r="D8" i="5"/>
  <c r="E8" i="5"/>
  <c r="F8" i="5"/>
  <c r="G8" i="5"/>
  <c r="H8" i="5"/>
  <c r="C9" i="5"/>
  <c r="D9" i="5"/>
  <c r="E9" i="5"/>
  <c r="F9" i="5"/>
  <c r="G9" i="5"/>
  <c r="H9" i="5"/>
  <c r="C10" i="5"/>
  <c r="D10" i="5"/>
  <c r="E10" i="5"/>
  <c r="F10" i="5"/>
  <c r="G10" i="5"/>
  <c r="H10" i="5"/>
  <c r="C11" i="5"/>
  <c r="D11" i="5"/>
  <c r="E11" i="5"/>
  <c r="F11" i="5"/>
  <c r="G11" i="5"/>
  <c r="H11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7" i="5"/>
  <c r="D17" i="5"/>
  <c r="E17" i="5"/>
  <c r="F17" i="5"/>
  <c r="G17" i="5"/>
  <c r="H17" i="5"/>
  <c r="C18" i="5"/>
  <c r="D18" i="5"/>
  <c r="E18" i="5"/>
  <c r="F18" i="5"/>
  <c r="G18" i="5"/>
  <c r="H18" i="5"/>
  <c r="C19" i="5"/>
  <c r="D19" i="5"/>
  <c r="E19" i="5"/>
  <c r="F19" i="5"/>
  <c r="G19" i="5"/>
  <c r="H19" i="5"/>
  <c r="C20" i="5"/>
  <c r="D20" i="5"/>
  <c r="E20" i="5"/>
  <c r="F20" i="5"/>
  <c r="G20" i="5"/>
  <c r="H20" i="5"/>
  <c r="C21" i="5"/>
  <c r="D21" i="5"/>
  <c r="E21" i="5"/>
  <c r="F21" i="5"/>
  <c r="G21" i="5"/>
  <c r="H21" i="5"/>
  <c r="C22" i="5"/>
  <c r="D22" i="5"/>
  <c r="E22" i="5"/>
  <c r="F22" i="5"/>
  <c r="G22" i="5"/>
  <c r="H22" i="5"/>
  <c r="B23" i="5"/>
  <c r="C23" i="5"/>
  <c r="D23" i="5"/>
  <c r="E23" i="5"/>
  <c r="F23" i="5"/>
  <c r="G23" i="5"/>
  <c r="H23" i="5"/>
  <c r="C28" i="5"/>
  <c r="D28" i="5"/>
  <c r="E28" i="5"/>
  <c r="F28" i="5"/>
  <c r="G28" i="5"/>
  <c r="H28" i="5"/>
  <c r="C33" i="5"/>
  <c r="D33" i="5"/>
  <c r="E33" i="5"/>
  <c r="F33" i="5"/>
  <c r="G33" i="5"/>
  <c r="H33" i="5"/>
</calcChain>
</file>

<file path=xl/sharedStrings.xml><?xml version="1.0" encoding="utf-8"?>
<sst xmlns="http://schemas.openxmlformats.org/spreadsheetml/2006/main" count="58" uniqueCount="34">
  <si>
    <t>(7/1/97 - 12/31/99)</t>
  </si>
  <si>
    <t>PV 1/19</t>
  </si>
  <si>
    <t>PV 7/97</t>
  </si>
  <si>
    <t>PV of Estimated Future Tax Revenue @ 7/1/97</t>
  </si>
  <si>
    <t>year</t>
  </si>
  <si>
    <t>Tax Revenue</t>
  </si>
  <si>
    <t>TOTAL</t>
  </si>
  <si>
    <t>Estimated Future Tax Revenue is discounted at the Risk Premium Rate.</t>
  </si>
  <si>
    <t>PV of future tax revenue</t>
  </si>
  <si>
    <t>Face Value of bond issued</t>
  </si>
  <si>
    <t>Risk Free Rate:</t>
  </si>
  <si>
    <t>(384 - 45)</t>
  </si>
  <si>
    <t>Assumes project goes over, as most do.</t>
  </si>
  <si>
    <t xml:space="preserve">Residual value of stadium </t>
  </si>
  <si>
    <t>Cost of Building (Expense)</t>
  </si>
  <si>
    <t>Cost to County</t>
  </si>
  <si>
    <t>Face value of bonds issued</t>
  </si>
  <si>
    <t>Lease Payments (Revenue)</t>
  </si>
  <si>
    <t>40 payments of $350,000</t>
  </si>
  <si>
    <t>PV 3/1/99</t>
  </si>
  <si>
    <t>NPV of Investments</t>
  </si>
  <si>
    <t>Risk Premium Rate</t>
  </si>
  <si>
    <t>Bonds issued at Risk Premium Rate</t>
  </si>
  <si>
    <t>Bonds Issued 7/97</t>
  </si>
  <si>
    <t>PV 3/99</t>
  </si>
  <si>
    <t>GIVEN:</t>
  </si>
  <si>
    <t xml:space="preserve"> - 20 year lease</t>
  </si>
  <si>
    <t xml:space="preserve"> - a minimum of 90% of home games will be played in the new stadium</t>
  </si>
  <si>
    <t xml:space="preserve"> - it takes three (3) years to construct</t>
  </si>
  <si>
    <t xml:space="preserve"> - Estimated Cost</t>
  </si>
  <si>
    <t xml:space="preserve"> - County Contribution</t>
  </si>
  <si>
    <t xml:space="preserve"> - Construction Duration</t>
  </si>
  <si>
    <t xml:space="preserve"> - Monthly Payment</t>
  </si>
  <si>
    <t>Risk Free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</si>
</sst>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\ &quot;mos&quot;"/>
    <numFmt numFmtId="165" formatCode="&quot;$&quot;#,##0.0_);[Red]\(&quot;$&quot;#,##0.0\)"/>
    <numFmt numFmtId="169" formatCode="&quot;$&quot;#,##0.00"/>
    <numFmt numFmtId="174" formatCode="_(* #,##0_);_(* \(#,##0\);_(* &quot;-&quot;??_);_(@_)"/>
    <numFmt numFmtId="177" formatCode="_(&quot;$&quot;* #,##0_);_(&quot;$&quot;* \(#,##0\);_(&quot;$&quot;* &quot;-&quot;??_);_(@_)"/>
    <numFmt numFmtId="189" formatCode="&quot;@ &quot;\&amp;0.00%"/>
    <numFmt numFmtId="193" formatCode="&quot;$&quot;#,##0.000_);[Red]\(&quot;$&quot;#,##0.000\)"/>
  </numFmts>
  <fonts count="16" x14ac:knownFonts="1">
    <font>
      <sz val="12"/>
      <name val="Times New Roman"/>
    </font>
    <font>
      <sz val="12"/>
      <name val="Times New Roman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</font>
    <font>
      <b/>
      <sz val="10"/>
      <color indexed="12"/>
      <name val="Arial"/>
      <family val="2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8"/>
      <name val="Arial"/>
      <family val="2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4" applyFont="1"/>
    <xf numFmtId="0" fontId="3" fillId="0" borderId="0" xfId="4" applyFont="1" applyAlignment="1">
      <alignment horizontal="center"/>
    </xf>
    <xf numFmtId="0" fontId="5" fillId="0" borderId="0" xfId="4"/>
    <xf numFmtId="0" fontId="4" fillId="0" borderId="1" xfId="4" applyFont="1" applyBorder="1" applyAlignment="1">
      <alignment horizontal="center"/>
    </xf>
    <xf numFmtId="0" fontId="3" fillId="0" borderId="1" xfId="4" applyFont="1" applyBorder="1"/>
    <xf numFmtId="189" fontId="3" fillId="0" borderId="1" xfId="4" applyNumberFormat="1" applyFont="1" applyBorder="1" applyAlignment="1">
      <alignment horizontal="center"/>
    </xf>
    <xf numFmtId="174" fontId="5" fillId="0" borderId="0" xfId="1" applyNumberFormat="1" applyFont="1"/>
    <xf numFmtId="174" fontId="5" fillId="0" borderId="2" xfId="1" applyNumberFormat="1" applyFont="1" applyBorder="1"/>
    <xf numFmtId="165" fontId="5" fillId="0" borderId="0" xfId="4" applyNumberFormat="1"/>
    <xf numFmtId="0" fontId="5" fillId="0" borderId="0" xfId="4" applyFont="1"/>
    <xf numFmtId="0" fontId="3" fillId="0" borderId="3" xfId="4" applyFont="1" applyBorder="1"/>
    <xf numFmtId="165" fontId="3" fillId="0" borderId="3" xfId="4" applyNumberFormat="1" applyFont="1" applyBorder="1"/>
    <xf numFmtId="10" fontId="5" fillId="0" borderId="0" xfId="4" applyNumberFormat="1"/>
    <xf numFmtId="0" fontId="5" fillId="0" borderId="0" xfId="3"/>
    <xf numFmtId="0" fontId="5" fillId="0" borderId="0" xfId="3" applyAlignment="1">
      <alignment horizontal="right"/>
    </xf>
    <xf numFmtId="164" fontId="5" fillId="0" borderId="0" xfId="3" applyNumberFormat="1"/>
    <xf numFmtId="17" fontId="5" fillId="0" borderId="0" xfId="3" applyNumberFormat="1"/>
    <xf numFmtId="0" fontId="5" fillId="0" borderId="4" xfId="3" applyBorder="1"/>
    <xf numFmtId="0" fontId="5" fillId="0" borderId="5" xfId="3" applyBorder="1"/>
    <xf numFmtId="0" fontId="5" fillId="0" borderId="6" xfId="3" applyBorder="1"/>
    <xf numFmtId="0" fontId="5" fillId="0" borderId="7" xfId="3" applyBorder="1"/>
    <xf numFmtId="0" fontId="5" fillId="0" borderId="0" xfId="3" applyBorder="1"/>
    <xf numFmtId="10" fontId="6" fillId="0" borderId="0" xfId="3" applyNumberFormat="1" applyFont="1" applyBorder="1"/>
    <xf numFmtId="10" fontId="2" fillId="0" borderId="0" xfId="3" applyNumberFormat="1" applyFont="1" applyBorder="1"/>
    <xf numFmtId="0" fontId="5" fillId="0" borderId="8" xfId="3" applyBorder="1"/>
    <xf numFmtId="10" fontId="6" fillId="0" borderId="0" xfId="5" applyNumberFormat="1" applyFont="1" applyBorder="1"/>
    <xf numFmtId="10" fontId="2" fillId="0" borderId="0" xfId="5" applyNumberFormat="1" applyFont="1" applyBorder="1"/>
    <xf numFmtId="2" fontId="5" fillId="0" borderId="0" xfId="3" applyNumberFormat="1" applyBorder="1"/>
    <xf numFmtId="14" fontId="5" fillId="0" borderId="7" xfId="3" applyNumberFormat="1" applyBorder="1"/>
    <xf numFmtId="10" fontId="5" fillId="0" borderId="0" xfId="3" applyNumberFormat="1" applyBorder="1"/>
    <xf numFmtId="43" fontId="5" fillId="0" borderId="0" xfId="3" applyNumberFormat="1" applyBorder="1"/>
    <xf numFmtId="0" fontId="5" fillId="0" borderId="0" xfId="3" applyBorder="1" applyAlignment="1">
      <alignment horizontal="right"/>
    </xf>
    <xf numFmtId="0" fontId="10" fillId="0" borderId="7" xfId="3" applyFont="1" applyBorder="1"/>
    <xf numFmtId="14" fontId="5" fillId="0" borderId="0" xfId="3" applyNumberFormat="1" applyBorder="1" applyAlignment="1">
      <alignment horizontal="right"/>
    </xf>
    <xf numFmtId="0" fontId="2" fillId="0" borderId="7" xfId="3" applyFont="1" applyBorder="1"/>
    <xf numFmtId="43" fontId="5" fillId="0" borderId="0" xfId="1" applyFont="1"/>
    <xf numFmtId="43" fontId="5" fillId="0" borderId="0" xfId="1" applyFont="1" applyBorder="1"/>
    <xf numFmtId="8" fontId="5" fillId="0" borderId="0" xfId="1" applyNumberFormat="1" applyFont="1" applyBorder="1"/>
    <xf numFmtId="14" fontId="5" fillId="0" borderId="0" xfId="3" applyNumberFormat="1" applyBorder="1"/>
    <xf numFmtId="8" fontId="5" fillId="0" borderId="0" xfId="3" applyNumberFormat="1" applyBorder="1"/>
    <xf numFmtId="0" fontId="5" fillId="0" borderId="9" xfId="3" applyBorder="1"/>
    <xf numFmtId="0" fontId="5" fillId="0" borderId="10" xfId="3" applyBorder="1"/>
    <xf numFmtId="0" fontId="5" fillId="0" borderId="11" xfId="3" applyBorder="1"/>
    <xf numFmtId="165" fontId="5" fillId="0" borderId="0" xfId="3" applyNumberFormat="1" applyBorder="1"/>
    <xf numFmtId="177" fontId="5" fillId="0" borderId="0" xfId="2" applyNumberFormat="1" applyFont="1"/>
    <xf numFmtId="44" fontId="5" fillId="0" borderId="0" xfId="2" applyFont="1"/>
    <xf numFmtId="169" fontId="5" fillId="0" borderId="0" xfId="3" applyNumberFormat="1"/>
    <xf numFmtId="0" fontId="3" fillId="0" borderId="0" xfId="3" applyFont="1"/>
    <xf numFmtId="0" fontId="5" fillId="0" borderId="0" xfId="3" applyFont="1"/>
    <xf numFmtId="0" fontId="5" fillId="0" borderId="0" xfId="3" applyFont="1" applyAlignment="1">
      <alignment horizontal="left"/>
    </xf>
    <xf numFmtId="165" fontId="5" fillId="0" borderId="0" xfId="2" applyNumberFormat="1" applyFont="1"/>
    <xf numFmtId="193" fontId="6" fillId="0" borderId="0" xfId="1" applyNumberFormat="1" applyFont="1" applyBorder="1"/>
    <xf numFmtId="193" fontId="2" fillId="0" borderId="0" xfId="1" applyNumberFormat="1" applyFont="1" applyBorder="1"/>
    <xf numFmtId="193" fontId="5" fillId="0" borderId="0" xfId="3" applyNumberFormat="1" applyBorder="1"/>
    <xf numFmtId="0" fontId="5" fillId="0" borderId="7" xfId="3" applyFont="1" applyBorder="1"/>
    <xf numFmtId="165" fontId="5" fillId="0" borderId="0" xfId="2" applyNumberFormat="1" applyFont="1" applyBorder="1"/>
    <xf numFmtId="0" fontId="3" fillId="0" borderId="0" xfId="4" applyFont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FINgroupproject5" xfId="3"/>
    <cellStyle name="Normal_JACKIE EXHIBITS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NPV vs. Risk Premium Rate</a:t>
            </a:r>
          </a:p>
        </c:rich>
      </c:tx>
      <c:layout>
        <c:manualLayout>
          <c:xMode val="edge"/>
          <c:yMode val="edge"/>
          <c:x val="0.3487544483985764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0676156583629"/>
          <c:y val="0.13874345549738221"/>
          <c:w val="0.84430604982206392"/>
          <c:h val="0.7748691099476441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'Exhibit B1'!$D$12:$I$12</c:f>
              <c:numCache>
                <c:formatCode>0.00%</c:formatCode>
                <c:ptCount val="6"/>
                <c:pt idx="0">
                  <c:v>5.7000000000000002E-2</c:v>
                </c:pt>
                <c:pt idx="1">
                  <c:v>5.45E-2</c:v>
                </c:pt>
                <c:pt idx="2">
                  <c:v>5.2000000000000005E-2</c:v>
                </c:pt>
                <c:pt idx="3">
                  <c:v>5.9500000000000004E-2</c:v>
                </c:pt>
                <c:pt idx="4">
                  <c:v>6.2E-2</c:v>
                </c:pt>
                <c:pt idx="5">
                  <c:v>6.4500000000000002E-2</c:v>
                </c:pt>
              </c:numCache>
            </c:numRef>
          </c:xVal>
          <c:yVal>
            <c:numRef>
              <c:f>'Exhibit B1'!$D$28:$I$28</c:f>
              <c:numCache>
                <c:formatCode>"$"#,##0.0_);[Red]\("$"#,##0.0\)</c:formatCode>
                <c:ptCount val="6"/>
                <c:pt idx="0">
                  <c:v>-307.51713635814866</c:v>
                </c:pt>
                <c:pt idx="1">
                  <c:v>-308.31226004961593</c:v>
                </c:pt>
                <c:pt idx="2">
                  <c:v>-309.10480620171586</c:v>
                </c:pt>
                <c:pt idx="3">
                  <c:v>-306.71969105907453</c:v>
                </c:pt>
                <c:pt idx="4">
                  <c:v>-305.92016781225266</c:v>
                </c:pt>
                <c:pt idx="5">
                  <c:v>-305.11879860056854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A-420D-96C7-04880B5DA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35432"/>
        <c:axId val="1"/>
      </c:scatterChart>
      <c:valAx>
        <c:axId val="15313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Risk Premium Rate</a:t>
                </a:r>
              </a:p>
            </c:rich>
          </c:tx>
          <c:layout>
            <c:manualLayout>
              <c:xMode val="edge"/>
              <c:yMode val="edge"/>
              <c:x val="0.46619217081850522"/>
              <c:y val="0.937172774869109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NPV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96073298429319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_);[Red]\(&quot;$&quot;#,##0.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135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NPV vs Risk Premium Rate</a:t>
            </a:r>
          </a:p>
        </c:rich>
      </c:tx>
      <c:layout>
        <c:manualLayout>
          <c:xMode val="edge"/>
          <c:yMode val="edge"/>
          <c:x val="0.3514234875444839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20996441281138"/>
          <c:y val="0.13874345549738221"/>
          <c:w val="0.85320284697508886"/>
          <c:h val="0.7748691099476441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'Exhibit B2'!$D$14:$I$14</c:f>
              <c:numCache>
                <c:formatCode>0.00%</c:formatCode>
                <c:ptCount val="6"/>
                <c:pt idx="0">
                  <c:v>5.7000000000000002E-2</c:v>
                </c:pt>
                <c:pt idx="1">
                  <c:v>5.45E-2</c:v>
                </c:pt>
                <c:pt idx="2">
                  <c:v>5.2000000000000005E-2</c:v>
                </c:pt>
                <c:pt idx="3">
                  <c:v>5.9500000000000004E-2</c:v>
                </c:pt>
                <c:pt idx="4">
                  <c:v>6.2E-2</c:v>
                </c:pt>
                <c:pt idx="5">
                  <c:v>6.4500000000000002E-2</c:v>
                </c:pt>
              </c:numCache>
            </c:numRef>
          </c:xVal>
          <c:yVal>
            <c:numRef>
              <c:f>'Exhibit B2'!$D$33:$I$33</c:f>
              <c:numCache>
                <c:formatCode>"$"#,##0.0_);[Red]\("$"#,##0.0\)</c:formatCode>
                <c:ptCount val="6"/>
                <c:pt idx="0">
                  <c:v>7.5612280802347414</c:v>
                </c:pt>
                <c:pt idx="1">
                  <c:v>12.950386584943317</c:v>
                </c:pt>
                <c:pt idx="2">
                  <c:v>18.515720260231546</c:v>
                </c:pt>
                <c:pt idx="3">
                  <c:v>2.3428666404136038</c:v>
                </c:pt>
                <c:pt idx="4">
                  <c:v>-2.7099256535108225</c:v>
                </c:pt>
                <c:pt idx="5">
                  <c:v>-7.6022289590196124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5-438F-8493-D9714BAD2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16256"/>
        <c:axId val="1"/>
      </c:scatterChart>
      <c:valAx>
        <c:axId val="15321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Risk Premium Rate</a:t>
                </a:r>
              </a:p>
            </c:rich>
          </c:tx>
          <c:layout>
            <c:manualLayout>
              <c:xMode val="edge"/>
              <c:yMode val="edge"/>
              <c:x val="0.46174377224199287"/>
              <c:y val="0.937172774869109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NPV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96073298429319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_);[Red]\(&quot;$&quot;#,##0.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2162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NPV vs. Risk Free Rate</a:t>
            </a:r>
          </a:p>
        </c:rich>
      </c:tx>
      <c:layout>
        <c:manualLayout>
          <c:xMode val="edge"/>
          <c:yMode val="edge"/>
          <c:x val="0.37277580071174371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20996441281138"/>
          <c:y val="0.13874345549738221"/>
          <c:w val="0.85320284697508886"/>
          <c:h val="0.7748691099476441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'Exhibit B2'!$D$13:$I$13</c:f>
              <c:numCache>
                <c:formatCode>0.00%</c:formatCode>
                <c:ptCount val="6"/>
                <c:pt idx="0">
                  <c:v>4.8800000000000003E-2</c:v>
                </c:pt>
                <c:pt idx="1">
                  <c:v>4.6300000000000001E-2</c:v>
                </c:pt>
                <c:pt idx="2">
                  <c:v>4.3800000000000006E-2</c:v>
                </c:pt>
                <c:pt idx="3">
                  <c:v>5.1300000000000005E-2</c:v>
                </c:pt>
                <c:pt idx="4">
                  <c:v>5.3800000000000001E-2</c:v>
                </c:pt>
                <c:pt idx="5">
                  <c:v>5.6300000000000003E-2</c:v>
                </c:pt>
              </c:numCache>
            </c:numRef>
          </c:xVal>
          <c:yVal>
            <c:numRef>
              <c:f>'Exhibit B2'!$D$33:$I$33</c:f>
              <c:numCache>
                <c:formatCode>"$"#,##0.0_);[Red]\("$"#,##0.0\)</c:formatCode>
                <c:ptCount val="6"/>
                <c:pt idx="0">
                  <c:v>7.5612280802347414</c:v>
                </c:pt>
                <c:pt idx="1">
                  <c:v>12.950386584943317</c:v>
                </c:pt>
                <c:pt idx="2">
                  <c:v>18.515720260231546</c:v>
                </c:pt>
                <c:pt idx="3">
                  <c:v>2.3428666404136038</c:v>
                </c:pt>
                <c:pt idx="4">
                  <c:v>-2.7099256535108225</c:v>
                </c:pt>
                <c:pt idx="5">
                  <c:v>-7.6022289590196124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D-42C1-A348-14D6E505F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67584"/>
        <c:axId val="1"/>
      </c:scatterChart>
      <c:valAx>
        <c:axId val="18676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Risk Free Rate</a:t>
                </a:r>
              </a:p>
            </c:rich>
          </c:tx>
          <c:layout>
            <c:manualLayout>
              <c:xMode val="edge"/>
              <c:yMode val="edge"/>
              <c:x val="0.47775800711743766"/>
              <c:y val="0.937172774869109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NPV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96073298429319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_);[Red]\(&quot;$&quot;#,##0.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6767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Bond Face Value vs. Risk Premium Discount Rate</a:t>
            </a:r>
          </a:p>
        </c:rich>
      </c:tx>
      <c:layout>
        <c:manualLayout>
          <c:xMode val="edge"/>
          <c:yMode val="edge"/>
          <c:x val="0.2357651245551601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87900355871884"/>
          <c:y val="0.13874345549738221"/>
          <c:w val="0.85053380782918142"/>
          <c:h val="0.7356020942408377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'Exhibit F'!$C$31:$H$31</c:f>
              <c:numCache>
                <c:formatCode>0.00%</c:formatCode>
                <c:ptCount val="6"/>
                <c:pt idx="0">
                  <c:v>5.7000000000000002E-2</c:v>
                </c:pt>
                <c:pt idx="1">
                  <c:v>5.45E-2</c:v>
                </c:pt>
                <c:pt idx="2">
                  <c:v>5.2000000000000005E-2</c:v>
                </c:pt>
                <c:pt idx="3">
                  <c:v>5.9500000000000004E-2</c:v>
                </c:pt>
                <c:pt idx="4">
                  <c:v>6.2E-2</c:v>
                </c:pt>
                <c:pt idx="5">
                  <c:v>6.4500000000000002E-2</c:v>
                </c:pt>
              </c:numCache>
            </c:numRef>
          </c:xVal>
          <c:yVal>
            <c:numRef>
              <c:f>'Exhibit F'!$C$33:$H$33</c:f>
              <c:numCache>
                <c:formatCode>"$"#,##0.0_);[Red]\("$"#,##0.0\)</c:formatCode>
                <c:ptCount val="6"/>
                <c:pt idx="0">
                  <c:v>317.67630181747046</c:v>
                </c:pt>
                <c:pt idx="1">
                  <c:v>323.85110276196554</c:v>
                </c:pt>
                <c:pt idx="2">
                  <c:v>330.19856775361598</c:v>
                </c:pt>
                <c:pt idx="3">
                  <c:v>311.66908758374723</c:v>
                </c:pt>
                <c:pt idx="4">
                  <c:v>305.82451845255014</c:v>
                </c:pt>
                <c:pt idx="5">
                  <c:v>300.13778682578993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4-4CA5-A4F0-75D63810F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15304"/>
        <c:axId val="1"/>
      </c:scatterChart>
      <c:valAx>
        <c:axId val="15301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Risk Premium Discount Rate</a:t>
                </a:r>
              </a:p>
            </c:rich>
          </c:tx>
          <c:layout>
            <c:manualLayout>
              <c:xMode val="edge"/>
              <c:yMode val="edge"/>
              <c:x val="0.42882562277580066"/>
              <c:y val="0.937172774869109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Bond Face Value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109947643979057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_);[Red]\(&quot;$&quot;#,##0.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0153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horizontalDpi="300" verticalDpi="300" r:id="rId1"/>
  <headerFooter alignWithMargins="0">
    <oddFooter>&amp;C&amp;"Times New Roman,Bold"&amp;A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horizontalDpi="300" verticalDpi="300" r:id="rId1"/>
  <headerFooter alignWithMargins="0">
    <oddFooter>&amp;C&amp;"Times New Roman,Bold"&amp;A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0" y="0"/>
          <a:ext cx="7825740" cy="3870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CKIE%20EXHIBI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INgroupproject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C"/>
      <sheetName val="Exhibit D"/>
      <sheetName val="Exhibit G - 4.88%"/>
      <sheetName val="Exhibit G - 5.63%"/>
      <sheetName val="facts"/>
      <sheetName val="facts premium"/>
      <sheetName val="attendance"/>
      <sheetName val="elasticity"/>
      <sheetName val="Chart3"/>
      <sheetName val="chart data"/>
    </sheetNames>
    <sheetDataSet>
      <sheetData sheetId="0"/>
      <sheetData sheetId="1"/>
      <sheetData sheetId="2"/>
      <sheetData sheetId="3"/>
      <sheetData sheetId="4"/>
      <sheetData sheetId="5">
        <row r="16">
          <cell r="C16">
            <v>5.7000000000000002E-2</v>
          </cell>
          <cell r="D16">
            <v>5.45E-2</v>
          </cell>
          <cell r="E16">
            <v>5.2000000000000005E-2</v>
          </cell>
          <cell r="F16">
            <v>5.9500000000000004E-2</v>
          </cell>
          <cell r="G16">
            <v>6.2E-2</v>
          </cell>
          <cell r="H16">
            <v>6.4500000000000002E-2</v>
          </cell>
        </row>
      </sheetData>
      <sheetData sheetId="6"/>
      <sheetData sheetId="7"/>
      <sheetData sheetId="8" refreshError="1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s"/>
      <sheetName val="facts premium"/>
      <sheetName val="tax rev"/>
      <sheetName val="cashflow 4.88"/>
      <sheetName val="cashflow 5.63"/>
      <sheetName val="attendance"/>
      <sheetName val="elasticity"/>
      <sheetName val="Chart3"/>
      <sheetName val="chart data"/>
    </sheetNames>
    <sheetDataSet>
      <sheetData sheetId="0">
        <row r="15">
          <cell r="C15">
            <v>5.7000000000000002E-2</v>
          </cell>
        </row>
      </sheetData>
      <sheetData sheetId="1"/>
      <sheetData sheetId="2">
        <row r="23">
          <cell r="C23">
            <v>350472549.33445215</v>
          </cell>
          <cell r="D23">
            <v>358008851.15460515</v>
          </cell>
          <cell r="E23">
            <v>365788328.82535619</v>
          </cell>
          <cell r="F23">
            <v>343170429.28153199</v>
          </cell>
          <cell r="G23">
            <v>336093868.37468278</v>
          </cell>
          <cell r="H23">
            <v>329234598.77765757</v>
          </cell>
        </row>
      </sheetData>
      <sheetData sheetId="3"/>
      <sheetData sheetId="4"/>
      <sheetData sheetId="5">
        <row r="24">
          <cell r="F24">
            <v>548920951.50497246</v>
          </cell>
          <cell r="G24">
            <v>563123670.96936893</v>
          </cell>
          <cell r="H24">
            <v>577837152.91806638</v>
          </cell>
          <cell r="I24">
            <v>535208128.58378118</v>
          </cell>
          <cell r="J24">
            <v>521965284.62777019</v>
          </cell>
          <cell r="K24">
            <v>509173403.72517198</v>
          </cell>
        </row>
      </sheetData>
      <sheetData sheetId="6"/>
      <sheetData sheetId="7" refreshError="1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B29" sqref="B29"/>
    </sheetView>
  </sheetViews>
  <sheetFormatPr defaultColWidth="8" defaultRowHeight="13.2" x14ac:dyDescent="0.25"/>
  <cols>
    <col min="1" max="1" width="2.59765625" style="15" customWidth="1"/>
    <col min="2" max="2" width="11.8984375" style="15" customWidth="1"/>
    <col min="3" max="3" width="8.69921875" style="15" customWidth="1"/>
    <col min="4" max="4" width="13.09765625" style="15" bestFit="1" customWidth="1"/>
    <col min="5" max="5" width="11.19921875" style="15" bestFit="1" customWidth="1"/>
    <col min="6" max="6" width="8.8984375" style="15" bestFit="1" customWidth="1"/>
    <col min="7" max="11" width="8" style="15" customWidth="1"/>
    <col min="12" max="12" width="12.09765625" style="15" bestFit="1" customWidth="1"/>
    <col min="13" max="16384" width="8" style="15"/>
  </cols>
  <sheetData>
    <row r="1" spans="1:12" x14ac:dyDescent="0.25">
      <c r="A1" s="49" t="s">
        <v>25</v>
      </c>
    </row>
    <row r="2" spans="1:12" x14ac:dyDescent="0.25">
      <c r="B2" s="50" t="s">
        <v>26</v>
      </c>
    </row>
    <row r="3" spans="1:12" x14ac:dyDescent="0.25">
      <c r="B3" s="50" t="s">
        <v>27</v>
      </c>
    </row>
    <row r="4" spans="1:12" x14ac:dyDescent="0.25">
      <c r="B4" s="50" t="s">
        <v>28</v>
      </c>
    </row>
    <row r="5" spans="1:12" x14ac:dyDescent="0.25">
      <c r="B5" s="50" t="s">
        <v>29</v>
      </c>
      <c r="D5" s="52">
        <v>363.5</v>
      </c>
    </row>
    <row r="6" spans="1:12" x14ac:dyDescent="0.25">
      <c r="B6" s="51" t="s">
        <v>30</v>
      </c>
      <c r="D6" s="52">
        <f>384-45</f>
        <v>339</v>
      </c>
      <c r="E6" s="15" t="s">
        <v>11</v>
      </c>
      <c r="F6" s="15" t="s">
        <v>12</v>
      </c>
    </row>
    <row r="7" spans="1:12" x14ac:dyDescent="0.25">
      <c r="B7" s="51" t="s">
        <v>31</v>
      </c>
      <c r="D7" s="17">
        <v>30</v>
      </c>
      <c r="E7" s="15" t="s">
        <v>0</v>
      </c>
    </row>
    <row r="8" spans="1:12" x14ac:dyDescent="0.25">
      <c r="B8" s="16"/>
      <c r="C8" s="46"/>
      <c r="E8" s="18"/>
    </row>
    <row r="10" spans="1:12" ht="13.8" thickBot="1" x14ac:dyDescent="0.3">
      <c r="C10" s="47"/>
    </row>
    <row r="11" spans="1:12" x14ac:dyDescent="0.25">
      <c r="B11" s="19"/>
      <c r="C11" s="20"/>
      <c r="D11" s="20"/>
      <c r="E11" s="20"/>
      <c r="F11" s="20"/>
      <c r="G11" s="20"/>
      <c r="H11" s="20"/>
      <c r="I11" s="20"/>
      <c r="J11" s="21"/>
    </row>
    <row r="12" spans="1:12" x14ac:dyDescent="0.25">
      <c r="B12" s="30" t="s">
        <v>21</v>
      </c>
      <c r="C12" s="23"/>
      <c r="D12" s="24">
        <v>5.7000000000000002E-2</v>
      </c>
      <c r="E12" s="25">
        <f>DiscRate-0.0025</f>
        <v>5.45E-2</v>
      </c>
      <c r="F12" s="25">
        <f>DiscRate-0.005</f>
        <v>5.2000000000000005E-2</v>
      </c>
      <c r="G12" s="25">
        <f>DiscRate+0.0025</f>
        <v>5.9500000000000004E-2</v>
      </c>
      <c r="H12" s="25">
        <f>DiscRate+0.005</f>
        <v>6.2E-2</v>
      </c>
      <c r="I12" s="25">
        <f>DiscRate+0.0075</f>
        <v>6.4500000000000002E-2</v>
      </c>
      <c r="J12" s="26"/>
    </row>
    <row r="13" spans="1:12" x14ac:dyDescent="0.25">
      <c r="B13" s="22"/>
      <c r="C13" s="23"/>
      <c r="D13" s="31"/>
      <c r="E13" s="31"/>
      <c r="F13" s="31"/>
      <c r="G13" s="31"/>
      <c r="H13" s="31"/>
      <c r="I13" s="31"/>
      <c r="J13" s="26"/>
    </row>
    <row r="14" spans="1:12" x14ac:dyDescent="0.25">
      <c r="B14" s="30"/>
      <c r="C14" s="23"/>
      <c r="D14" s="31"/>
      <c r="E14" s="31"/>
      <c r="F14" s="31"/>
      <c r="G14" s="31"/>
      <c r="H14" s="31"/>
      <c r="I14" s="31"/>
      <c r="J14" s="26"/>
    </row>
    <row r="15" spans="1:12" x14ac:dyDescent="0.25">
      <c r="B15" s="30" t="s">
        <v>13</v>
      </c>
      <c r="C15" s="23"/>
      <c r="D15" s="31"/>
      <c r="E15" s="31"/>
      <c r="F15" s="31"/>
      <c r="G15" s="31"/>
      <c r="H15" s="31"/>
      <c r="I15" s="31"/>
      <c r="J15" s="26"/>
      <c r="L15" s="48"/>
    </row>
    <row r="16" spans="1:12" x14ac:dyDescent="0.25">
      <c r="B16" s="22"/>
      <c r="C16" s="23" t="s">
        <v>1</v>
      </c>
      <c r="D16" s="53">
        <v>0.6</v>
      </c>
      <c r="E16" s="54">
        <f>$D$16</f>
        <v>0.6</v>
      </c>
      <c r="F16" s="54">
        <f>$D$16</f>
        <v>0.6</v>
      </c>
      <c r="G16" s="54">
        <f>$D$16</f>
        <v>0.6</v>
      </c>
      <c r="H16" s="54">
        <f>$D$16</f>
        <v>0.6</v>
      </c>
      <c r="I16" s="54">
        <f>$D$16</f>
        <v>0.6</v>
      </c>
      <c r="J16" s="26"/>
      <c r="L16" s="48"/>
    </row>
    <row r="17" spans="2:11" x14ac:dyDescent="0.25">
      <c r="B17" s="22"/>
      <c r="C17" s="23" t="s">
        <v>2</v>
      </c>
      <c r="D17" s="55">
        <f>D16/POWER(1+DiscRate,21.5)</f>
        <v>0.18219607769457363</v>
      </c>
      <c r="E17" s="55">
        <f>E16/POWER(1+discrate2,21.5)</f>
        <v>0.19171217429998044</v>
      </c>
      <c r="F17" s="55">
        <f>F16/POWER(1+DiscRate3,21.5)</f>
        <v>0.20174967523974519</v>
      </c>
      <c r="G17" s="55">
        <f>G16/POWER(1+DiscRate4,21.5)</f>
        <v>0.17317316239680131</v>
      </c>
      <c r="H17" s="55">
        <f>H16/POWER(1+DiscRate5,21.5)</f>
        <v>0.16461679439370253</v>
      </c>
      <c r="I17" s="55">
        <f>I16/POWER(1+DiscRate6,21.5)</f>
        <v>0.15650183578407795</v>
      </c>
      <c r="J17" s="26"/>
    </row>
    <row r="18" spans="2:11" x14ac:dyDescent="0.25">
      <c r="B18" s="22"/>
      <c r="C18" s="23"/>
      <c r="D18" s="23"/>
      <c r="E18" s="23"/>
      <c r="F18" s="23"/>
      <c r="G18" s="23"/>
      <c r="H18" s="23"/>
      <c r="I18" s="23"/>
      <c r="J18" s="26"/>
    </row>
    <row r="19" spans="2:11" x14ac:dyDescent="0.25">
      <c r="B19" s="22" t="s">
        <v>14</v>
      </c>
      <c r="C19" s="23"/>
      <c r="D19" s="29"/>
      <c r="E19" s="23"/>
      <c r="F19" s="23"/>
      <c r="G19" s="23"/>
      <c r="H19" s="23"/>
      <c r="I19" s="23"/>
      <c r="J19" s="26"/>
    </row>
    <row r="20" spans="2:11" x14ac:dyDescent="0.25">
      <c r="B20" s="22"/>
      <c r="C20" s="33" t="s">
        <v>15</v>
      </c>
      <c r="D20" s="57">
        <f>D6</f>
        <v>339</v>
      </c>
      <c r="E20" s="23"/>
      <c r="F20" s="23"/>
      <c r="G20" s="23"/>
      <c r="H20" s="23"/>
      <c r="I20" s="23"/>
      <c r="J20" s="26"/>
      <c r="K20" s="18"/>
    </row>
    <row r="21" spans="2:11" x14ac:dyDescent="0.25">
      <c r="B21" s="34"/>
      <c r="C21" s="35" t="s">
        <v>23</v>
      </c>
      <c r="D21" s="57">
        <f>-PV(DiscRate/12,$D$7,$D$6/$D$7,,0)</f>
        <v>315.25770951618858</v>
      </c>
      <c r="E21" s="57">
        <f>-PV(discrate2/12,$D$7,$D$6/$D$7,,0)</f>
        <v>316.24988580612813</v>
      </c>
      <c r="F21" s="57">
        <f>-PV(DiscRate3/12,$D$7,$D$6/$D$7,,0)</f>
        <v>317.24641283525335</v>
      </c>
      <c r="G21" s="57">
        <f>-PV(DiscRate4/12,$D$7,$D$6/$D$7,,0)</f>
        <v>314.26986184396009</v>
      </c>
      <c r="H21" s="57">
        <f>-PV(DiscRate5/12,$D$7,$D$6/$D$7,,0)</f>
        <v>313.28632079181853</v>
      </c>
      <c r="I21" s="57">
        <f>-PV(DiscRate6/12,$D$7,$D$6/$D$7,,0)</f>
        <v>312.30706448521232</v>
      </c>
      <c r="J21" s="26"/>
      <c r="K21" s="18"/>
    </row>
    <row r="22" spans="2:11" x14ac:dyDescent="0.25">
      <c r="B22" s="22"/>
      <c r="C22" s="23"/>
      <c r="D22" s="23"/>
      <c r="E22" s="23"/>
      <c r="F22" s="23"/>
      <c r="G22" s="23"/>
      <c r="H22" s="23"/>
      <c r="I22" s="23"/>
      <c r="J22" s="26"/>
      <c r="K22" s="37"/>
    </row>
    <row r="23" spans="2:11" x14ac:dyDescent="0.25">
      <c r="B23" s="22" t="s">
        <v>17</v>
      </c>
      <c r="C23" s="23"/>
      <c r="D23" s="23"/>
      <c r="E23" s="23"/>
      <c r="F23" s="23"/>
      <c r="G23" s="23"/>
      <c r="H23" s="23"/>
      <c r="I23" s="23"/>
      <c r="J23" s="26"/>
      <c r="K23" s="37"/>
    </row>
    <row r="24" spans="2:11" x14ac:dyDescent="0.25">
      <c r="B24" s="22"/>
      <c r="C24" s="23" t="s">
        <v>18</v>
      </c>
      <c r="D24" s="23"/>
      <c r="E24" s="23"/>
      <c r="F24" s="23"/>
      <c r="G24" s="23"/>
      <c r="H24" s="23"/>
      <c r="I24" s="23"/>
      <c r="J24" s="26"/>
    </row>
    <row r="25" spans="2:11" x14ac:dyDescent="0.25">
      <c r="B25" s="22"/>
      <c r="C25" s="23" t="s">
        <v>24</v>
      </c>
      <c r="D25" s="57">
        <f>PV(DiscRate/2,40,-0.35)</f>
        <v>8.2899809681197976</v>
      </c>
      <c r="E25" s="57">
        <f>PV(discrate2/2,40,-0.35)</f>
        <v>8.4622065361324541</v>
      </c>
      <c r="F25" s="57">
        <f>PV(DiscRate3/2,40,-0.35)</f>
        <v>8.639837576544652</v>
      </c>
      <c r="G25" s="57">
        <f>PV(DiscRate4/2,40,-0.35)</f>
        <v>8.1229649365232568</v>
      </c>
      <c r="H25" s="57">
        <f>PV(DiscRate5/2,40,-0.35)</f>
        <v>7.9609703870645534</v>
      </c>
      <c r="I25" s="57">
        <f>PV(DiscRate6/2,40,-0.35)</f>
        <v>7.8038168063325388</v>
      </c>
      <c r="J25" s="26"/>
    </row>
    <row r="26" spans="2:11" x14ac:dyDescent="0.25">
      <c r="B26" s="22"/>
      <c r="C26" s="40" t="s">
        <v>2</v>
      </c>
      <c r="D26" s="57">
        <f>D25/POWER(1+DiscRate,20/12)</f>
        <v>7.5583770803453607</v>
      </c>
      <c r="E26" s="57">
        <f>E25/POWER(1+discrate2,20/12)</f>
        <v>7.7459135822122001</v>
      </c>
      <c r="F26" s="57">
        <f>F25/POWER(1+DiscRate3,20/12)</f>
        <v>7.9398569582977583</v>
      </c>
      <c r="G26" s="57">
        <f>G25/POWER(1+DiscRate4,20/12)</f>
        <v>7.3769976224887239</v>
      </c>
      <c r="H26" s="57">
        <f>H25/POWER(1+DiscRate5,20/12)</f>
        <v>7.2015361851721762</v>
      </c>
      <c r="I26" s="57">
        <f>I25/POWER(1+DiscRate6,20/12)</f>
        <v>7.0317640488596904</v>
      </c>
      <c r="J26" s="26"/>
    </row>
    <row r="27" spans="2:11" x14ac:dyDescent="0.25">
      <c r="B27" s="22"/>
      <c r="C27" s="40"/>
      <c r="D27" s="32"/>
      <c r="E27" s="41"/>
      <c r="F27" s="32"/>
      <c r="G27" s="41"/>
      <c r="H27" s="41"/>
      <c r="I27" s="41"/>
      <c r="J27" s="26"/>
    </row>
    <row r="28" spans="2:11" x14ac:dyDescent="0.25">
      <c r="B28" s="30" t="s">
        <v>20</v>
      </c>
      <c r="C28" s="23"/>
      <c r="D28" s="45">
        <f t="shared" ref="D28:I28" si="0">D17+D26-D21</f>
        <v>-307.51713635814866</v>
      </c>
      <c r="E28" s="45">
        <f t="shared" si="0"/>
        <v>-308.31226004961593</v>
      </c>
      <c r="F28" s="45">
        <f t="shared" si="0"/>
        <v>-309.10480620171586</v>
      </c>
      <c r="G28" s="45">
        <f t="shared" si="0"/>
        <v>-306.71969105907453</v>
      </c>
      <c r="H28" s="45">
        <f t="shared" si="0"/>
        <v>-305.92016781225266</v>
      </c>
      <c r="I28" s="45">
        <f t="shared" si="0"/>
        <v>-305.11879860056854</v>
      </c>
      <c r="J28" s="26"/>
    </row>
    <row r="29" spans="2:11" x14ac:dyDescent="0.25">
      <c r="B29" s="22"/>
      <c r="C29" s="23"/>
      <c r="D29" s="23"/>
      <c r="E29" s="23"/>
      <c r="F29" s="23"/>
      <c r="G29" s="23"/>
      <c r="H29" s="23"/>
      <c r="I29" s="23"/>
      <c r="J29" s="26"/>
    </row>
    <row r="30" spans="2:11" x14ac:dyDescent="0.25">
      <c r="B30" s="22"/>
      <c r="C30" s="23"/>
      <c r="D30" s="23"/>
      <c r="E30" s="23"/>
      <c r="F30" s="23"/>
      <c r="G30" s="23"/>
      <c r="H30" s="23"/>
      <c r="I30" s="23"/>
      <c r="J30" s="26"/>
    </row>
    <row r="31" spans="2:11" ht="13.8" thickBot="1" x14ac:dyDescent="0.3">
      <c r="B31" s="42"/>
      <c r="C31" s="43"/>
      <c r="D31" s="43"/>
      <c r="E31" s="43"/>
      <c r="F31" s="43"/>
      <c r="G31" s="43"/>
      <c r="H31" s="43"/>
      <c r="I31" s="43"/>
      <c r="J31" s="44"/>
    </row>
  </sheetData>
  <phoneticPr fontId="5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B23" sqref="B23"/>
    </sheetView>
  </sheetViews>
  <sheetFormatPr defaultColWidth="8" defaultRowHeight="13.2" x14ac:dyDescent="0.25"/>
  <cols>
    <col min="1" max="1" width="9" style="15" customWidth="1"/>
    <col min="2" max="2" width="11.8984375" style="15" customWidth="1"/>
    <col min="3" max="3" width="9.5" style="15" customWidth="1"/>
    <col min="4" max="4" width="13.3984375" style="15" bestFit="1" customWidth="1"/>
    <col min="5" max="5" width="11.5" style="15" bestFit="1" customWidth="1"/>
    <col min="6" max="9" width="9.19921875" style="15" bestFit="1" customWidth="1"/>
    <col min="10" max="16384" width="8" style="15"/>
  </cols>
  <sheetData>
    <row r="1" spans="1:10" x14ac:dyDescent="0.25">
      <c r="A1" s="49" t="s">
        <v>25</v>
      </c>
    </row>
    <row r="2" spans="1:10" x14ac:dyDescent="0.25">
      <c r="B2" s="50" t="s">
        <v>26</v>
      </c>
    </row>
    <row r="3" spans="1:10" x14ac:dyDescent="0.25">
      <c r="B3" s="50" t="s">
        <v>27</v>
      </c>
    </row>
    <row r="4" spans="1:10" x14ac:dyDescent="0.25">
      <c r="B4" s="50" t="s">
        <v>28</v>
      </c>
    </row>
    <row r="5" spans="1:10" x14ac:dyDescent="0.25">
      <c r="B5" s="50" t="s">
        <v>29</v>
      </c>
      <c r="D5" s="52">
        <v>363.5</v>
      </c>
    </row>
    <row r="6" spans="1:10" x14ac:dyDescent="0.25">
      <c r="B6" s="51" t="s">
        <v>30</v>
      </c>
      <c r="D6" s="52">
        <f>384-45</f>
        <v>339</v>
      </c>
      <c r="E6" s="15" t="s">
        <v>11</v>
      </c>
      <c r="F6" s="15" t="s">
        <v>12</v>
      </c>
    </row>
    <row r="7" spans="1:10" x14ac:dyDescent="0.25">
      <c r="B7" s="51" t="s">
        <v>31</v>
      </c>
      <c r="D7" s="17">
        <v>30</v>
      </c>
      <c r="E7" s="15" t="s">
        <v>0</v>
      </c>
    </row>
    <row r="8" spans="1:10" x14ac:dyDescent="0.25">
      <c r="B8" s="51" t="s">
        <v>32</v>
      </c>
      <c r="D8" s="52">
        <f>D6/D7</f>
        <v>11.3</v>
      </c>
    </row>
    <row r="9" spans="1:10" x14ac:dyDescent="0.25">
      <c r="B9" s="51"/>
      <c r="D9" s="52"/>
    </row>
    <row r="10" spans="1:10" x14ac:dyDescent="0.25">
      <c r="B10" s="51"/>
      <c r="D10" s="52"/>
    </row>
    <row r="11" spans="1:10" ht="13.8" thickBot="1" x14ac:dyDescent="0.3"/>
    <row r="12" spans="1:10" x14ac:dyDescent="0.25">
      <c r="B12" s="19"/>
      <c r="C12" s="20"/>
      <c r="D12" s="20"/>
      <c r="E12" s="20"/>
      <c r="F12" s="20"/>
      <c r="G12" s="20"/>
      <c r="H12" s="20"/>
      <c r="I12" s="20"/>
      <c r="J12" s="21"/>
    </row>
    <row r="13" spans="1:10" x14ac:dyDescent="0.25">
      <c r="B13" s="56" t="s">
        <v>33</v>
      </c>
      <c r="C13" s="23"/>
      <c r="D13" s="24">
        <v>4.8800000000000003E-2</v>
      </c>
      <c r="E13" s="25">
        <f>DiscRate-0.0025</f>
        <v>4.6300000000000001E-2</v>
      </c>
      <c r="F13" s="25">
        <f>DiscRate-0.005</f>
        <v>4.3800000000000006E-2</v>
      </c>
      <c r="G13" s="25">
        <f>DiscRate+0.0025</f>
        <v>5.1300000000000005E-2</v>
      </c>
      <c r="H13" s="25">
        <f>DiscRate+0.005</f>
        <v>5.3800000000000001E-2</v>
      </c>
      <c r="I13" s="25">
        <f>DiscRate+0.0075</f>
        <v>5.6300000000000003E-2</v>
      </c>
      <c r="J13" s="26"/>
    </row>
    <row r="14" spans="1:10" x14ac:dyDescent="0.25">
      <c r="B14" s="56" t="s">
        <v>21</v>
      </c>
      <c r="C14" s="23"/>
      <c r="D14" s="27">
        <v>5.7000000000000002E-2</v>
      </c>
      <c r="E14" s="28">
        <f>discrate2+($D$14-DiscRate)</f>
        <v>5.45E-2</v>
      </c>
      <c r="F14" s="28">
        <f>DiscRate3+($D$14-DiscRate)</f>
        <v>5.2000000000000005E-2</v>
      </c>
      <c r="G14" s="28">
        <f>DiscRate4+($D$14-DiscRate)</f>
        <v>5.9500000000000004E-2</v>
      </c>
      <c r="H14" s="28">
        <f>DiscRate5+($D$14-DiscRate)</f>
        <v>6.2E-2</v>
      </c>
      <c r="I14" s="28">
        <f>DiscRate6+($D$14-DiscRate)</f>
        <v>6.4500000000000002E-2</v>
      </c>
      <c r="J14" s="26"/>
    </row>
    <row r="15" spans="1:10" x14ac:dyDescent="0.25">
      <c r="B15" s="22"/>
      <c r="C15" s="23"/>
      <c r="D15" s="29"/>
      <c r="E15" s="23"/>
      <c r="F15" s="23"/>
      <c r="G15" s="23"/>
      <c r="H15" s="23"/>
      <c r="I15" s="23"/>
      <c r="J15" s="26"/>
    </row>
    <row r="16" spans="1:10" x14ac:dyDescent="0.25">
      <c r="B16" s="30" t="s">
        <v>13</v>
      </c>
      <c r="C16" s="23"/>
      <c r="D16" s="31"/>
      <c r="E16" s="31"/>
      <c r="F16" s="31"/>
      <c r="G16" s="31"/>
      <c r="H16" s="31"/>
      <c r="I16" s="31"/>
      <c r="J16" s="26"/>
    </row>
    <row r="17" spans="2:11" x14ac:dyDescent="0.25">
      <c r="B17" s="22"/>
      <c r="C17" s="23" t="s">
        <v>1</v>
      </c>
      <c r="D17" s="53">
        <v>0.6</v>
      </c>
      <c r="E17" s="54">
        <f>$D$17</f>
        <v>0.6</v>
      </c>
      <c r="F17" s="54">
        <f>$D$17</f>
        <v>0.6</v>
      </c>
      <c r="G17" s="54">
        <f>$D$17</f>
        <v>0.6</v>
      </c>
      <c r="H17" s="54">
        <f>$D$17</f>
        <v>0.6</v>
      </c>
      <c r="I17" s="54">
        <f>$D$17</f>
        <v>0.6</v>
      </c>
      <c r="J17" s="26"/>
    </row>
    <row r="18" spans="2:11" x14ac:dyDescent="0.25">
      <c r="B18" s="22"/>
      <c r="C18" s="23" t="s">
        <v>2</v>
      </c>
      <c r="D18" s="53">
        <f>D17/POWER(1+DiscRate,21.5)</f>
        <v>0.21540642783562447</v>
      </c>
      <c r="E18" s="54">
        <f>E17/POWER(1+discrate2,21.5)</f>
        <v>0.22674744703982064</v>
      </c>
      <c r="F18" s="54">
        <f>F17/POWER(1+DiscRate3,21.5)</f>
        <v>0.23871486359256694</v>
      </c>
      <c r="G18" s="54">
        <f>G17/POWER(1+DiscRate4,21.5)</f>
        <v>0.20465764175019699</v>
      </c>
      <c r="H18" s="54">
        <f>H17/POWER(1+DiscRate5,21.5)</f>
        <v>0.19446886267447069</v>
      </c>
      <c r="I18" s="54">
        <f>I17/POWER(1+DiscRate6,21.5)</f>
        <v>0.18480968844912118</v>
      </c>
      <c r="J18" s="26"/>
    </row>
    <row r="19" spans="2:11" x14ac:dyDescent="0.25">
      <c r="B19" s="22"/>
      <c r="C19" s="23"/>
      <c r="D19" s="32"/>
      <c r="E19" s="32"/>
      <c r="F19" s="32"/>
      <c r="G19" s="32"/>
      <c r="H19" s="32"/>
      <c r="I19" s="32"/>
      <c r="J19" s="26"/>
    </row>
    <row r="20" spans="2:11" x14ac:dyDescent="0.25">
      <c r="B20" s="22" t="s">
        <v>14</v>
      </c>
      <c r="C20" s="23"/>
      <c r="D20" s="23"/>
      <c r="E20" s="23"/>
      <c r="F20" s="23"/>
      <c r="G20" s="23"/>
      <c r="H20" s="23"/>
      <c r="I20" s="23"/>
      <c r="J20" s="26"/>
    </row>
    <row r="21" spans="2:11" x14ac:dyDescent="0.25">
      <c r="B21" s="22"/>
      <c r="C21" s="33" t="s">
        <v>15</v>
      </c>
      <c r="D21" s="52">
        <v>339</v>
      </c>
      <c r="E21" s="23"/>
      <c r="F21" s="23"/>
      <c r="G21" s="23"/>
      <c r="H21" s="23"/>
      <c r="I21" s="23"/>
      <c r="J21" s="26"/>
      <c r="K21" s="18"/>
    </row>
    <row r="22" spans="2:11" x14ac:dyDescent="0.25">
      <c r="B22" s="34"/>
      <c r="C22" s="35" t="s">
        <v>23</v>
      </c>
      <c r="D22" s="52">
        <f>-PV(DiscRate/12,$D$7,$D$6/$D$7,,0)</f>
        <v>318.52835153629991</v>
      </c>
      <c r="E22" s="52">
        <f>-PV(discrate2/12,$D$7,$D$6/$D$7,,0)</f>
        <v>319.53488163322675</v>
      </c>
      <c r="F22" s="52">
        <f>-PV(DiscRate3/12,$D$7,$D$6/$D$7,,0)</f>
        <v>320.54583590625344</v>
      </c>
      <c r="G22" s="52">
        <f>-PV(DiscRate4/12,$D$7,$D$6/$D$7,,0)</f>
        <v>317.52622308253854</v>
      </c>
      <c r="H22" s="52">
        <f>-PV(DiscRate5/12,$D$7,$D$6/$D$7,,0)</f>
        <v>316.52847386532915</v>
      </c>
      <c r="I22" s="52">
        <f>-PV(DiscRate6/12,$D$7,$D$6/$D$7,,0)</f>
        <v>315.53508160360451</v>
      </c>
      <c r="J22" s="26"/>
      <c r="K22" s="18"/>
    </row>
    <row r="23" spans="2:11" x14ac:dyDescent="0.25">
      <c r="B23" s="34"/>
      <c r="C23" s="35"/>
      <c r="D23" s="29"/>
      <c r="E23" s="29"/>
      <c r="F23" s="29"/>
      <c r="G23" s="29"/>
      <c r="H23" s="29"/>
      <c r="I23" s="29"/>
      <c r="J23" s="26"/>
      <c r="K23" s="18"/>
    </row>
    <row r="24" spans="2:11" x14ac:dyDescent="0.25">
      <c r="B24" s="36" t="s">
        <v>22</v>
      </c>
      <c r="C24" s="35"/>
      <c r="D24" s="29"/>
      <c r="E24" s="29"/>
      <c r="F24" s="29"/>
      <c r="G24" s="29"/>
      <c r="H24" s="29"/>
      <c r="I24" s="29"/>
      <c r="J24" s="26"/>
      <c r="K24" s="18"/>
    </row>
    <row r="25" spans="2:11" x14ac:dyDescent="0.25">
      <c r="B25" s="36" t="s">
        <v>8</v>
      </c>
      <c r="C25" s="35"/>
      <c r="D25" s="52">
        <f>'[2]tax rev'!C23/1000000</f>
        <v>350.47254933445214</v>
      </c>
      <c r="E25" s="52">
        <f>'[2]tax rev'!D23/1000000</f>
        <v>358.00885115460517</v>
      </c>
      <c r="F25" s="52">
        <f>'[2]tax rev'!E23/1000000</f>
        <v>365.78832882535619</v>
      </c>
      <c r="G25" s="52">
        <f>'[2]tax rev'!F23/1000000</f>
        <v>343.17042928153199</v>
      </c>
      <c r="H25" s="52">
        <f>'[2]tax rev'!G23/1000000</f>
        <v>336.09386837468276</v>
      </c>
      <c r="I25" s="52">
        <f>'[2]tax rev'!H23/1000000</f>
        <v>329.2345987776576</v>
      </c>
      <c r="J25" s="26"/>
      <c r="K25" s="18"/>
    </row>
    <row r="26" spans="2:11" x14ac:dyDescent="0.25">
      <c r="B26" s="22" t="s">
        <v>16</v>
      </c>
      <c r="C26" s="29"/>
      <c r="D26" s="52">
        <f>('[2]tax rev'!C23/(D14/DiscRate*(1-POWER(1+DiscRate,-20))+POWER(1+DiscRate,-20)))/1000000</f>
        <v>317.67630181747052</v>
      </c>
      <c r="E26" s="52">
        <f>('[2]tax rev'!D23/(E14/discrate2*(1-POWER(1+discrate2,-20))+POWER(1+discrate2,-20)))/1000000</f>
        <v>323.85110276196554</v>
      </c>
      <c r="F26" s="52">
        <f>('[2]tax rev'!E23/(F14/DiscRate3*(1-POWER(1+DiscRate3,-20))+POWER(1+DiscRate3,-20)))/1000000</f>
        <v>330.19856775361598</v>
      </c>
      <c r="G26" s="52">
        <f>('[2]tax rev'!F23/(G14/DiscRate4*(1-POWER(1+DiscRate4,-20))+POWER(1+DiscRate4,-20)))/1000000</f>
        <v>311.66908758374728</v>
      </c>
      <c r="H26" s="52">
        <f>('[2]tax rev'!G23/(H14/DiscRate5*(1-POWER(1+DiscRate5,-20))+POWER(1+DiscRate5,-20)))/1000000</f>
        <v>305.82451845255019</v>
      </c>
      <c r="I26" s="52">
        <f>('[2]tax rev'!H23/(I14/DiscRate6*(1-POWER(1+DiscRate6,-20))+POWER(1+DiscRate6,-20)))/1000000</f>
        <v>300.13778682578987</v>
      </c>
      <c r="J26" s="26"/>
      <c r="K26" s="18"/>
    </row>
    <row r="27" spans="2:11" x14ac:dyDescent="0.25">
      <c r="B27" s="22"/>
      <c r="C27" s="23"/>
      <c r="D27" s="32"/>
      <c r="E27" s="23"/>
      <c r="F27" s="23"/>
      <c r="G27" s="23"/>
      <c r="H27" s="23"/>
      <c r="I27" s="23"/>
      <c r="J27" s="26"/>
      <c r="K27" s="37"/>
    </row>
    <row r="28" spans="2:11" x14ac:dyDescent="0.25">
      <c r="B28" s="22" t="s">
        <v>17</v>
      </c>
      <c r="C28" s="23"/>
      <c r="D28" s="23"/>
      <c r="E28" s="23"/>
      <c r="F28" s="23"/>
      <c r="G28" s="23"/>
      <c r="H28" s="23"/>
      <c r="I28" s="23"/>
      <c r="J28" s="26"/>
      <c r="K28" s="37"/>
    </row>
    <row r="29" spans="2:11" x14ac:dyDescent="0.25">
      <c r="B29" s="22"/>
      <c r="C29" s="23" t="s">
        <v>18</v>
      </c>
      <c r="D29" s="38"/>
      <c r="E29" s="39"/>
      <c r="F29" s="39"/>
      <c r="G29" s="39"/>
      <c r="H29" s="39"/>
      <c r="I29" s="39"/>
      <c r="J29" s="26"/>
    </row>
    <row r="30" spans="2:11" x14ac:dyDescent="0.25">
      <c r="B30" s="22"/>
      <c r="C30" s="40" t="s">
        <v>19</v>
      </c>
      <c r="D30" s="52">
        <f>PV(DiscRate/2,40,-0.35)</f>
        <v>8.875419668267579</v>
      </c>
      <c r="E30" s="52">
        <f>PV(discrate2/2,40,-0.35)</f>
        <v>9.0661524216024354</v>
      </c>
      <c r="F30" s="52">
        <f>PV(DiscRate3/2,40,-0.35)</f>
        <v>9.2629931760068427</v>
      </c>
      <c r="G30" s="52">
        <f>PV(DiscRate4/2,40,-0.35)</f>
        <v>8.6905705275883172</v>
      </c>
      <c r="H30" s="52">
        <f>PV(DiscRate5/2,40,-0.35)</f>
        <v>8.5113897301320609</v>
      </c>
      <c r="I30" s="52">
        <f>PV(DiscRate6/2,40,-0.35)</f>
        <v>8.3376707277859321</v>
      </c>
      <c r="J30" s="26"/>
    </row>
    <row r="31" spans="2:11" x14ac:dyDescent="0.25">
      <c r="B31" s="30"/>
      <c r="C31" s="40" t="s">
        <v>2</v>
      </c>
      <c r="D31" s="52">
        <f>D30/POWER(1+DiscRate,20/12)</f>
        <v>8.1978713712285067</v>
      </c>
      <c r="E31" s="52">
        <f>E30/POWER(1+discrate2,20/12)</f>
        <v>8.407418009164715</v>
      </c>
      <c r="F31" s="52">
        <f>F30/POWER(1+DiscRate3,20/12)</f>
        <v>8.6242735492764666</v>
      </c>
      <c r="G31" s="52">
        <f>G30/POWER(1+DiscRate4,20/12)</f>
        <v>7.9953444974546324</v>
      </c>
      <c r="H31" s="52">
        <f>H30/POWER(1+DiscRate5,20/12)</f>
        <v>7.7995608965936816</v>
      </c>
      <c r="I31" s="52">
        <f>I30/POWER(1+DiscRate6,20/12)</f>
        <v>7.6102561303459213</v>
      </c>
      <c r="J31" s="26"/>
    </row>
    <row r="32" spans="2:11" x14ac:dyDescent="0.25">
      <c r="B32" s="30"/>
      <c r="C32" s="23"/>
      <c r="D32" s="23"/>
      <c r="E32" s="23"/>
      <c r="F32" s="23"/>
      <c r="G32" s="23"/>
      <c r="H32" s="23"/>
      <c r="I32" s="23"/>
      <c r="J32" s="26"/>
    </row>
    <row r="33" spans="2:10" x14ac:dyDescent="0.25">
      <c r="B33" s="30" t="s">
        <v>20</v>
      </c>
      <c r="C33" s="23"/>
      <c r="D33" s="52">
        <f t="shared" ref="D33:I33" si="0">D18+D31+D26-D22</f>
        <v>7.5612280802347414</v>
      </c>
      <c r="E33" s="52">
        <f t="shared" si="0"/>
        <v>12.950386584943317</v>
      </c>
      <c r="F33" s="52">
        <f t="shared" si="0"/>
        <v>18.515720260231546</v>
      </c>
      <c r="G33" s="52">
        <f t="shared" si="0"/>
        <v>2.3428666404136038</v>
      </c>
      <c r="H33" s="52">
        <f t="shared" si="0"/>
        <v>-2.7099256535108225</v>
      </c>
      <c r="I33" s="52">
        <f t="shared" si="0"/>
        <v>-7.6022289590196124</v>
      </c>
      <c r="J33" s="26"/>
    </row>
    <row r="34" spans="2:10" x14ac:dyDescent="0.25">
      <c r="B34" s="30"/>
      <c r="C34" s="23"/>
      <c r="D34" s="32"/>
      <c r="E34" s="32"/>
      <c r="F34" s="32"/>
      <c r="G34" s="32"/>
      <c r="H34" s="32"/>
      <c r="I34" s="32"/>
      <c r="J34" s="26"/>
    </row>
    <row r="35" spans="2:10" ht="13.8" thickBot="1" x14ac:dyDescent="0.3">
      <c r="B35" s="42"/>
      <c r="C35" s="43"/>
      <c r="D35" s="43"/>
      <c r="E35" s="43"/>
      <c r="F35" s="43"/>
      <c r="G35" s="43"/>
      <c r="H35" s="43"/>
      <c r="I35" s="43"/>
      <c r="J35" s="44"/>
    </row>
  </sheetData>
  <phoneticPr fontId="5" type="noConversion"/>
  <pageMargins left="0.75" right="0.75" top="1" bottom="1" header="0.5" footer="0.5"/>
  <pageSetup orientation="landscape" r:id="rId1"/>
  <headerFooter alignWithMargins="0">
    <oddFooter>&amp;C&amp;A</oddFooter>
  </headerFooter>
  <rowBreaks count="1" manualBreakCount="1">
    <brk id="3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B23" sqref="B23"/>
    </sheetView>
  </sheetViews>
  <sheetFormatPr defaultColWidth="8" defaultRowHeight="13.2" x14ac:dyDescent="0.25"/>
  <cols>
    <col min="1" max="1" width="8" style="4" customWidth="1"/>
    <col min="2" max="2" width="15.5" style="4" customWidth="1"/>
    <col min="3" max="8" width="13.19921875" style="4" bestFit="1" customWidth="1"/>
    <col min="9" max="16384" width="8" style="4"/>
  </cols>
  <sheetData>
    <row r="1" spans="1:8" x14ac:dyDescent="0.25">
      <c r="A1" s="2"/>
      <c r="B1" s="2"/>
      <c r="C1" s="58" t="s">
        <v>3</v>
      </c>
      <c r="D1" s="58"/>
      <c r="E1" s="58"/>
      <c r="F1" s="58"/>
      <c r="G1" s="58"/>
      <c r="H1" s="58"/>
    </row>
    <row r="2" spans="1:8" ht="13.8" thickBot="1" x14ac:dyDescent="0.3">
      <c r="A2" s="5" t="s">
        <v>4</v>
      </c>
      <c r="B2" s="6" t="s">
        <v>5</v>
      </c>
      <c r="C2" s="7">
        <f>'[1]facts premium'!C16</f>
        <v>5.7000000000000002E-2</v>
      </c>
      <c r="D2" s="7">
        <f>'[1]facts premium'!D16</f>
        <v>5.45E-2</v>
      </c>
      <c r="E2" s="7">
        <f>'[1]facts premium'!E16</f>
        <v>5.2000000000000005E-2</v>
      </c>
      <c r="F2" s="7">
        <f>'[1]facts premium'!F16</f>
        <v>5.9500000000000004E-2</v>
      </c>
      <c r="G2" s="7">
        <f>'[1]facts premium'!G16</f>
        <v>6.2E-2</v>
      </c>
      <c r="H2" s="7">
        <f>'[1]facts premium'!H16</f>
        <v>6.4500000000000002E-2</v>
      </c>
    </row>
    <row r="3" spans="1:8" ht="13.8" thickTop="1" x14ac:dyDescent="0.25">
      <c r="A3" s="3">
        <v>1996</v>
      </c>
      <c r="B3" s="8">
        <v>4602104</v>
      </c>
      <c r="C3" s="8">
        <f>$B3/(POWER(1+'[1]facts premium'!C$16,($A3-1996.5)))</f>
        <v>4731446.3768222621</v>
      </c>
      <c r="D3" s="8">
        <f>$B3/(POWER(1+'[1]facts premium'!D$16,($A3-1996.5)))</f>
        <v>4725847.6926026167</v>
      </c>
      <c r="E3" s="8">
        <f>$B3/(POWER(1+'[1]facts premium'!E$16,($A3-1996.5)))</f>
        <v>4720242.367782658</v>
      </c>
      <c r="F3" s="8">
        <f>$B3/(POWER(1+'[1]facts premium'!F$16,($A3-1996.5)))</f>
        <v>4737038.4439870818</v>
      </c>
      <c r="G3" s="8">
        <f>$B3/(POWER(1+'[1]facts premium'!G$16,($A3-1996.5)))</f>
        <v>4742623.9175037481</v>
      </c>
      <c r="H3" s="8">
        <f>$B3/(POWER(1+'[1]facts premium'!H$16,($A3-1996.5)))</f>
        <v>4748202.8206412625</v>
      </c>
    </row>
    <row r="4" spans="1:8" x14ac:dyDescent="0.25">
      <c r="A4" s="3">
        <v>1997</v>
      </c>
      <c r="B4" s="8">
        <v>19893231</v>
      </c>
      <c r="C4" s="8">
        <f>$B4/(POWER(1+'[1]facts premium'!C$16,($A4-1996.5)))</f>
        <v>19349414.67507688</v>
      </c>
      <c r="D4" s="8">
        <f>$B4/(POWER(1+'[1]facts premium'!D$16,($A4-1996.5)))</f>
        <v>19372337.813875936</v>
      </c>
      <c r="E4" s="8">
        <f>$B4/(POWER(1+'[1]facts premium'!E$16,($A4-1996.5)))</f>
        <v>19395342.616915267</v>
      </c>
      <c r="F4" s="8">
        <f>$B4/(POWER(1+'[1]facts premium'!F$16,($A4-1996.5)))</f>
        <v>19326572.718495265</v>
      </c>
      <c r="G4" s="8">
        <f>$B4/(POWER(1+'[1]facts premium'!G$16,($A4-1996.5)))</f>
        <v>19303811.466082089</v>
      </c>
      <c r="H4" s="8">
        <f>$B4/(POWER(1+'[1]facts premium'!H$16,($A4-1996.5)))</f>
        <v>19281130.443720125</v>
      </c>
    </row>
    <row r="5" spans="1:8" x14ac:dyDescent="0.25">
      <c r="A5" s="3">
        <v>1998</v>
      </c>
      <c r="B5" s="8">
        <v>20428789</v>
      </c>
      <c r="C5" s="8">
        <f>$B5/(POWER(1+'[1]facts premium'!C$16,($A5-1996.5)))</f>
        <v>18798800.623253863</v>
      </c>
      <c r="D5" s="8">
        <f>$B5/(POWER(1+'[1]facts premium'!D$16,($A5-1996.5)))</f>
        <v>18865692.295499239</v>
      </c>
      <c r="E5" s="8">
        <f>$B5/(POWER(1+'[1]facts premium'!E$16,($A5-1996.5)))</f>
        <v>18932981.611409176</v>
      </c>
      <c r="F5" s="8">
        <f>$B5/(POWER(1+'[1]facts premium'!F$16,($A5-1996.5)))</f>
        <v>18732303.312627606</v>
      </c>
      <c r="G5" s="8">
        <f>$B5/(POWER(1+'[1]facts premium'!G$16,($A5-1996.5)))</f>
        <v>18666197.116321977</v>
      </c>
      <c r="H5" s="8">
        <f>$B5/(POWER(1+'[1]facts premium'!H$16,($A5-1996.5)))</f>
        <v>18600478.821336843</v>
      </c>
    </row>
    <row r="6" spans="1:8" x14ac:dyDescent="0.25">
      <c r="A6" s="3">
        <v>1999</v>
      </c>
      <c r="B6" s="8">
        <v>24715328</v>
      </c>
      <c r="C6" s="8">
        <f>$B6/(POWER(1+'[1]facts premium'!C$16,($A6-1996.5)))</f>
        <v>21516860.793465313</v>
      </c>
      <c r="D6" s="8">
        <f>$B6/(POWER(1+'[1]facts premium'!D$16,($A6-1996.5)))</f>
        <v>21644617.638563152</v>
      </c>
      <c r="E6" s="8">
        <f>$B6/(POWER(1+'[1]facts premium'!E$16,($A6-1996.5)))</f>
        <v>21773438.99392939</v>
      </c>
      <c r="F6" s="8">
        <f>$B6/(POWER(1+'[1]facts premium'!F$16,($A6-1996.5)))</f>
        <v>21390157.17544698</v>
      </c>
      <c r="G6" s="8">
        <f>$B6/(POWER(1+'[1]facts premium'!G$16,($A6-1996.5)))</f>
        <v>21264495.647147655</v>
      </c>
      <c r="H6" s="8">
        <f>$B6/(POWER(1+'[1]facts premium'!H$16,($A6-1996.5)))</f>
        <v>21139865.214812975</v>
      </c>
    </row>
    <row r="7" spans="1:8" x14ac:dyDescent="0.25">
      <c r="A7" s="3">
        <v>2000</v>
      </c>
      <c r="B7" s="8">
        <v>25091313</v>
      </c>
      <c r="C7" s="8">
        <f>$B7/(POWER(1+'[1]facts premium'!C$16,($A7-1996.5)))</f>
        <v>20666214.487632751</v>
      </c>
      <c r="D7" s="8">
        <f>$B7/(POWER(1+'[1]facts premium'!D$16,($A7-1996.5)))</f>
        <v>20838206.804566547</v>
      </c>
      <c r="E7" s="8">
        <f>$B7/(POWER(1+'[1]facts premium'!E$16,($A7-1996.5)))</f>
        <v>21012043.86089946</v>
      </c>
      <c r="F7" s="8">
        <f>$B7/(POWER(1+'[1]facts premium'!F$16,($A7-1996.5)))</f>
        <v>20496043.039988302</v>
      </c>
      <c r="G7" s="8">
        <f>$B7/(POWER(1+'[1]facts premium'!G$16,($A7-1996.5)))</f>
        <v>20327668.955692869</v>
      </c>
      <c r="H7" s="8">
        <f>$B7/(POWER(1+'[1]facts premium'!H$16,($A7-1996.5)))</f>
        <v>20161069.086579837</v>
      </c>
    </row>
    <row r="8" spans="1:8" x14ac:dyDescent="0.25">
      <c r="A8" s="3">
        <v>2001</v>
      </c>
      <c r="B8" s="8">
        <v>25488810</v>
      </c>
      <c r="C8" s="8">
        <f>$B8/(POWER(1+'[1]facts premium'!C$16,($A8-1996.5)))</f>
        <v>19861503.314120166</v>
      </c>
      <c r="D8" s="8">
        <f>$B8/(POWER(1+'[1]facts premium'!D$16,($A8-1996.5)))</f>
        <v>20074277.880624834</v>
      </c>
      <c r="E8" s="8">
        <f>$B8/(POWER(1+'[1]facts premium'!E$16,($A8-1996.5)))</f>
        <v>20289845.06749456</v>
      </c>
      <c r="F8" s="8">
        <f>$B8/(POWER(1+'[1]facts premium'!F$16,($A8-1996.5)))</f>
        <v>19651478.713036533</v>
      </c>
      <c r="G8" s="8">
        <f>$B8/(POWER(1+'[1]facts premium'!G$16,($A8-1996.5)))</f>
        <v>19444162.172418676</v>
      </c>
      <c r="H8" s="8">
        <f>$B8/(POWER(1+'[1]facts premium'!H$16,($A8-1996.5)))</f>
        <v>19239512.5223899</v>
      </c>
    </row>
    <row r="9" spans="1:8" x14ac:dyDescent="0.25">
      <c r="A9" s="3">
        <v>2002</v>
      </c>
      <c r="B9" s="8">
        <v>26244265</v>
      </c>
      <c r="C9" s="8">
        <f>$B9/(POWER(1+'[1]facts premium'!C$16,($A9-1996.5)))</f>
        <v>19347372.092760041</v>
      </c>
      <c r="D9" s="8">
        <f>$B9/(POWER(1+'[1]facts premium'!D$16,($A9-1996.5)))</f>
        <v>19600998.794201627</v>
      </c>
      <c r="E9" s="8">
        <f>$B9/(POWER(1+'[1]facts premium'!E$16,($A9-1996.5)))</f>
        <v>19858564.206183463</v>
      </c>
      <c r="F9" s="8">
        <f>$B9/(POWER(1+'[1]facts premium'!F$16,($A9-1996.5)))</f>
        <v>19097614.767729543</v>
      </c>
      <c r="G9" s="8">
        <f>$B9/(POWER(1+'[1]facts premium'!G$16,($A9-1996.5)))</f>
        <v>18851658.864979796</v>
      </c>
      <c r="H9" s="8">
        <f>$B9/(POWER(1+'[1]facts premium'!H$16,($A9-1996.5)))</f>
        <v>18609437.779752593</v>
      </c>
    </row>
    <row r="10" spans="1:8" x14ac:dyDescent="0.25">
      <c r="A10" s="3">
        <v>2003</v>
      </c>
      <c r="B10" s="8">
        <v>27316484</v>
      </c>
      <c r="C10" s="8">
        <f>$B10/(POWER(1+'[1]facts premium'!C$16,($A10-1996.5)))</f>
        <v>19051860.002299946</v>
      </c>
      <c r="D10" s="8">
        <f>$B10/(POWER(1+'[1]facts premium'!D$16,($A10-1996.5)))</f>
        <v>19347372.911413081</v>
      </c>
      <c r="E10" s="8">
        <f>$B10/(POWER(1+'[1]facts premium'!E$16,($A10-1996.5)))</f>
        <v>19648187.33434628</v>
      </c>
      <c r="F10" s="8">
        <f>$B10/(POWER(1+'[1]facts premium'!F$16,($A10-1996.5)))</f>
        <v>18761542.964577511</v>
      </c>
      <c r="G10" s="8">
        <f>$B10/(POWER(1+'[1]facts premium'!G$16,($A10-1996.5)))</f>
        <v>18476318.503089018</v>
      </c>
      <c r="H10" s="8">
        <f>$B10/(POWER(1+'[1]facts premium'!H$16,($A10-1996.5)))</f>
        <v>18196085.612440739</v>
      </c>
    </row>
    <row r="11" spans="1:8" x14ac:dyDescent="0.25">
      <c r="A11" s="3">
        <v>2004</v>
      </c>
      <c r="B11" s="8">
        <v>28432512</v>
      </c>
      <c r="C11" s="8">
        <f>$B11/(POWER(1+'[1]facts premium'!C$16,($A11-1996.5)))</f>
        <v>18760863.615649723</v>
      </c>
      <c r="D11" s="8">
        <f>$B11/(POWER(1+'[1]facts premium'!D$16,($A11-1996.5)))</f>
        <v>19097030.888470184</v>
      </c>
      <c r="E11" s="8">
        <f>$B11/(POWER(1+'[1]facts premium'!E$16,($A11-1996.5)))</f>
        <v>19440041.265913505</v>
      </c>
      <c r="F11" s="8">
        <f>$B11/(POWER(1+'[1]facts premium'!F$16,($A11-1996.5)))</f>
        <v>18431387.223019909</v>
      </c>
      <c r="G11" s="8">
        <f>$B11/(POWER(1+'[1]facts premium'!G$16,($A11-1996.5)))</f>
        <v>18108453.220061757</v>
      </c>
      <c r="H11" s="8">
        <f>$B11/(POWER(1+'[1]facts premium'!H$16,($A11-1996.5)))</f>
        <v>17791916.750091515</v>
      </c>
    </row>
    <row r="12" spans="1:8" x14ac:dyDescent="0.25">
      <c r="A12" s="3">
        <v>2005</v>
      </c>
      <c r="B12" s="8">
        <v>29594139</v>
      </c>
      <c r="C12" s="8">
        <f>$B12/(POWER(1+'[1]facts premium'!C$16,($A12-1996.5)))</f>
        <v>18474313.843560465</v>
      </c>
      <c r="D12" s="8">
        <f>$B12/(POWER(1+'[1]facts premium'!D$16,($A12-1996.5)))</f>
        <v>18849930.125279933</v>
      </c>
      <c r="E12" s="8">
        <f>$B12/(POWER(1+'[1]facts premium'!E$16,($A12-1996.5)))</f>
        <v>19234102.267356351</v>
      </c>
      <c r="F12" s="8">
        <f>$B12/(POWER(1+'[1]facts premium'!F$16,($A12-1996.5)))</f>
        <v>18107043.311198793</v>
      </c>
      <c r="G12" s="8">
        <f>$B12/(POWER(1+'[1]facts premium'!G$16,($A12-1996.5)))</f>
        <v>17747914.055213153</v>
      </c>
      <c r="H12" s="8">
        <f>$B12/(POWER(1+'[1]facts premium'!H$16,($A12-1996.5)))</f>
        <v>17396727.076579027</v>
      </c>
    </row>
    <row r="13" spans="1:8" x14ac:dyDescent="0.25">
      <c r="A13" s="3">
        <v>2006</v>
      </c>
      <c r="B13" s="8">
        <v>30803229</v>
      </c>
      <c r="C13" s="8">
        <f>$B13/(POWER(1+'[1]facts premium'!C$16,($A13-1996.5)))</f>
        <v>18192143.166175708</v>
      </c>
      <c r="D13" s="8">
        <f>$B13/(POWER(1+'[1]facts premium'!D$16,($A13-1996.5)))</f>
        <v>18606029.097980384</v>
      </c>
      <c r="E13" s="8">
        <f>$B13/(POWER(1+'[1]facts premium'!E$16,($A13-1996.5)))</f>
        <v>19030347.392800771</v>
      </c>
      <c r="F13" s="8">
        <f>$B13/(POWER(1+'[1]facts premium'!F$16,($A13-1996.5)))</f>
        <v>17788409.335037578</v>
      </c>
      <c r="G13" s="8">
        <f>$B13/(POWER(1+'[1]facts premium'!G$16,($A13-1996.5)))</f>
        <v>17394555.506987233</v>
      </c>
      <c r="H13" s="8">
        <f>$B13/(POWER(1+'[1]facts premium'!H$16,($A13-1996.5)))</f>
        <v>17010317.492924564</v>
      </c>
    </row>
    <row r="14" spans="1:8" x14ac:dyDescent="0.25">
      <c r="A14" s="3">
        <v>2007</v>
      </c>
      <c r="B14" s="8">
        <v>32061720</v>
      </c>
      <c r="C14" s="8">
        <f>$B14/(POWER(1+'[1]facts premium'!C$16,($A14-1996.5)))</f>
        <v>17914283.809659161</v>
      </c>
      <c r="D14" s="8">
        <f>$B14/(POWER(1+'[1]facts premium'!D$16,($A14-1996.5)))</f>
        <v>18365285.50529509</v>
      </c>
      <c r="E14" s="8">
        <f>$B14/(POWER(1+'[1]facts premium'!E$16,($A14-1996.5)))</f>
        <v>18828752.594636977</v>
      </c>
      <c r="F14" s="8">
        <f>$B14/(POWER(1+'[1]facts premium'!F$16,($A14-1996.5)))</f>
        <v>17475383.937036943</v>
      </c>
      <c r="G14" s="8">
        <f>$B14/(POWER(1+'[1]facts premium'!G$16,($A14-1996.5)))</f>
        <v>17048233.742400691</v>
      </c>
      <c r="H14" s="8">
        <f>$B14/(POWER(1+'[1]facts premium'!H$16,($A14-1996.5)))</f>
        <v>16632492.121620972</v>
      </c>
    </row>
    <row r="15" spans="1:8" x14ac:dyDescent="0.25">
      <c r="A15" s="3">
        <v>2008</v>
      </c>
      <c r="B15" s="8">
        <v>33371633</v>
      </c>
      <c r="C15" s="8">
        <f>$B15/(POWER(1+'[1]facts premium'!C$16,($A15-1996.5)))</f>
        <v>17640671.178506892</v>
      </c>
      <c r="D15" s="8">
        <f>$B15/(POWER(1+'[1]facts premium'!D$16,($A15-1996.5)))</f>
        <v>18127659.789189167</v>
      </c>
      <c r="E15" s="8">
        <f>$B15/(POWER(1+'[1]facts premium'!E$16,($A15-1996.5)))</f>
        <v>18629296.330136441</v>
      </c>
      <c r="F15" s="8">
        <f>$B15/(POWER(1+'[1]facts premium'!F$16,($A15-1996.5)))</f>
        <v>17167869.635223854</v>
      </c>
      <c r="G15" s="8">
        <f>$B15/(POWER(1+'[1]facts premium'!G$16,($A15-1996.5)))</f>
        <v>16708809.83423315</v>
      </c>
      <c r="H15" s="8">
        <f>$B15/(POWER(1+'[1]facts premium'!H$16,($A15-1996.5)))</f>
        <v>16263061.429512966</v>
      </c>
    </row>
    <row r="16" spans="1:8" x14ac:dyDescent="0.25">
      <c r="A16" s="3">
        <v>2009</v>
      </c>
      <c r="B16" s="8">
        <v>34735066</v>
      </c>
      <c r="C16" s="8">
        <f>$B16/(POWER(1+'[1]facts premium'!C$16,($A16-1996.5)))</f>
        <v>17371238.662203837</v>
      </c>
      <c r="D16" s="8">
        <f>$B16/(POWER(1+'[1]facts premium'!D$16,($A16-1996.5)))</f>
        <v>17893109.820868738</v>
      </c>
      <c r="E16" s="8">
        <f>$B16/(POWER(1+'[1]facts premium'!E$16,($A16-1996.5)))</f>
        <v>18431954.118871</v>
      </c>
      <c r="F16" s="8">
        <f>$B16/(POWER(1+'[1]facts premium'!F$16,($A16-1996.5)))</f>
        <v>16865767.740143314</v>
      </c>
      <c r="G16" s="8">
        <f>$B16/(POWER(1+'[1]facts premium'!G$16,($A16-1996.5)))</f>
        <v>16376144.774927419</v>
      </c>
      <c r="H16" s="8">
        <f>$B16/(POWER(1+'[1]facts premium'!H$16,($A16-1996.5)))</f>
        <v>15901837.321337394</v>
      </c>
    </row>
    <row r="17" spans="1:8" x14ac:dyDescent="0.25">
      <c r="A17" s="3">
        <v>2010</v>
      </c>
      <c r="B17" s="8">
        <v>36154209</v>
      </c>
      <c r="C17" s="8">
        <f>$B17/(POWER(1+'[1]facts premium'!C$16,($A17-1996.5)))</f>
        <v>17105923.899244022</v>
      </c>
      <c r="D17" s="8">
        <f>$B17/(POWER(1+'[1]facts premium'!D$16,($A17-1996.5)))</f>
        <v>17661597.340493713</v>
      </c>
      <c r="E17" s="8">
        <f>$B17/(POWER(1+'[1]facts premium'!E$16,($A17-1996.5)))</f>
        <v>18236705.158753876</v>
      </c>
      <c r="F17" s="8">
        <f>$B17/(POWER(1+'[1]facts premium'!F$16,($A17-1996.5)))</f>
        <v>16568984.44124129</v>
      </c>
      <c r="G17" s="8">
        <f>$B17/(POWER(1+'[1]facts premium'!G$16,($A17-1996.5)))</f>
        <v>16050105.38014885</v>
      </c>
      <c r="H17" s="8">
        <f>$B17/(POWER(1+'[1]facts premium'!H$16,($A17-1996.5)))</f>
        <v>15548638.851347683</v>
      </c>
    </row>
    <row r="18" spans="1:8" x14ac:dyDescent="0.25">
      <c r="A18" s="3">
        <v>2011</v>
      </c>
      <c r="B18" s="8">
        <v>37631336</v>
      </c>
      <c r="C18" s="8">
        <f>$B18/(POWER(1+'[1]facts premium'!C$16,($A18-1996.5)))</f>
        <v>16844662.780401167</v>
      </c>
      <c r="D18" s="8">
        <f>$B18/(POWER(1+'[1]facts premium'!D$16,($A18-1996.5)))</f>
        <v>17433081.79965543</v>
      </c>
      <c r="E18" s="8">
        <f>$B18/(POWER(1+'[1]facts premium'!E$16,($A18-1996.5)))</f>
        <v>18043525.998312518</v>
      </c>
      <c r="F18" s="8">
        <f>$B18/(POWER(1+'[1]facts premium'!F$16,($A18-1996.5)))</f>
        <v>16277424.959329598</v>
      </c>
      <c r="G18" s="8">
        <f>$B18/(POWER(1+'[1]facts premium'!G$16,($A18-1996.5)))</f>
        <v>15730558.576022113</v>
      </c>
      <c r="H18" s="8">
        <f>$B18/(POWER(1+'[1]facts premium'!H$16,($A18-1996.5)))</f>
        <v>15203286.627425876</v>
      </c>
    </row>
    <row r="19" spans="1:8" x14ac:dyDescent="0.25">
      <c r="A19" s="3">
        <v>2012</v>
      </c>
      <c r="B19" s="8">
        <v>39168818</v>
      </c>
      <c r="C19" s="8">
        <f>$B19/(POWER(1+'[1]facts premium'!C$16,($A19-1996.5)))</f>
        <v>16587394.083234323</v>
      </c>
      <c r="D19" s="8">
        <f>$B19/(POWER(1+'[1]facts premium'!D$16,($A19-1996.5)))</f>
        <v>17207525.144617092</v>
      </c>
      <c r="E19" s="8">
        <f>$B19/(POWER(1+'[1]facts premium'!E$16,($A19-1996.5)))</f>
        <v>17852395.469197441</v>
      </c>
      <c r="F19" s="8">
        <f>$B19/(POWER(1+'[1]facts premium'!F$16,($A19-1996.5)))</f>
        <v>15990998.030445324</v>
      </c>
      <c r="G19" s="8">
        <f>$B19/(POWER(1+'[1]facts premium'!G$16,($A19-1996.5)))</f>
        <v>15417375.727397032</v>
      </c>
      <c r="H19" s="8">
        <f>$B19/(POWER(1+'[1]facts premium'!H$16,($A19-1996.5)))</f>
        <v>14865606.975173708</v>
      </c>
    </row>
    <row r="20" spans="1:8" x14ac:dyDescent="0.25">
      <c r="A20" s="3">
        <v>2013</v>
      </c>
      <c r="B20" s="8">
        <v>40769121</v>
      </c>
      <c r="C20" s="8">
        <f>$B20/(POWER(1+'[1]facts premium'!C$16,($A20-1996.5)))</f>
        <v>16334056.647037996</v>
      </c>
      <c r="D20" s="8">
        <f>$B20/(POWER(1+'[1]facts premium'!D$16,($A20-1996.5)))</f>
        <v>16984888.910993401</v>
      </c>
      <c r="E20" s="8">
        <f>$B20/(POWER(1+'[1]facts premium'!E$16,($A20-1996.5)))</f>
        <v>17663291.693585448</v>
      </c>
      <c r="F20" s="8">
        <f>$B20/(POWER(1+'[1]facts premium'!F$16,($A20-1996.5)))</f>
        <v>15709613.151952472</v>
      </c>
      <c r="G20" s="8">
        <f>$B20/(POWER(1+'[1]facts premium'!G$16,($A20-1996.5)))</f>
        <v>15110429.943302179</v>
      </c>
      <c r="H20" s="8">
        <f>$B20/(POWER(1+'[1]facts premium'!H$16,($A20-1996.5)))</f>
        <v>14535429.287670126</v>
      </c>
    </row>
    <row r="21" spans="1:8" x14ac:dyDescent="0.25">
      <c r="A21" s="3">
        <v>2014</v>
      </c>
      <c r="B21" s="8">
        <v>42434811</v>
      </c>
      <c r="C21" s="8">
        <f>$B21/(POWER(1+'[1]facts premium'!C$16,($A21-1996.5)))</f>
        <v>16084589.971365949</v>
      </c>
      <c r="D21" s="8">
        <f>$B21/(POWER(1+'[1]facts premium'!D$16,($A21-1996.5)))</f>
        <v>16765134.84530649</v>
      </c>
      <c r="E21" s="8">
        <f>$B21/(POWER(1+'[1]facts premium'!E$16,($A21-1996.5)))</f>
        <v>17476192.725173276</v>
      </c>
      <c r="F21" s="8">
        <f>$B21/(POWER(1+'[1]facts premium'!F$16,($A21-1996.5)))</f>
        <v>15433181.152283873</v>
      </c>
      <c r="G21" s="8">
        <f>$B21/(POWER(1+'[1]facts premium'!G$16,($A21-1996.5)))</f>
        <v>14809596.609467018</v>
      </c>
      <c r="H21" s="8">
        <f>$B21/(POWER(1+'[1]facts premium'!H$16,($A21-1996.5)))</f>
        <v>14212586.509121357</v>
      </c>
    </row>
    <row r="22" spans="1:8" x14ac:dyDescent="0.25">
      <c r="A22" s="3">
        <v>2015</v>
      </c>
      <c r="B22" s="9">
        <v>44168561</v>
      </c>
      <c r="C22" s="9">
        <f>$B22/(POWER(1+'[1]facts premium'!C$16,($A22-1996.5)))</f>
        <v>15838935.311981725</v>
      </c>
      <c r="D22" s="9">
        <f>$B22/(POWER(1+'[1]facts premium'!D$16,($A22-1996.5)))</f>
        <v>16548226.055108462</v>
      </c>
      <c r="E22" s="9">
        <f>$B22/(POWER(1+'[1]facts premium'!E$16,($A22-1996.5)))</f>
        <v>17291077.75165819</v>
      </c>
      <c r="F22" s="9">
        <f>$B22/(POWER(1+'[1]facts premium'!F$16,($A22-1996.5)))</f>
        <v>15161615.228730252</v>
      </c>
      <c r="G22" s="9">
        <f>$B22/(POWER(1+'[1]facts premium'!G$16,($A22-1996.5)))</f>
        <v>14514754.36128642</v>
      </c>
      <c r="H22" s="9">
        <f>$B22/(POWER(1+'[1]facts premium'!H$16,($A22-1996.5)))</f>
        <v>13896916.033178009</v>
      </c>
    </row>
    <row r="23" spans="1:8" x14ac:dyDescent="0.25">
      <c r="A23" s="3" t="s">
        <v>6</v>
      </c>
      <c r="B23" s="8">
        <f t="shared" ref="B23:H23" si="0">SUM(B3:B22)</f>
        <v>603105479</v>
      </c>
      <c r="C23" s="8">
        <f t="shared" si="0"/>
        <v>350472549.33445215</v>
      </c>
      <c r="D23" s="8">
        <f t="shared" si="0"/>
        <v>358008851.15460515</v>
      </c>
      <c r="E23" s="8">
        <f t="shared" si="0"/>
        <v>365788328.82535619</v>
      </c>
      <c r="F23" s="8">
        <f t="shared" si="0"/>
        <v>343170429.28153199</v>
      </c>
      <c r="G23" s="8">
        <f t="shared" si="0"/>
        <v>336093868.37468278</v>
      </c>
      <c r="H23" s="8">
        <f t="shared" si="0"/>
        <v>329234598.77765757</v>
      </c>
    </row>
    <row r="25" spans="1:8" x14ac:dyDescent="0.25">
      <c r="A25" s="4" t="s">
        <v>7</v>
      </c>
    </row>
    <row r="28" spans="1:8" x14ac:dyDescent="0.25">
      <c r="A28" s="1" t="s">
        <v>8</v>
      </c>
      <c r="C28" s="10">
        <f t="shared" ref="C28:H28" si="1">C23/1000000</f>
        <v>350.47254933445214</v>
      </c>
      <c r="D28" s="10">
        <f t="shared" si="1"/>
        <v>358.00885115460517</v>
      </c>
      <c r="E28" s="10">
        <f t="shared" si="1"/>
        <v>365.78832882535619</v>
      </c>
      <c r="F28" s="10">
        <f t="shared" si="1"/>
        <v>343.17042928153199</v>
      </c>
      <c r="G28" s="10">
        <f t="shared" si="1"/>
        <v>336.09386837468276</v>
      </c>
      <c r="H28" s="10">
        <f t="shared" si="1"/>
        <v>329.2345987776576</v>
      </c>
    </row>
    <row r="30" spans="1:8" x14ac:dyDescent="0.25">
      <c r="A30" s="11" t="s">
        <v>10</v>
      </c>
      <c r="C30" s="14">
        <v>4.8800000000000003E-2</v>
      </c>
      <c r="D30" s="14">
        <v>4.6300000000000001E-2</v>
      </c>
      <c r="E30" s="14">
        <v>4.3800000000000006E-2</v>
      </c>
      <c r="F30" s="14">
        <v>5.1300000000000005E-2</v>
      </c>
      <c r="G30" s="14">
        <v>5.3800000000000001E-2</v>
      </c>
      <c r="H30" s="14">
        <v>5.6300000000000003E-2</v>
      </c>
    </row>
    <row r="31" spans="1:8" x14ac:dyDescent="0.25">
      <c r="A31" s="11" t="s">
        <v>21</v>
      </c>
      <c r="C31" s="14">
        <v>5.7000000000000002E-2</v>
      </c>
      <c r="D31" s="14">
        <v>5.45E-2</v>
      </c>
      <c r="E31" s="14">
        <v>5.2000000000000005E-2</v>
      </c>
      <c r="F31" s="14">
        <v>5.9500000000000004E-2</v>
      </c>
      <c r="G31" s="14">
        <v>6.2E-2</v>
      </c>
      <c r="H31" s="14">
        <v>6.4500000000000002E-2</v>
      </c>
    </row>
    <row r="33" spans="1:8" x14ac:dyDescent="0.25">
      <c r="A33" s="12" t="s">
        <v>9</v>
      </c>
      <c r="B33" s="12"/>
      <c r="C33" s="13">
        <f t="shared" ref="C33:H33" si="2">(C28/(C31/C30*(1-POWER(1+C30,-20))+POWER(1+C30,-20)))</f>
        <v>317.67630181747046</v>
      </c>
      <c r="D33" s="13">
        <f t="shared" si="2"/>
        <v>323.85110276196554</v>
      </c>
      <c r="E33" s="13">
        <f t="shared" si="2"/>
        <v>330.19856775361598</v>
      </c>
      <c r="F33" s="13">
        <f t="shared" si="2"/>
        <v>311.66908758374723</v>
      </c>
      <c r="G33" s="13">
        <f t="shared" si="2"/>
        <v>305.82451845255014</v>
      </c>
      <c r="H33" s="13">
        <f t="shared" si="2"/>
        <v>300.13778682578993</v>
      </c>
    </row>
  </sheetData>
  <mergeCells count="1">
    <mergeCell ref="C1:H1"/>
  </mergeCells>
  <phoneticPr fontId="5" type="noConversion"/>
  <printOptions horizontalCentered="1"/>
  <pageMargins left="0.75" right="0.75" top="1" bottom="1" header="0.5" footer="0.5"/>
  <pageSetup orientation="landscape" r:id="rId1"/>
  <headerFooter alignWithMargins="0">
    <oddFooter>&amp;C&amp;"Arial,Bold"&amp;A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Exhibit B1</vt:lpstr>
      <vt:lpstr>Exhibit B2</vt:lpstr>
      <vt:lpstr>Exhibit F</vt:lpstr>
      <vt:lpstr>Exhibit B1, Chart 1</vt:lpstr>
      <vt:lpstr>Exhibit B2, Chart 2</vt:lpstr>
      <vt:lpstr>Exhibit B2, Chart 3</vt:lpstr>
      <vt:lpstr>Exhibit F, Chart 1</vt:lpstr>
      <vt:lpstr>'Exhibit B1'!DiscRate</vt:lpstr>
      <vt:lpstr>'Exhibit B2'!DiscRate</vt:lpstr>
      <vt:lpstr>'Exhibit B2'!discrate2</vt:lpstr>
      <vt:lpstr>discrate2</vt:lpstr>
      <vt:lpstr>'Exhibit B2'!DiscRate3</vt:lpstr>
      <vt:lpstr>DiscRate3</vt:lpstr>
      <vt:lpstr>'Exhibit B2'!DiscRate4</vt:lpstr>
      <vt:lpstr>DiscRate4</vt:lpstr>
      <vt:lpstr>'Exhibit B2'!DiscRate5</vt:lpstr>
      <vt:lpstr>DiscRate5</vt:lpstr>
      <vt:lpstr>'Exhibit B2'!DiscRate6</vt:lpstr>
      <vt:lpstr>DiscRate6</vt:lpstr>
    </vt:vector>
  </TitlesOfParts>
  <Company>Core Development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Neale</dc:creator>
  <cp:lastModifiedBy>Havlíček Jan</cp:lastModifiedBy>
  <cp:lastPrinted>2000-12-05T07:06:24Z</cp:lastPrinted>
  <dcterms:created xsi:type="dcterms:W3CDTF">2000-12-05T04:57:02Z</dcterms:created>
  <dcterms:modified xsi:type="dcterms:W3CDTF">2023-09-10T12:22:29Z</dcterms:modified>
</cp:coreProperties>
</file>