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4220" windowHeight="8328"/>
  </bookViews>
  <sheets>
    <sheet name="Summary" sheetId="10" r:id="rId1"/>
    <sheet name="Inputs" sheetId="1" r:id="rId2"/>
    <sheet name="PCHC" sheetId="2" r:id="rId3"/>
    <sheet name="Misaka" sheetId="4" r:id="rId4"/>
    <sheet name="Kennedy" sheetId="5" r:id="rId5"/>
    <sheet name="JMHuber" sheetId="6" r:id="rId6"/>
    <sheet name="FMI Weld" sheetId="7" r:id="rId7"/>
    <sheet name="Patina" sheetId="8" r:id="rId8"/>
    <sheet name="Cannon" sheetId="9" r:id="rId9"/>
  </sheets>
  <definedNames>
    <definedName name="_xlnm.Print_Area" localSheetId="8">Cannon!$H$2:$P$31</definedName>
    <definedName name="_xlnm.Print_Area" localSheetId="6">'FMI Weld'!$H$2:$P$31</definedName>
    <definedName name="_xlnm.Print_Area" localSheetId="1">Summary!$A$1:$F$12</definedName>
    <definedName name="_xlnm.Print_Area" localSheetId="5">JMHuber!$H$2:$P$31</definedName>
    <definedName name="_xlnm.Print_Area" localSheetId="4">Kennedy!$H$2:$P$31</definedName>
    <definedName name="_xlnm.Print_Area" localSheetId="3">Misaka!$H$1:$P$31</definedName>
    <definedName name="_xlnm.Print_Area" localSheetId="7">Patina!$H$2:$P$31</definedName>
    <definedName name="_xlnm.Print_Area" localSheetId="2">PCHC!$I$2:$Q$31</definedName>
  </definedNames>
  <calcPr calcId="92512"/>
</workbook>
</file>

<file path=xl/calcChain.xml><?xml version="1.0" encoding="utf-8"?>
<calcChain xmlns="http://schemas.openxmlformats.org/spreadsheetml/2006/main">
  <c r="B5" i="9" l="1"/>
  <c r="E5" i="9"/>
  <c r="B7" i="9"/>
  <c r="E7" i="9"/>
  <c r="K8" i="9"/>
  <c r="M8" i="9"/>
  <c r="E9" i="9"/>
  <c r="E10" i="9"/>
  <c r="K10" i="9"/>
  <c r="M10" i="9"/>
  <c r="B11" i="9"/>
  <c r="E11" i="9"/>
  <c r="K12" i="9"/>
  <c r="M12" i="9"/>
  <c r="E13" i="9"/>
  <c r="E14" i="9"/>
  <c r="K14" i="9"/>
  <c r="M14" i="9"/>
  <c r="B15" i="9"/>
  <c r="E15" i="9"/>
  <c r="K16" i="9"/>
  <c r="M16" i="9"/>
  <c r="B17" i="9"/>
  <c r="E17" i="9"/>
  <c r="K18" i="9"/>
  <c r="M18" i="9"/>
  <c r="O18" i="9"/>
  <c r="B19" i="9"/>
  <c r="B22" i="9"/>
  <c r="E22" i="9"/>
  <c r="F22" i="9"/>
  <c r="B23" i="9"/>
  <c r="E23" i="9"/>
  <c r="F23" i="9"/>
  <c r="B24" i="9"/>
  <c r="F24" i="9"/>
  <c r="B25" i="9"/>
  <c r="E25" i="9"/>
  <c r="F25" i="9"/>
  <c r="B26" i="9"/>
  <c r="E28" i="9"/>
  <c r="B29" i="9"/>
  <c r="E29" i="9"/>
  <c r="E31" i="9"/>
  <c r="B33" i="9"/>
  <c r="E33" i="9"/>
  <c r="B5" i="7"/>
  <c r="E5" i="7"/>
  <c r="B7" i="7"/>
  <c r="E7" i="7"/>
  <c r="K8" i="7"/>
  <c r="M8" i="7"/>
  <c r="E9" i="7"/>
  <c r="E10" i="7"/>
  <c r="K10" i="7"/>
  <c r="M10" i="7"/>
  <c r="B11" i="7"/>
  <c r="E11" i="7"/>
  <c r="K12" i="7"/>
  <c r="M12" i="7"/>
  <c r="E13" i="7"/>
  <c r="E14" i="7"/>
  <c r="K14" i="7"/>
  <c r="M14" i="7"/>
  <c r="B15" i="7"/>
  <c r="E15" i="7"/>
  <c r="K16" i="7"/>
  <c r="M16" i="7"/>
  <c r="B17" i="7"/>
  <c r="E17" i="7"/>
  <c r="K18" i="7"/>
  <c r="M18" i="7"/>
  <c r="O18" i="7"/>
  <c r="B19" i="7"/>
  <c r="B22" i="7"/>
  <c r="E22" i="7"/>
  <c r="F22" i="7"/>
  <c r="B23" i="7"/>
  <c r="E23" i="7"/>
  <c r="F23" i="7"/>
  <c r="B24" i="7"/>
  <c r="F24" i="7"/>
  <c r="B25" i="7"/>
  <c r="E25" i="7"/>
  <c r="F25" i="7"/>
  <c r="B26" i="7"/>
  <c r="E28" i="7"/>
  <c r="B29" i="7"/>
  <c r="E29" i="7"/>
  <c r="E31" i="7"/>
  <c r="B33" i="7"/>
  <c r="E33" i="7"/>
  <c r="C13" i="1"/>
  <c r="E13" i="1"/>
  <c r="B5" i="6"/>
  <c r="E5" i="6"/>
  <c r="B7" i="6"/>
  <c r="E7" i="6"/>
  <c r="K8" i="6"/>
  <c r="M8" i="6"/>
  <c r="E9" i="6"/>
  <c r="E10" i="6"/>
  <c r="K10" i="6"/>
  <c r="M10" i="6"/>
  <c r="B11" i="6"/>
  <c r="E11" i="6"/>
  <c r="K12" i="6"/>
  <c r="M12" i="6"/>
  <c r="E13" i="6"/>
  <c r="E14" i="6"/>
  <c r="K14" i="6"/>
  <c r="M14" i="6"/>
  <c r="B15" i="6"/>
  <c r="E15" i="6"/>
  <c r="K16" i="6"/>
  <c r="M16" i="6"/>
  <c r="B17" i="6"/>
  <c r="E17" i="6"/>
  <c r="K18" i="6"/>
  <c r="M18" i="6"/>
  <c r="O18" i="6"/>
  <c r="B19" i="6"/>
  <c r="B22" i="6"/>
  <c r="E22" i="6"/>
  <c r="F22" i="6"/>
  <c r="B23" i="6"/>
  <c r="E23" i="6"/>
  <c r="F23" i="6"/>
  <c r="B24" i="6"/>
  <c r="F24" i="6"/>
  <c r="B25" i="6"/>
  <c r="E25" i="6"/>
  <c r="F25" i="6"/>
  <c r="B26" i="6"/>
  <c r="E28" i="6"/>
  <c r="B29" i="6"/>
  <c r="E29" i="6"/>
  <c r="E31" i="6"/>
  <c r="B33" i="6"/>
  <c r="E33" i="6"/>
  <c r="B5" i="5"/>
  <c r="E5" i="5"/>
  <c r="B7" i="5"/>
  <c r="E7" i="5"/>
  <c r="K8" i="5"/>
  <c r="M8" i="5"/>
  <c r="E9" i="5"/>
  <c r="E10" i="5"/>
  <c r="K10" i="5"/>
  <c r="M10" i="5"/>
  <c r="B11" i="5"/>
  <c r="E11" i="5"/>
  <c r="K12" i="5"/>
  <c r="M12" i="5"/>
  <c r="E13" i="5"/>
  <c r="E14" i="5"/>
  <c r="K14" i="5"/>
  <c r="M14" i="5"/>
  <c r="B15" i="5"/>
  <c r="E15" i="5"/>
  <c r="K16" i="5"/>
  <c r="M16" i="5"/>
  <c r="B17" i="5"/>
  <c r="E17" i="5"/>
  <c r="K18" i="5"/>
  <c r="M18" i="5"/>
  <c r="O18" i="5"/>
  <c r="B19" i="5"/>
  <c r="B22" i="5"/>
  <c r="E22" i="5"/>
  <c r="F22" i="5"/>
  <c r="B23" i="5"/>
  <c r="E23" i="5"/>
  <c r="F23" i="5"/>
  <c r="B24" i="5"/>
  <c r="F24" i="5"/>
  <c r="B25" i="5"/>
  <c r="E25" i="5"/>
  <c r="F25" i="5"/>
  <c r="G25" i="5"/>
  <c r="B26" i="5"/>
  <c r="G26" i="5"/>
  <c r="E28" i="5"/>
  <c r="B29" i="5"/>
  <c r="E29" i="5"/>
  <c r="E31" i="5"/>
  <c r="B33" i="5"/>
  <c r="E33" i="5"/>
  <c r="B5" i="4"/>
  <c r="E5" i="4"/>
  <c r="B7" i="4"/>
  <c r="E7" i="4"/>
  <c r="K8" i="4"/>
  <c r="M8" i="4"/>
  <c r="E9" i="4"/>
  <c r="E10" i="4"/>
  <c r="K10" i="4"/>
  <c r="M10" i="4"/>
  <c r="B11" i="4"/>
  <c r="E11" i="4"/>
  <c r="K12" i="4"/>
  <c r="M12" i="4"/>
  <c r="E13" i="4"/>
  <c r="E14" i="4"/>
  <c r="K14" i="4"/>
  <c r="M14" i="4"/>
  <c r="B15" i="4"/>
  <c r="E15" i="4"/>
  <c r="K16" i="4"/>
  <c r="M16" i="4"/>
  <c r="B17" i="4"/>
  <c r="E17" i="4"/>
  <c r="K18" i="4"/>
  <c r="M18" i="4"/>
  <c r="O18" i="4"/>
  <c r="B19" i="4"/>
  <c r="B22" i="4"/>
  <c r="E22" i="4"/>
  <c r="B23" i="4"/>
  <c r="E23" i="4"/>
  <c r="B24" i="4"/>
  <c r="B25" i="4"/>
  <c r="E25" i="4"/>
  <c r="F25" i="4"/>
  <c r="B26" i="4"/>
  <c r="E28" i="4"/>
  <c r="B29" i="4"/>
  <c r="E29" i="4"/>
  <c r="E31" i="4"/>
  <c r="B33" i="4"/>
  <c r="E33" i="4"/>
  <c r="B5" i="8"/>
  <c r="E5" i="8"/>
  <c r="B7" i="8"/>
  <c r="E7" i="8"/>
  <c r="K8" i="8"/>
  <c r="M8" i="8"/>
  <c r="E9" i="8"/>
  <c r="E10" i="8"/>
  <c r="K10" i="8"/>
  <c r="M10" i="8"/>
  <c r="B11" i="8"/>
  <c r="E11" i="8"/>
  <c r="K12" i="8"/>
  <c r="M12" i="8"/>
  <c r="E13" i="8"/>
  <c r="E14" i="8"/>
  <c r="K14" i="8"/>
  <c r="M14" i="8"/>
  <c r="B15" i="8"/>
  <c r="E15" i="8"/>
  <c r="K16" i="8"/>
  <c r="M16" i="8"/>
  <c r="B17" i="8"/>
  <c r="E17" i="8"/>
  <c r="K18" i="8"/>
  <c r="M18" i="8"/>
  <c r="O18" i="8"/>
  <c r="B19" i="8"/>
  <c r="B22" i="8"/>
  <c r="E22" i="8"/>
  <c r="F22" i="8"/>
  <c r="B23" i="8"/>
  <c r="E23" i="8"/>
  <c r="F23" i="8"/>
  <c r="B24" i="8"/>
  <c r="F24" i="8"/>
  <c r="B25" i="8"/>
  <c r="E25" i="8"/>
  <c r="F25" i="8"/>
  <c r="B26" i="8"/>
  <c r="E28" i="8"/>
  <c r="B29" i="8"/>
  <c r="E29" i="8"/>
  <c r="E31" i="8"/>
  <c r="B33" i="8"/>
  <c r="E33" i="8"/>
  <c r="B5" i="2"/>
  <c r="E5" i="2"/>
  <c r="B7" i="2"/>
  <c r="E7" i="2"/>
  <c r="L8" i="2"/>
  <c r="N8" i="2"/>
  <c r="E9" i="2"/>
  <c r="E10" i="2"/>
  <c r="L10" i="2"/>
  <c r="N10" i="2"/>
  <c r="B11" i="2"/>
  <c r="E11" i="2"/>
  <c r="L12" i="2"/>
  <c r="N12" i="2"/>
  <c r="E13" i="2"/>
  <c r="E14" i="2"/>
  <c r="L14" i="2"/>
  <c r="N14" i="2"/>
  <c r="B15" i="2"/>
  <c r="E15" i="2"/>
  <c r="L16" i="2"/>
  <c r="N16" i="2"/>
  <c r="B17" i="2"/>
  <c r="E17" i="2"/>
  <c r="L18" i="2"/>
  <c r="N18" i="2"/>
  <c r="P18" i="2"/>
  <c r="B19" i="2"/>
  <c r="B22" i="2"/>
  <c r="E22" i="2"/>
  <c r="B23" i="2"/>
  <c r="E23" i="2"/>
  <c r="B24" i="2"/>
  <c r="B25" i="2"/>
  <c r="E25" i="2"/>
  <c r="B26" i="2"/>
  <c r="E28" i="2"/>
  <c r="B29" i="2"/>
  <c r="E29" i="2"/>
  <c r="E31" i="2"/>
  <c r="B33" i="2"/>
  <c r="E33" i="2"/>
  <c r="B4" i="10"/>
  <c r="D4" i="10"/>
  <c r="F4" i="10"/>
  <c r="B5" i="10"/>
  <c r="D5" i="10"/>
  <c r="F5" i="10"/>
  <c r="B6" i="10"/>
  <c r="D6" i="10"/>
  <c r="F6" i="10"/>
  <c r="B7" i="10"/>
  <c r="D7" i="10"/>
  <c r="F7" i="10"/>
  <c r="B8" i="10"/>
  <c r="D8" i="10"/>
  <c r="F8" i="10"/>
  <c r="B9" i="10"/>
  <c r="D9" i="10"/>
  <c r="F9" i="10"/>
  <c r="B10" i="10"/>
  <c r="D10" i="10"/>
  <c r="F10" i="10"/>
  <c r="B12" i="10"/>
  <c r="D12" i="10"/>
  <c r="F12" i="10"/>
</calcChain>
</file>

<file path=xl/sharedStrings.xml><?xml version="1.0" encoding="utf-8"?>
<sst xmlns="http://schemas.openxmlformats.org/spreadsheetml/2006/main" count="425" uniqueCount="79">
  <si>
    <t>PCHC</t>
  </si>
  <si>
    <t>Misaka</t>
  </si>
  <si>
    <t>Kennedy Oil</t>
  </si>
  <si>
    <t>JM Huber</t>
  </si>
  <si>
    <t>FMI Weld</t>
  </si>
  <si>
    <t>Patina</t>
  </si>
  <si>
    <t>Cannon</t>
  </si>
  <si>
    <t>Package 1</t>
  </si>
  <si>
    <t>Package 2</t>
  </si>
  <si>
    <t>Percentage</t>
  </si>
  <si>
    <t>Petrocanada Calc</t>
  </si>
  <si>
    <t>Actual Volume</t>
  </si>
  <si>
    <t>Market Price</t>
  </si>
  <si>
    <t>Supply Price</t>
  </si>
  <si>
    <t>Demand</t>
  </si>
  <si>
    <t>Commodity</t>
  </si>
  <si>
    <t>Total</t>
  </si>
  <si>
    <t>Total Net Income</t>
  </si>
  <si>
    <t>Total Tariff</t>
  </si>
  <si>
    <t>TOTAL</t>
  </si>
  <si>
    <t>Net Income</t>
  </si>
  <si>
    <t>Spread</t>
  </si>
  <si>
    <t>Total July</t>
  </si>
  <si>
    <t>Tariff Rate</t>
  </si>
  <si>
    <t>Reservation</t>
  </si>
  <si>
    <t>Fuel</t>
  </si>
  <si>
    <t>Fuel Volume</t>
  </si>
  <si>
    <t>Total Fuel Price</t>
  </si>
  <si>
    <t>Payment Ratio</t>
  </si>
  <si>
    <t>Total Spread Value</t>
  </si>
  <si>
    <t>Total Payment</t>
  </si>
  <si>
    <t>Misaka Calc</t>
  </si>
  <si>
    <t>Kennedy</t>
  </si>
  <si>
    <t>Payment</t>
  </si>
  <si>
    <t>PAYMENT 2: JULY</t>
  </si>
  <si>
    <t>PAYMENT 2: AUGUST</t>
  </si>
  <si>
    <t>Flow</t>
  </si>
  <si>
    <t>Socal Basis</t>
  </si>
  <si>
    <t>Socal Index</t>
  </si>
  <si>
    <t>Rox Basis</t>
  </si>
  <si>
    <t>Rox Index</t>
  </si>
  <si>
    <t>July</t>
  </si>
  <si>
    <t>JULY</t>
  </si>
  <si>
    <t>August</t>
  </si>
  <si>
    <t>SoCal Basis</t>
  </si>
  <si>
    <t>SoCal Index</t>
  </si>
  <si>
    <t>Rockies Basis</t>
  </si>
  <si>
    <t>Rockies Index</t>
  </si>
  <si>
    <t xml:space="preserve">July </t>
  </si>
  <si>
    <t>TOTALS</t>
  </si>
  <si>
    <t>Appendix A</t>
  </si>
  <si>
    <t>Petro-Canada Hydrocarbons, Inc.</t>
  </si>
  <si>
    <t>July and August Payment Calculations</t>
  </si>
  <si>
    <t>AUGUST</t>
  </si>
  <si>
    <t>PAYMENT RATIO</t>
  </si>
  <si>
    <t>TOTAL PAYMENT</t>
  </si>
  <si>
    <t>Payment as Calculated in Precedent Agreement:</t>
  </si>
  <si>
    <t>Actual Volume * [(Market Price - Supply Price) - Tariff Rate] * Payment Ratio</t>
  </si>
  <si>
    <r>
      <t>ACTUAL VOLUME</t>
    </r>
    <r>
      <rPr>
        <b/>
        <vertAlign val="superscript"/>
        <sz val="10"/>
        <rFont val="Arial"/>
        <family val="2"/>
      </rPr>
      <t xml:space="preserve"> (1) </t>
    </r>
  </si>
  <si>
    <r>
      <t>MARKET PRICE</t>
    </r>
    <r>
      <rPr>
        <b/>
        <vertAlign val="superscript"/>
        <sz val="10"/>
        <rFont val="Arial"/>
        <family val="2"/>
      </rPr>
      <t xml:space="preserve"> (2)</t>
    </r>
  </si>
  <si>
    <r>
      <t>SUPPLY PRICE</t>
    </r>
    <r>
      <rPr>
        <b/>
        <vertAlign val="superscript"/>
        <sz val="10"/>
        <rFont val="Arial"/>
        <family val="2"/>
      </rPr>
      <t xml:space="preserve"> (3)</t>
    </r>
  </si>
  <si>
    <r>
      <t>(2)</t>
    </r>
    <r>
      <rPr>
        <sz val="10"/>
        <rFont val="Arial"/>
      </rPr>
      <t xml:space="preserve"> August market price based on SoCal basis of $1.92 and index of ($1.42)</t>
    </r>
  </si>
  <si>
    <r>
      <t>(2)</t>
    </r>
    <r>
      <rPr>
        <sz val="10"/>
        <rFont val="Arial"/>
        <family val="2"/>
      </rPr>
      <t xml:space="preserve"> August market price based on SoCal basis of $1.92 and index of ($1.42)</t>
    </r>
  </si>
  <si>
    <r>
      <t>(3)</t>
    </r>
    <r>
      <rPr>
        <sz val="10"/>
        <rFont val="Arial"/>
      </rPr>
      <t xml:space="preserve"> August supply price based on Rockies basis of ($.96) and index of $.08</t>
    </r>
  </si>
  <si>
    <r>
      <t>(3)</t>
    </r>
    <r>
      <rPr>
        <sz val="10"/>
        <rFont val="Arial"/>
        <family val="2"/>
      </rPr>
      <t xml:space="preserve"> August supply price based on Rockies basis of ($.96) and index of $.08</t>
    </r>
  </si>
  <si>
    <r>
      <t>TARIFF RATE</t>
    </r>
    <r>
      <rPr>
        <vertAlign val="superscript"/>
        <sz val="10"/>
        <rFont val="Arial"/>
        <family val="2"/>
      </rPr>
      <t xml:space="preserve"> (4)</t>
    </r>
  </si>
  <si>
    <r>
      <t>(4)</t>
    </r>
    <r>
      <rPr>
        <sz val="10"/>
        <rFont val="Arial"/>
      </rPr>
      <t xml:space="preserve"> Total estimated July tariffs of $84,417 versus total estimated August tariffs of $87,132.</t>
    </r>
  </si>
  <si>
    <r>
      <t>(4)</t>
    </r>
    <r>
      <rPr>
        <sz val="10"/>
        <rFont val="Arial"/>
        <family val="2"/>
      </rPr>
      <t xml:space="preserve"> Total estimated July tariffs of $84,417 versus total estimated August tariffs of $87,132.</t>
    </r>
  </si>
  <si>
    <t xml:space="preserve">    August assumes 100% flows.</t>
  </si>
  <si>
    <r>
      <t>(1)</t>
    </r>
    <r>
      <rPr>
        <sz val="10"/>
        <rFont val="Arial"/>
      </rPr>
      <t xml:space="preserve"> Actual volumes for July based on an 81.8% flow rate on 3,000 a day volume.</t>
    </r>
  </si>
  <si>
    <r>
      <t>(1)</t>
    </r>
    <r>
      <rPr>
        <sz val="10"/>
        <rFont val="Arial"/>
        <family val="2"/>
      </rPr>
      <t xml:space="preserve"> Actual volumes for July based on an 81.8% flow rate on 3,000 a day volume.</t>
    </r>
  </si>
  <si>
    <t>Misako Resources</t>
  </si>
  <si>
    <r>
      <t>(1)</t>
    </r>
    <r>
      <rPr>
        <sz val="10"/>
        <rFont val="Arial"/>
        <family val="2"/>
      </rPr>
      <t xml:space="preserve"> Actual volumes for July based on an 81.8% flow rate on 3,700 a day volume.</t>
    </r>
  </si>
  <si>
    <t>J.M. Huber</t>
  </si>
  <si>
    <t>Patina Oil and Gas</t>
  </si>
  <si>
    <t>Cannon Interests</t>
  </si>
  <si>
    <t>Kern Payment 2 Summary</t>
  </si>
  <si>
    <t xml:space="preserve">    Per unit total tariff is lower for July due to lower volume.</t>
  </si>
  <si>
    <r>
      <t>(4)</t>
    </r>
    <r>
      <rPr>
        <sz val="10"/>
        <rFont val="Arial"/>
        <family val="2"/>
      </rPr>
      <t xml:space="preserve"> Total estimated July tariffs of $104,114 versus total estimated August tariffs of $107,481.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</si>
</sst>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.000_);_(&quot;$&quot;* \(#,##0.000\);_(&quot;$&quot;* &quot;-&quot;??_);_(@_)"/>
    <numFmt numFmtId="168" formatCode="_(&quot;$&quot;* #,##0.0000_);_(&quot;$&quot;* \(#,##0.0000\);_(&quot;$&quot;* &quot;-&quot;??_);_(@_)"/>
    <numFmt numFmtId="170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vertAlign val="superscript"/>
      <sz val="10"/>
      <name val="Arial"/>
      <family val="2"/>
    </font>
    <font>
      <b/>
      <vertAlign val="superscript"/>
      <sz val="10"/>
      <name val="Arial"/>
      <family val="2"/>
    </font>
    <font>
      <b/>
      <i/>
      <sz val="10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165" fontId="0" fillId="0" borderId="0" xfId="1" applyNumberFormat="1" applyFont="1"/>
    <xf numFmtId="9" fontId="0" fillId="0" borderId="0" xfId="0" applyNumberFormat="1"/>
    <xf numFmtId="165" fontId="2" fillId="0" borderId="0" xfId="0" applyNumberFormat="1" applyFont="1"/>
    <xf numFmtId="0" fontId="2" fillId="0" borderId="0" xfId="0" applyFont="1"/>
    <xf numFmtId="165" fontId="2" fillId="0" borderId="0" xfId="1" applyNumberFormat="1" applyFont="1"/>
    <xf numFmtId="10" fontId="2" fillId="0" borderId="0" xfId="3" applyNumberFormat="1" applyFont="1"/>
    <xf numFmtId="165" fontId="0" fillId="0" borderId="0" xfId="0" applyNumberFormat="1"/>
    <xf numFmtId="167" fontId="2" fillId="0" borderId="0" xfId="2" applyNumberFormat="1" applyFont="1"/>
    <xf numFmtId="168" fontId="3" fillId="0" borderId="0" xfId="2" applyNumberFormat="1" applyFont="1"/>
    <xf numFmtId="167" fontId="0" fillId="0" borderId="0" xfId="2" applyNumberFormat="1" applyFont="1"/>
    <xf numFmtId="170" fontId="0" fillId="0" borderId="0" xfId="2" applyNumberFormat="1" applyFont="1"/>
    <xf numFmtId="170" fontId="0" fillId="0" borderId="0" xfId="0" applyNumberFormat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43" fontId="2" fillId="0" borderId="0" xfId="0" applyNumberFormat="1" applyFont="1"/>
    <xf numFmtId="170" fontId="3" fillId="0" borderId="0" xfId="2" applyNumberFormat="1" applyFont="1"/>
    <xf numFmtId="1" fontId="0" fillId="0" borderId="0" xfId="0" applyNumberFormat="1"/>
    <xf numFmtId="44" fontId="0" fillId="0" borderId="0" xfId="0" applyNumberFormat="1"/>
    <xf numFmtId="170" fontId="1" fillId="0" borderId="0" xfId="2" applyNumberFormat="1"/>
    <xf numFmtId="168" fontId="2" fillId="0" borderId="0" xfId="2" applyNumberFormat="1" applyFont="1"/>
    <xf numFmtId="10" fontId="2" fillId="0" borderId="0" xfId="0" applyNumberFormat="1" applyFont="1"/>
    <xf numFmtId="9" fontId="2" fillId="0" borderId="0" xfId="0" applyNumberFormat="1" applyFont="1"/>
    <xf numFmtId="44" fontId="2" fillId="0" borderId="0" xfId="2" applyFont="1"/>
    <xf numFmtId="0" fontId="0" fillId="0" borderId="0" xfId="0" applyAlignment="1">
      <alignment horizontal="right"/>
    </xf>
    <xf numFmtId="9" fontId="0" fillId="0" borderId="0" xfId="3" applyFont="1"/>
    <xf numFmtId="170" fontId="2" fillId="0" borderId="0" xfId="2" applyNumberFormat="1" applyFont="1"/>
    <xf numFmtId="170" fontId="0" fillId="0" borderId="0" xfId="2" applyNumberFormat="1" applyFont="1" applyBorder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70" fontId="2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2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0" applyFont="1"/>
    <xf numFmtId="165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426720</xdr:colOff>
          <xdr:row>2</xdr:row>
          <xdr:rowOff>160020</xdr:rowOff>
        </xdr:from>
        <xdr:to>
          <xdr:col>9</xdr:col>
          <xdr:colOff>152400</xdr:colOff>
          <xdr:row>4</xdr:row>
          <xdr:rowOff>76200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1" u="none" strike="noStrike" baseline="0">
                  <a:solidFill>
                    <a:srgbClr val="008000"/>
                  </a:solidFill>
                  <a:latin typeface="Arial"/>
                  <a:cs typeface="Arial"/>
                </a:rPr>
                <a:t>Print All Schedules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12"/>
  <sheetViews>
    <sheetView tabSelected="1" workbookViewId="0"/>
  </sheetViews>
  <sheetFormatPr defaultRowHeight="13.2" x14ac:dyDescent="0.25"/>
  <cols>
    <col min="1" max="1" width="16.6640625" customWidth="1"/>
    <col min="2" max="2" width="9.6640625" bestFit="1" customWidth="1"/>
    <col min="3" max="3" width="3.44140625" customWidth="1"/>
    <col min="5" max="5" width="3.109375" customWidth="1"/>
    <col min="6" max="6" width="10.6640625" customWidth="1"/>
  </cols>
  <sheetData>
    <row r="1" spans="1:6" x14ac:dyDescent="0.25">
      <c r="A1" s="4" t="s">
        <v>76</v>
      </c>
    </row>
    <row r="3" spans="1:6" ht="26.4" x14ac:dyDescent="0.25">
      <c r="A3" s="28"/>
      <c r="B3" s="29" t="s">
        <v>48</v>
      </c>
      <c r="C3" s="28"/>
      <c r="D3" s="29" t="s">
        <v>43</v>
      </c>
      <c r="E3" s="28"/>
      <c r="F3" s="29" t="s">
        <v>30</v>
      </c>
    </row>
    <row r="4" spans="1:6" x14ac:dyDescent="0.25">
      <c r="A4" s="4" t="s">
        <v>0</v>
      </c>
      <c r="B4" s="27">
        <f>PCHC!$B$33</f>
        <v>15685.816465520107</v>
      </c>
      <c r="D4" s="11">
        <f>PCHC!$E$33</f>
        <v>10302.074999999999</v>
      </c>
      <c r="F4" s="30">
        <f t="shared" ref="F4:F10" si="0">B4+D4</f>
        <v>25987.891465520108</v>
      </c>
    </row>
    <row r="5" spans="1:6" x14ac:dyDescent="0.25">
      <c r="A5" s="4" t="s">
        <v>1</v>
      </c>
      <c r="B5" s="27">
        <f>Misaka!$B$33</f>
        <v>9411.4898793120647</v>
      </c>
      <c r="D5" s="11">
        <f>Misaka!$E$33</f>
        <v>6181.244999999999</v>
      </c>
      <c r="F5" s="30">
        <f t="shared" si="0"/>
        <v>15592.734879312064</v>
      </c>
    </row>
    <row r="6" spans="1:6" x14ac:dyDescent="0.25">
      <c r="A6" s="4" t="s">
        <v>2</v>
      </c>
      <c r="B6" s="27">
        <f>Kennedy!$B$33</f>
        <v>19345.933160046163</v>
      </c>
      <c r="D6" s="11">
        <f>Kennedy!$E$33</f>
        <v>12705.892499999998</v>
      </c>
      <c r="F6" s="30">
        <f t="shared" si="0"/>
        <v>32051.825660046161</v>
      </c>
    </row>
    <row r="7" spans="1:6" x14ac:dyDescent="0.25">
      <c r="A7" s="4" t="s">
        <v>3</v>
      </c>
      <c r="B7" s="27">
        <f>JMHuber!$B$33</f>
        <v>19345.933160046163</v>
      </c>
      <c r="D7" s="11">
        <f>JMHuber!$E$33</f>
        <v>12705.892499999998</v>
      </c>
      <c r="F7" s="30">
        <f t="shared" si="0"/>
        <v>32051.825660046161</v>
      </c>
    </row>
    <row r="8" spans="1:6" x14ac:dyDescent="0.25">
      <c r="A8" s="4" t="s">
        <v>4</v>
      </c>
      <c r="B8" s="27">
        <f>'FMI Weld'!$B$33</f>
        <v>19345.933160046163</v>
      </c>
      <c r="D8" s="11">
        <f>'FMI Weld'!$E$33</f>
        <v>12705.892499999998</v>
      </c>
      <c r="F8" s="30">
        <f t="shared" si="0"/>
        <v>32051.825660046161</v>
      </c>
    </row>
    <row r="9" spans="1:6" x14ac:dyDescent="0.25">
      <c r="A9" s="4" t="s">
        <v>5</v>
      </c>
      <c r="B9" s="27">
        <f>Patina!$B$33</f>
        <v>19345.933160046163</v>
      </c>
      <c r="D9" s="11">
        <f>Patina!$E$33</f>
        <v>12705.892499999998</v>
      </c>
      <c r="F9" s="30">
        <f t="shared" si="0"/>
        <v>32051.825660046161</v>
      </c>
    </row>
    <row r="10" spans="1:6" x14ac:dyDescent="0.25">
      <c r="A10" s="4" t="s">
        <v>6</v>
      </c>
      <c r="B10" s="27">
        <f>Cannon!$B$33</f>
        <v>19345.933160046163</v>
      </c>
      <c r="D10" s="11">
        <f>Cannon!$E$33</f>
        <v>12705.892499999998</v>
      </c>
      <c r="F10" s="30">
        <f t="shared" si="0"/>
        <v>32051.825660046161</v>
      </c>
    </row>
    <row r="12" spans="1:6" x14ac:dyDescent="0.25">
      <c r="A12" s="4" t="s">
        <v>49</v>
      </c>
      <c r="B12" s="30">
        <f>SUM(B4:B10)</f>
        <v>121826.97214506297</v>
      </c>
      <c r="C12" s="4"/>
      <c r="D12" s="30">
        <f>SUM(D4:D10)</f>
        <v>80012.782500000001</v>
      </c>
      <c r="E12" s="4"/>
      <c r="F12" s="30">
        <f>SUM(F4:F10)</f>
        <v>201839.75464506296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&amp;L&amp;D
&amp;T</oddHeader>
    <oddFooter>&amp;L&amp;A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Print_All">
                <anchor moveWithCells="1" sizeWithCells="1">
                  <from>
                    <xdr:col>6</xdr:col>
                    <xdr:colOff>426720</xdr:colOff>
                    <xdr:row>2</xdr:row>
                    <xdr:rowOff>160020</xdr:rowOff>
                  </from>
                  <to>
                    <xdr:col>9</xdr:col>
                    <xdr:colOff>152400</xdr:colOff>
                    <xdr:row>4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R39"/>
  <sheetViews>
    <sheetView zoomScaleNormal="100" workbookViewId="0">
      <selection activeCell="C22" sqref="C22"/>
    </sheetView>
  </sheetViews>
  <sheetFormatPr defaultRowHeight="13.2" x14ac:dyDescent="0.25"/>
  <cols>
    <col min="1" max="1" width="12.5546875" bestFit="1" customWidth="1"/>
    <col min="2" max="2" width="5" customWidth="1"/>
    <col min="3" max="3" width="9.88671875" bestFit="1" customWidth="1"/>
    <col min="4" max="4" width="4.6640625" customWidth="1"/>
    <col min="5" max="5" width="11.33203125" bestFit="1" customWidth="1"/>
    <col min="6" max="6" width="5.33203125" customWidth="1"/>
    <col min="7" max="7" width="9.33203125" bestFit="1" customWidth="1"/>
    <col min="11" max="11" width="14.109375" customWidth="1"/>
    <col min="12" max="12" width="13.33203125" bestFit="1" customWidth="1"/>
    <col min="13" max="13" width="3.33203125" customWidth="1"/>
    <col min="14" max="14" width="12.6640625" bestFit="1" customWidth="1"/>
    <col min="15" max="15" width="3.6640625" customWidth="1"/>
    <col min="16" max="16" width="12" customWidth="1"/>
    <col min="17" max="17" width="4.88671875" customWidth="1"/>
    <col min="18" max="18" width="11" customWidth="1"/>
  </cols>
  <sheetData>
    <row r="4" spans="1:18" x14ac:dyDescent="0.25">
      <c r="C4" s="4" t="s">
        <v>7</v>
      </c>
      <c r="D4" s="4"/>
      <c r="E4" s="4" t="s">
        <v>8</v>
      </c>
      <c r="F4" s="4"/>
      <c r="G4" s="4" t="s">
        <v>9</v>
      </c>
    </row>
    <row r="5" spans="1:18" x14ac:dyDescent="0.25">
      <c r="A5" s="4" t="s">
        <v>0</v>
      </c>
      <c r="E5" s="1">
        <v>3000</v>
      </c>
      <c r="G5" s="2">
        <v>0.25</v>
      </c>
    </row>
    <row r="6" spans="1:18" x14ac:dyDescent="0.25">
      <c r="A6" s="4" t="s">
        <v>1</v>
      </c>
      <c r="E6" s="1">
        <v>3000</v>
      </c>
      <c r="G6" s="2">
        <v>0.15</v>
      </c>
    </row>
    <row r="7" spans="1:18" x14ac:dyDescent="0.25">
      <c r="A7" s="4" t="s">
        <v>2</v>
      </c>
      <c r="C7">
        <v>700</v>
      </c>
      <c r="E7" s="1">
        <v>3000</v>
      </c>
      <c r="G7" s="2">
        <v>0.25</v>
      </c>
    </row>
    <row r="8" spans="1:18" x14ac:dyDescent="0.25">
      <c r="A8" s="4" t="s">
        <v>3</v>
      </c>
      <c r="C8">
        <v>700</v>
      </c>
      <c r="E8" s="1">
        <v>3000</v>
      </c>
      <c r="G8" s="2">
        <v>0.25</v>
      </c>
      <c r="Q8" s="28"/>
      <c r="R8" s="29"/>
    </row>
    <row r="9" spans="1:18" x14ac:dyDescent="0.25">
      <c r="A9" s="4" t="s">
        <v>4</v>
      </c>
      <c r="C9">
        <v>700</v>
      </c>
      <c r="E9" s="1">
        <v>3000</v>
      </c>
      <c r="G9" s="2">
        <v>0.25</v>
      </c>
    </row>
    <row r="10" spans="1:18" x14ac:dyDescent="0.25">
      <c r="A10" s="4" t="s">
        <v>5</v>
      </c>
      <c r="C10">
        <v>700</v>
      </c>
      <c r="E10" s="1">
        <v>3000</v>
      </c>
      <c r="G10" s="2">
        <v>0.25</v>
      </c>
    </row>
    <row r="11" spans="1:18" x14ac:dyDescent="0.25">
      <c r="A11" s="4" t="s">
        <v>6</v>
      </c>
      <c r="C11">
        <v>700</v>
      </c>
      <c r="E11" s="1">
        <v>3000</v>
      </c>
      <c r="G11" s="2">
        <v>0.25</v>
      </c>
    </row>
    <row r="13" spans="1:18" x14ac:dyDescent="0.25">
      <c r="C13" s="3">
        <f>SUM(C5:C11)</f>
        <v>3500</v>
      </c>
      <c r="E13" s="3">
        <f>SUM(E5:E11)</f>
        <v>21000</v>
      </c>
    </row>
    <row r="15" spans="1:18" x14ac:dyDescent="0.25">
      <c r="A15" s="4" t="s">
        <v>34</v>
      </c>
    </row>
    <row r="16" spans="1:18" x14ac:dyDescent="0.25">
      <c r="A16" s="4" t="s">
        <v>36</v>
      </c>
      <c r="C16" s="6">
        <v>0.81798180314309343</v>
      </c>
      <c r="F16" s="32"/>
      <c r="G16" s="33"/>
      <c r="H16" s="33"/>
      <c r="I16" s="32"/>
    </row>
    <row r="17" spans="1:9" x14ac:dyDescent="0.25">
      <c r="A17" s="4" t="s">
        <v>12</v>
      </c>
      <c r="C17" s="8">
        <v>4.1629395615507505</v>
      </c>
      <c r="F17" s="32"/>
      <c r="G17" s="33"/>
      <c r="H17" s="33"/>
      <c r="I17" s="32"/>
    </row>
    <row r="18" spans="1:9" x14ac:dyDescent="0.25">
      <c r="A18" s="4" t="s">
        <v>13</v>
      </c>
      <c r="C18" s="8">
        <v>2.2284617127787634</v>
      </c>
      <c r="F18" s="32"/>
      <c r="G18" s="33"/>
      <c r="H18" s="33"/>
      <c r="I18" s="32"/>
    </row>
    <row r="19" spans="1:9" x14ac:dyDescent="0.25">
      <c r="F19" s="32"/>
      <c r="G19" s="33"/>
      <c r="H19" s="32"/>
      <c r="I19" s="32"/>
    </row>
    <row r="20" spans="1:9" x14ac:dyDescent="0.25">
      <c r="A20" s="4" t="s">
        <v>23</v>
      </c>
      <c r="F20" s="32"/>
      <c r="G20" s="33"/>
      <c r="H20" s="32"/>
      <c r="I20" s="32"/>
    </row>
    <row r="21" spans="1:9" x14ac:dyDescent="0.25">
      <c r="A21" s="4" t="s">
        <v>24</v>
      </c>
      <c r="C21" s="20">
        <v>0.77339999999999998</v>
      </c>
      <c r="F21" s="32"/>
      <c r="G21" s="33"/>
      <c r="H21" s="32"/>
      <c r="I21" s="32"/>
    </row>
    <row r="22" spans="1:9" x14ac:dyDescent="0.25">
      <c r="A22" s="4" t="s">
        <v>15</v>
      </c>
      <c r="C22" s="20">
        <v>6.6500000000000004E-2</v>
      </c>
      <c r="F22" s="32"/>
      <c r="G22" s="33"/>
      <c r="H22" s="32"/>
      <c r="I22" s="32"/>
    </row>
    <row r="23" spans="1:9" x14ac:dyDescent="0.25">
      <c r="A23" s="4" t="s">
        <v>25</v>
      </c>
      <c r="C23" s="21">
        <v>4.2000000000000003E-2</v>
      </c>
      <c r="F23" s="32"/>
      <c r="G23" s="33"/>
      <c r="H23" s="32"/>
      <c r="I23" s="32"/>
    </row>
    <row r="24" spans="1:9" x14ac:dyDescent="0.25">
      <c r="F24" s="32"/>
      <c r="G24" s="33"/>
      <c r="H24" s="32"/>
      <c r="I24" s="32"/>
    </row>
    <row r="25" spans="1:9" x14ac:dyDescent="0.25">
      <c r="F25" s="32"/>
      <c r="G25" s="33"/>
      <c r="H25" s="32"/>
      <c r="I25" s="32"/>
    </row>
    <row r="26" spans="1:9" x14ac:dyDescent="0.25">
      <c r="F26" s="32"/>
      <c r="G26" s="32"/>
      <c r="H26" s="32"/>
      <c r="I26" s="32"/>
    </row>
    <row r="27" spans="1:9" x14ac:dyDescent="0.25">
      <c r="A27" s="4" t="s">
        <v>35</v>
      </c>
    </row>
    <row r="28" spans="1:9" x14ac:dyDescent="0.25">
      <c r="A28" s="4" t="s">
        <v>36</v>
      </c>
      <c r="C28" s="22">
        <v>1</v>
      </c>
    </row>
    <row r="29" spans="1:9" x14ac:dyDescent="0.25">
      <c r="C29" s="4"/>
    </row>
    <row r="30" spans="1:9" x14ac:dyDescent="0.25">
      <c r="A30" s="4" t="s">
        <v>37</v>
      </c>
      <c r="C30" s="23">
        <v>1.92</v>
      </c>
    </row>
    <row r="31" spans="1:9" x14ac:dyDescent="0.25">
      <c r="A31" s="4" t="s">
        <v>38</v>
      </c>
      <c r="C31" s="23">
        <v>-1.42</v>
      </c>
    </row>
    <row r="32" spans="1:9" x14ac:dyDescent="0.25">
      <c r="A32" s="4"/>
      <c r="C32" s="4"/>
    </row>
    <row r="33" spans="1:3" x14ac:dyDescent="0.25">
      <c r="A33" s="4" t="s">
        <v>39</v>
      </c>
      <c r="C33" s="23">
        <v>-0.96</v>
      </c>
    </row>
    <row r="34" spans="1:3" x14ac:dyDescent="0.25">
      <c r="A34" s="4" t="s">
        <v>40</v>
      </c>
      <c r="C34" s="23">
        <v>0.08</v>
      </c>
    </row>
    <row r="36" spans="1:3" x14ac:dyDescent="0.25">
      <c r="A36" s="4" t="s">
        <v>23</v>
      </c>
    </row>
    <row r="37" spans="1:3" x14ac:dyDescent="0.25">
      <c r="A37" s="4" t="s">
        <v>24</v>
      </c>
      <c r="C37" s="20">
        <v>0.77339999999999998</v>
      </c>
    </row>
    <row r="38" spans="1:3" x14ac:dyDescent="0.25">
      <c r="A38" s="4" t="s">
        <v>15</v>
      </c>
      <c r="C38" s="20">
        <v>6.6500000000000004E-2</v>
      </c>
    </row>
    <row r="39" spans="1:3" x14ac:dyDescent="0.25">
      <c r="A39" s="4" t="s">
        <v>25</v>
      </c>
      <c r="C39" s="21">
        <v>4.2000000000000003E-2</v>
      </c>
    </row>
  </sheetData>
  <phoneticPr fontId="0" type="noConversion"/>
  <pageMargins left="0.75" right="0.75" top="1" bottom="1" header="0.5" footer="0.5"/>
  <pageSetup orientation="portrait" r:id="rId1"/>
  <headerFooter alignWithMargins="0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Q33"/>
  <sheetViews>
    <sheetView topLeftCell="D3" zoomScaleNormal="100" workbookViewId="0">
      <selection activeCell="N19" sqref="N19"/>
    </sheetView>
  </sheetViews>
  <sheetFormatPr defaultRowHeight="13.2" x14ac:dyDescent="0.25"/>
  <cols>
    <col min="1" max="1" width="18.88671875" bestFit="1" customWidth="1"/>
    <col min="2" max="2" width="12" customWidth="1"/>
    <col min="3" max="3" width="3.5546875" customWidth="1"/>
    <col min="4" max="4" width="15.109375" bestFit="1" customWidth="1"/>
    <col min="5" max="5" width="12.5546875" bestFit="1" customWidth="1"/>
    <col min="6" max="6" width="9.33203125" bestFit="1" customWidth="1"/>
    <col min="9" max="9" width="8.6640625" customWidth="1"/>
    <col min="10" max="10" width="17.33203125" bestFit="1" customWidth="1"/>
    <col min="11" max="11" width="5.109375" customWidth="1"/>
    <col min="12" max="12" width="9.6640625" customWidth="1"/>
    <col min="13" max="13" width="5.5546875" customWidth="1"/>
    <col min="14" max="14" width="11.33203125" bestFit="1" customWidth="1"/>
    <col min="15" max="15" width="6.33203125" customWidth="1"/>
    <col min="16" max="16" width="11.5546875" bestFit="1" customWidth="1"/>
  </cols>
  <sheetData>
    <row r="2" spans="1:17" x14ac:dyDescent="0.25">
      <c r="A2" s="4" t="s">
        <v>10</v>
      </c>
      <c r="I2" s="43" t="s">
        <v>50</v>
      </c>
      <c r="J2" s="43"/>
      <c r="K2" s="43"/>
      <c r="L2" s="43"/>
      <c r="M2" s="43"/>
      <c r="N2" s="43"/>
      <c r="O2" s="43"/>
      <c r="P2" s="43"/>
      <c r="Q2" s="43"/>
    </row>
    <row r="3" spans="1:17" x14ac:dyDescent="0.25">
      <c r="A3" s="4"/>
      <c r="B3" s="31" t="s">
        <v>41</v>
      </c>
      <c r="E3" s="31" t="s">
        <v>43</v>
      </c>
      <c r="I3" s="43" t="s">
        <v>51</v>
      </c>
      <c r="J3" s="43"/>
      <c r="K3" s="43"/>
      <c r="L3" s="43"/>
      <c r="M3" s="43"/>
      <c r="N3" s="43"/>
      <c r="O3" s="43"/>
      <c r="P3" s="43"/>
      <c r="Q3" s="43"/>
    </row>
    <row r="4" spans="1:17" x14ac:dyDescent="0.25">
      <c r="A4" s="4" t="s">
        <v>8</v>
      </c>
      <c r="B4" s="5">
        <v>3000</v>
      </c>
      <c r="E4" s="5">
        <v>3000</v>
      </c>
      <c r="I4" s="43" t="s">
        <v>52</v>
      </c>
      <c r="J4" s="43"/>
      <c r="K4" s="43"/>
      <c r="L4" s="43"/>
      <c r="M4" s="43"/>
      <c r="N4" s="43"/>
      <c r="O4" s="43"/>
      <c r="P4" s="43"/>
      <c r="Q4" s="43"/>
    </row>
    <row r="5" spans="1:17" x14ac:dyDescent="0.25">
      <c r="A5" s="4" t="s">
        <v>22</v>
      </c>
      <c r="B5" s="5">
        <f>B4*31</f>
        <v>93000</v>
      </c>
      <c r="E5" s="5">
        <f>E4*31</f>
        <v>93000</v>
      </c>
    </row>
    <row r="6" spans="1:17" x14ac:dyDescent="0.25">
      <c r="C6" s="7"/>
      <c r="D6" s="7"/>
    </row>
    <row r="7" spans="1:17" x14ac:dyDescent="0.25">
      <c r="A7" s="4" t="s">
        <v>11</v>
      </c>
      <c r="B7" s="3">
        <f>B5*Inputs!$C$16</f>
        <v>76072.307692307688</v>
      </c>
      <c r="E7" s="3">
        <f>E5</f>
        <v>93000</v>
      </c>
      <c r="L7" s="31" t="s">
        <v>42</v>
      </c>
      <c r="M7" s="34"/>
      <c r="N7" s="31" t="s">
        <v>53</v>
      </c>
      <c r="O7" s="34"/>
      <c r="P7" s="31" t="s">
        <v>19</v>
      </c>
    </row>
    <row r="8" spans="1:17" ht="15.6" x14ac:dyDescent="0.25">
      <c r="A8" s="4"/>
      <c r="J8" s="4" t="s">
        <v>58</v>
      </c>
      <c r="L8" s="35">
        <f>B7</f>
        <v>76072.307692307688</v>
      </c>
      <c r="M8" s="34"/>
      <c r="N8" s="42">
        <f>E7</f>
        <v>93000</v>
      </c>
      <c r="O8" s="34"/>
      <c r="P8" s="34"/>
    </row>
    <row r="9" spans="1:17" x14ac:dyDescent="0.25">
      <c r="D9" t="s">
        <v>44</v>
      </c>
      <c r="E9" s="18">
        <f>Inputs!$C$30</f>
        <v>1.92</v>
      </c>
      <c r="J9" s="4"/>
      <c r="L9" s="34"/>
      <c r="M9" s="34"/>
      <c r="N9" s="34"/>
      <c r="O9" s="34"/>
      <c r="P9" s="34"/>
    </row>
    <row r="10" spans="1:17" ht="15.6" x14ac:dyDescent="0.25">
      <c r="D10" t="s">
        <v>45</v>
      </c>
      <c r="E10" s="18">
        <f>Inputs!$C$31</f>
        <v>-1.42</v>
      </c>
      <c r="J10" s="4" t="s">
        <v>59</v>
      </c>
      <c r="L10" s="36">
        <f>B11</f>
        <v>4.1629395615507505</v>
      </c>
      <c r="M10" s="34"/>
      <c r="N10" s="37">
        <f>E11</f>
        <v>0.5</v>
      </c>
      <c r="O10" s="34"/>
      <c r="P10" s="34"/>
    </row>
    <row r="11" spans="1:17" x14ac:dyDescent="0.25">
      <c r="A11" s="4" t="s">
        <v>12</v>
      </c>
      <c r="B11" s="9">
        <f>Inputs!$C$17</f>
        <v>4.1629395615507505</v>
      </c>
      <c r="D11" s="24" t="s">
        <v>16</v>
      </c>
      <c r="E11" s="18">
        <f>SUM(E9:E10)</f>
        <v>0.5</v>
      </c>
      <c r="J11" s="4"/>
      <c r="L11" s="36"/>
      <c r="M11" s="34"/>
      <c r="N11" s="34"/>
      <c r="O11" s="34"/>
      <c r="P11" s="34"/>
    </row>
    <row r="12" spans="1:17" ht="15.6" x14ac:dyDescent="0.25">
      <c r="J12" s="4" t="s">
        <v>60</v>
      </c>
      <c r="L12" s="36">
        <f>B15</f>
        <v>2.2284617127787634</v>
      </c>
      <c r="M12" s="34"/>
      <c r="N12" s="36">
        <f>E15</f>
        <v>-0.88</v>
      </c>
      <c r="O12" s="34"/>
      <c r="P12" s="34"/>
    </row>
    <row r="13" spans="1:17" x14ac:dyDescent="0.25">
      <c r="D13" t="s">
        <v>46</v>
      </c>
      <c r="E13" s="18">
        <f>Inputs!$C$33</f>
        <v>-0.96</v>
      </c>
      <c r="J13" s="4"/>
      <c r="L13" s="34"/>
      <c r="M13" s="34"/>
      <c r="N13" s="34"/>
      <c r="O13" s="34"/>
      <c r="P13" s="34"/>
    </row>
    <row r="14" spans="1:17" ht="15.6" x14ac:dyDescent="0.25">
      <c r="D14" t="s">
        <v>47</v>
      </c>
      <c r="E14" s="18">
        <f>Inputs!$C$34</f>
        <v>0.08</v>
      </c>
      <c r="J14" s="4" t="s">
        <v>65</v>
      </c>
      <c r="L14" s="37">
        <f>B26/B7</f>
        <v>1.1096932751810256</v>
      </c>
      <c r="M14" s="34"/>
      <c r="N14" s="37">
        <f>E25</f>
        <v>0.93689999999999996</v>
      </c>
      <c r="O14" s="34"/>
      <c r="P14" s="34"/>
    </row>
    <row r="15" spans="1:17" x14ac:dyDescent="0.25">
      <c r="A15" s="4" t="s">
        <v>13</v>
      </c>
      <c r="B15" s="9">
        <f>Inputs!$C$18</f>
        <v>2.2284617127787634</v>
      </c>
      <c r="D15" s="24" t="s">
        <v>16</v>
      </c>
      <c r="E15" s="18">
        <f>SUM(E13:E14)</f>
        <v>-0.88</v>
      </c>
      <c r="J15" s="4"/>
      <c r="L15" s="34"/>
      <c r="M15" s="34"/>
      <c r="N15" s="34"/>
      <c r="O15" s="34"/>
      <c r="P15" s="34"/>
    </row>
    <row r="16" spans="1:17" x14ac:dyDescent="0.25">
      <c r="J16" s="4" t="s">
        <v>54</v>
      </c>
      <c r="L16" s="38">
        <f>B31</f>
        <v>0.25</v>
      </c>
      <c r="M16" s="34"/>
      <c r="N16" s="38">
        <f>E31</f>
        <v>0.25</v>
      </c>
      <c r="O16" s="34"/>
      <c r="P16" s="34"/>
    </row>
    <row r="17" spans="1:16" x14ac:dyDescent="0.25">
      <c r="A17" t="s">
        <v>21</v>
      </c>
      <c r="B17" s="15">
        <f>B11-B15</f>
        <v>1.9344778487719871</v>
      </c>
      <c r="D17" s="24" t="s">
        <v>21</v>
      </c>
      <c r="E17" s="18">
        <f>E11-E15</f>
        <v>1.38</v>
      </c>
      <c r="J17" s="4"/>
      <c r="L17" s="34"/>
      <c r="M17" s="34"/>
      <c r="N17" s="34"/>
      <c r="O17" s="34"/>
      <c r="P17" s="34"/>
    </row>
    <row r="18" spans="1:16" x14ac:dyDescent="0.25">
      <c r="B18" s="15"/>
      <c r="D18" s="24"/>
      <c r="E18" s="18"/>
      <c r="J18" s="4" t="s">
        <v>55</v>
      </c>
      <c r="L18" s="39">
        <f>L8*((L10-L12)-L14)*L16</f>
        <v>15685.816465520105</v>
      </c>
      <c r="M18" s="34"/>
      <c r="N18" s="39">
        <f>N8*((N10-N12)-N14)*N16</f>
        <v>10302.074999999999</v>
      </c>
      <c r="O18" s="34"/>
      <c r="P18" s="39">
        <f>L18+N18</f>
        <v>25987.891465520104</v>
      </c>
    </row>
    <row r="19" spans="1:16" x14ac:dyDescent="0.25">
      <c r="A19" s="4" t="s">
        <v>29</v>
      </c>
      <c r="B19" s="16">
        <f>B7*B17</f>
        <v>147160.19413573606</v>
      </c>
    </row>
    <row r="21" spans="1:16" x14ac:dyDescent="0.25">
      <c r="A21" s="4" t="s">
        <v>23</v>
      </c>
      <c r="D21" s="4" t="s">
        <v>23</v>
      </c>
      <c r="J21" s="40" t="s">
        <v>56</v>
      </c>
    </row>
    <row r="22" spans="1:16" x14ac:dyDescent="0.25">
      <c r="A22" s="13" t="s">
        <v>14</v>
      </c>
      <c r="B22" s="11">
        <f>B5*Inputs!$C$21</f>
        <v>71926.2</v>
      </c>
      <c r="D22" s="24" t="s">
        <v>14</v>
      </c>
      <c r="E22" s="10">
        <f>Inputs!$C$37</f>
        <v>0.77339999999999998</v>
      </c>
      <c r="J22" t="s">
        <v>57</v>
      </c>
    </row>
    <row r="23" spans="1:16" x14ac:dyDescent="0.25">
      <c r="A23" s="13" t="s">
        <v>15</v>
      </c>
      <c r="B23" s="11">
        <f>B7*Inputs!C22</f>
        <v>5058.8084615384614</v>
      </c>
      <c r="D23" s="24" t="s">
        <v>15</v>
      </c>
      <c r="E23" s="10">
        <f>Inputs!$C$38</f>
        <v>6.6500000000000004E-2</v>
      </c>
    </row>
    <row r="24" spans="1:16" x14ac:dyDescent="0.25">
      <c r="A24" s="13" t="s">
        <v>26</v>
      </c>
      <c r="B24" s="7">
        <f>ROUND((B7/(1-Inputs!$C$23))-B7,0)</f>
        <v>3335</v>
      </c>
      <c r="D24" s="24" t="s">
        <v>25</v>
      </c>
      <c r="E24" s="10">
        <v>9.7000000000000003E-2</v>
      </c>
      <c r="F24" s="7"/>
    </row>
    <row r="25" spans="1:16" ht="15.6" x14ac:dyDescent="0.25">
      <c r="A25" s="13" t="s">
        <v>27</v>
      </c>
      <c r="B25" s="11">
        <f>B24*B15</f>
        <v>7431.9198121171758</v>
      </c>
      <c r="D25" s="24" t="s">
        <v>16</v>
      </c>
      <c r="E25" s="10">
        <f>SUM(E22:E24)</f>
        <v>0.93689999999999996</v>
      </c>
      <c r="F25" s="17"/>
      <c r="J25" s="41" t="s">
        <v>69</v>
      </c>
    </row>
    <row r="26" spans="1:16" x14ac:dyDescent="0.25">
      <c r="A26" s="13" t="s">
        <v>18</v>
      </c>
      <c r="B26" s="12">
        <f>B25+B23+B22</f>
        <v>84416.928273655634</v>
      </c>
      <c r="J26" t="s">
        <v>68</v>
      </c>
    </row>
    <row r="27" spans="1:16" ht="15.6" x14ac:dyDescent="0.25">
      <c r="J27" s="41" t="s">
        <v>61</v>
      </c>
    </row>
    <row r="28" spans="1:16" ht="15.6" x14ac:dyDescent="0.25">
      <c r="D28" s="24" t="s">
        <v>20</v>
      </c>
      <c r="E28" s="18">
        <f>E17-E25</f>
        <v>0.44309999999999994</v>
      </c>
      <c r="J28" s="41" t="s">
        <v>63</v>
      </c>
    </row>
    <row r="29" spans="1:16" ht="15.6" x14ac:dyDescent="0.25">
      <c r="A29" s="13" t="s">
        <v>20</v>
      </c>
      <c r="B29" s="12">
        <f>B19-B26</f>
        <v>62743.265862080429</v>
      </c>
      <c r="D29" t="s">
        <v>17</v>
      </c>
      <c r="E29" s="12">
        <f>E28*E7</f>
        <v>41208.299999999996</v>
      </c>
      <c r="J29" s="41" t="s">
        <v>66</v>
      </c>
    </row>
    <row r="30" spans="1:16" x14ac:dyDescent="0.25">
      <c r="J30" t="s">
        <v>77</v>
      </c>
    </row>
    <row r="31" spans="1:16" x14ac:dyDescent="0.25">
      <c r="A31" s="14" t="s">
        <v>28</v>
      </c>
      <c r="B31" s="2">
        <v>0.25</v>
      </c>
      <c r="D31" s="24" t="s">
        <v>33</v>
      </c>
      <c r="E31" s="25">
        <f>B31</f>
        <v>0.25</v>
      </c>
    </row>
    <row r="33" spans="1:5" x14ac:dyDescent="0.25">
      <c r="A33" s="4" t="s">
        <v>30</v>
      </c>
      <c r="B33" s="3">
        <f>B31*B29</f>
        <v>15685.816465520107</v>
      </c>
      <c r="D33" s="4" t="s">
        <v>30</v>
      </c>
      <c r="E33" s="26">
        <f>E31*E29</f>
        <v>10302.074999999999</v>
      </c>
    </row>
  </sheetData>
  <mergeCells count="3">
    <mergeCell ref="I2:Q2"/>
    <mergeCell ref="I3:Q3"/>
    <mergeCell ref="I4:Q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P33"/>
  <sheetViews>
    <sheetView topLeftCell="B1" zoomScaleNormal="100" workbookViewId="0">
      <selection activeCell="M10" sqref="M10:M14"/>
    </sheetView>
  </sheetViews>
  <sheetFormatPr defaultRowHeight="13.2" x14ac:dyDescent="0.25"/>
  <cols>
    <col min="1" max="1" width="18.88671875" bestFit="1" customWidth="1"/>
    <col min="2" max="2" width="16.6640625" bestFit="1" customWidth="1"/>
    <col min="3" max="3" width="9.44140625" customWidth="1"/>
    <col min="4" max="4" width="15.109375" bestFit="1" customWidth="1"/>
    <col min="5" max="5" width="10.5546875" bestFit="1" customWidth="1"/>
    <col min="6" max="6" width="9.33203125" bestFit="1" customWidth="1"/>
    <col min="8" max="8" width="8.6640625" customWidth="1"/>
    <col min="9" max="9" width="17.33203125" bestFit="1" customWidth="1"/>
    <col min="10" max="10" width="5.109375" customWidth="1"/>
    <col min="11" max="11" width="9.6640625" customWidth="1"/>
    <col min="12" max="12" width="5.5546875" customWidth="1"/>
    <col min="13" max="13" width="9.44140625" bestFit="1" customWidth="1"/>
    <col min="14" max="14" width="6.33203125" customWidth="1"/>
    <col min="15" max="15" width="10.88671875" bestFit="1" customWidth="1"/>
    <col min="16" max="16" width="9.88671875" customWidth="1"/>
  </cols>
  <sheetData>
    <row r="2" spans="1:16" x14ac:dyDescent="0.25">
      <c r="A2" s="4" t="s">
        <v>31</v>
      </c>
      <c r="H2" s="43" t="s">
        <v>50</v>
      </c>
      <c r="I2" s="43"/>
      <c r="J2" s="43"/>
      <c r="K2" s="43"/>
      <c r="L2" s="43"/>
      <c r="M2" s="43"/>
      <c r="N2" s="43"/>
      <c r="O2" s="43"/>
      <c r="P2" s="43"/>
    </row>
    <row r="3" spans="1:16" x14ac:dyDescent="0.25">
      <c r="A3" s="4"/>
      <c r="B3" s="4" t="s">
        <v>41</v>
      </c>
      <c r="E3" s="4" t="s">
        <v>43</v>
      </c>
      <c r="H3" s="43" t="s">
        <v>71</v>
      </c>
      <c r="I3" s="43"/>
      <c r="J3" s="43"/>
      <c r="K3" s="43"/>
      <c r="L3" s="43"/>
      <c r="M3" s="43"/>
      <c r="N3" s="43"/>
      <c r="O3" s="43"/>
      <c r="P3" s="43"/>
    </row>
    <row r="4" spans="1:16" x14ac:dyDescent="0.25">
      <c r="A4" s="4" t="s">
        <v>8</v>
      </c>
      <c r="B4" s="5">
        <v>3000</v>
      </c>
      <c r="E4" s="5">
        <v>3000</v>
      </c>
      <c r="H4" s="43" t="s">
        <v>52</v>
      </c>
      <c r="I4" s="43"/>
      <c r="J4" s="43"/>
      <c r="K4" s="43"/>
      <c r="L4" s="43"/>
      <c r="M4" s="43"/>
      <c r="N4" s="43"/>
      <c r="O4" s="43"/>
      <c r="P4" s="43"/>
    </row>
    <row r="5" spans="1:16" x14ac:dyDescent="0.25">
      <c r="A5" s="4" t="s">
        <v>22</v>
      </c>
      <c r="B5" s="5">
        <f>B4*31</f>
        <v>93000</v>
      </c>
      <c r="E5" s="5">
        <f>E4*31</f>
        <v>93000</v>
      </c>
    </row>
    <row r="6" spans="1:16" x14ac:dyDescent="0.25">
      <c r="C6" s="7"/>
      <c r="D6" s="7"/>
    </row>
    <row r="7" spans="1:16" x14ac:dyDescent="0.25">
      <c r="A7" s="4" t="s">
        <v>11</v>
      </c>
      <c r="B7" s="3">
        <f>B5*Inputs!$C$16</f>
        <v>76072.307692307688</v>
      </c>
      <c r="E7" s="5">
        <f>E5*Inputs!C28</f>
        <v>93000</v>
      </c>
      <c r="K7" s="31" t="s">
        <v>42</v>
      </c>
      <c r="L7" s="34"/>
      <c r="M7" s="31" t="s">
        <v>53</v>
      </c>
      <c r="N7" s="34"/>
      <c r="O7" s="31" t="s">
        <v>19</v>
      </c>
    </row>
    <row r="8" spans="1:16" ht="15.6" x14ac:dyDescent="0.25">
      <c r="A8" s="4"/>
      <c r="I8" s="4" t="s">
        <v>58</v>
      </c>
      <c r="K8" s="35">
        <f>B7</f>
        <v>76072.307692307688</v>
      </c>
      <c r="L8" s="34"/>
      <c r="M8" s="35">
        <f>E7</f>
        <v>93000</v>
      </c>
      <c r="N8" s="42"/>
      <c r="O8" s="34"/>
    </row>
    <row r="9" spans="1:16" x14ac:dyDescent="0.25">
      <c r="D9" t="s">
        <v>44</v>
      </c>
      <c r="E9" s="18">
        <f>Inputs!$C$30</f>
        <v>1.92</v>
      </c>
      <c r="I9" s="4"/>
      <c r="K9" s="34"/>
      <c r="L9" s="34"/>
      <c r="M9" s="34"/>
      <c r="N9" s="34"/>
      <c r="O9" s="34"/>
    </row>
    <row r="10" spans="1:16" ht="15.6" x14ac:dyDescent="0.25">
      <c r="D10" t="s">
        <v>45</v>
      </c>
      <c r="E10" s="18">
        <f>Inputs!$C$31</f>
        <v>-1.42</v>
      </c>
      <c r="I10" s="4" t="s">
        <v>59</v>
      </c>
      <c r="K10" s="36">
        <f>B11</f>
        <v>4.1629395615507505</v>
      </c>
      <c r="L10" s="34"/>
      <c r="M10" s="36">
        <f>E11</f>
        <v>0.5</v>
      </c>
      <c r="N10" s="37"/>
      <c r="O10" s="34"/>
    </row>
    <row r="11" spans="1:16" x14ac:dyDescent="0.25">
      <c r="A11" s="4" t="s">
        <v>12</v>
      </c>
      <c r="B11" s="9">
        <f>Inputs!$C$17</f>
        <v>4.1629395615507505</v>
      </c>
      <c r="D11" s="24" t="s">
        <v>16</v>
      </c>
      <c r="E11" s="18">
        <f>SUM(E9:E10)</f>
        <v>0.5</v>
      </c>
      <c r="I11" s="4"/>
      <c r="K11" s="36"/>
      <c r="L11" s="34"/>
      <c r="M11" s="36"/>
      <c r="N11" s="34"/>
      <c r="O11" s="34"/>
    </row>
    <row r="12" spans="1:16" ht="15.6" x14ac:dyDescent="0.25">
      <c r="I12" s="4" t="s">
        <v>60</v>
      </c>
      <c r="K12" s="36">
        <f>B15</f>
        <v>2.2284617127787634</v>
      </c>
      <c r="L12" s="34"/>
      <c r="M12" s="36">
        <f>E15</f>
        <v>-0.88</v>
      </c>
      <c r="N12" s="36"/>
      <c r="O12" s="34"/>
    </row>
    <row r="13" spans="1:16" x14ac:dyDescent="0.25">
      <c r="D13" t="s">
        <v>46</v>
      </c>
      <c r="E13" s="18">
        <f>Inputs!$C$33</f>
        <v>-0.96</v>
      </c>
      <c r="I13" s="4"/>
      <c r="K13" s="34"/>
      <c r="L13" s="34"/>
      <c r="M13" s="36"/>
      <c r="N13" s="34"/>
      <c r="O13" s="34"/>
    </row>
    <row r="14" spans="1:16" ht="15.6" x14ac:dyDescent="0.25">
      <c r="D14" t="s">
        <v>47</v>
      </c>
      <c r="E14" s="18">
        <f>Inputs!$C$34</f>
        <v>0.08</v>
      </c>
      <c r="I14" s="4" t="s">
        <v>65</v>
      </c>
      <c r="K14" s="37">
        <f>B26/B7</f>
        <v>1.1096932751810256</v>
      </c>
      <c r="L14" s="34"/>
      <c r="M14" s="36">
        <f>E25</f>
        <v>0.93689999999999996</v>
      </c>
      <c r="N14" s="37"/>
      <c r="O14" s="34"/>
    </row>
    <row r="15" spans="1:16" x14ac:dyDescent="0.25">
      <c r="A15" s="4" t="s">
        <v>13</v>
      </c>
      <c r="B15" s="9">
        <f>Inputs!$C$18</f>
        <v>2.2284617127787634</v>
      </c>
      <c r="D15" s="24" t="s">
        <v>16</v>
      </c>
      <c r="E15" s="18">
        <f>SUM(E13:E14)</f>
        <v>-0.88</v>
      </c>
      <c r="I15" s="4"/>
      <c r="K15" s="34"/>
      <c r="L15" s="34"/>
      <c r="M15" s="34"/>
      <c r="N15" s="34"/>
      <c r="O15" s="34"/>
    </row>
    <row r="16" spans="1:16" x14ac:dyDescent="0.25">
      <c r="I16" s="4" t="s">
        <v>54</v>
      </c>
      <c r="K16" s="38">
        <f>B31</f>
        <v>0.15</v>
      </c>
      <c r="L16" s="34"/>
      <c r="M16" s="38">
        <f>E31</f>
        <v>0.15</v>
      </c>
      <c r="N16" s="34"/>
      <c r="O16" s="34"/>
    </row>
    <row r="17" spans="1:15" x14ac:dyDescent="0.25">
      <c r="A17" t="s">
        <v>21</v>
      </c>
      <c r="B17" s="15">
        <f>B11-B15</f>
        <v>1.9344778487719871</v>
      </c>
      <c r="D17" s="24" t="s">
        <v>21</v>
      </c>
      <c r="E17" s="18">
        <f>E11-E15</f>
        <v>1.38</v>
      </c>
      <c r="I17" s="4"/>
      <c r="K17" s="34"/>
      <c r="L17" s="34"/>
      <c r="M17" s="34"/>
      <c r="N17" s="34"/>
      <c r="O17" s="34"/>
    </row>
    <row r="18" spans="1:15" x14ac:dyDescent="0.25">
      <c r="B18" s="15"/>
      <c r="D18" s="24"/>
      <c r="E18" s="18"/>
      <c r="I18" s="4" t="s">
        <v>55</v>
      </c>
      <c r="K18" s="39">
        <f>K8*((K10-K12)-K14)*K16</f>
        <v>9411.4898793120628</v>
      </c>
      <c r="L18" s="34"/>
      <c r="M18" s="39">
        <f>M8*((M10-M12)-M14)*M16</f>
        <v>6181.244999999999</v>
      </c>
      <c r="N18" s="34"/>
      <c r="O18" s="39">
        <f>K18+M18</f>
        <v>15592.734879312062</v>
      </c>
    </row>
    <row r="19" spans="1:15" x14ac:dyDescent="0.25">
      <c r="A19" s="4" t="s">
        <v>29</v>
      </c>
      <c r="B19" s="16">
        <f>B7*B17</f>
        <v>147160.19413573606</v>
      </c>
    </row>
    <row r="21" spans="1:15" x14ac:dyDescent="0.25">
      <c r="A21" s="4" t="s">
        <v>23</v>
      </c>
      <c r="D21" s="4" t="s">
        <v>23</v>
      </c>
      <c r="I21" s="40" t="s">
        <v>56</v>
      </c>
    </row>
    <row r="22" spans="1:15" x14ac:dyDescent="0.25">
      <c r="A22" s="13" t="s">
        <v>14</v>
      </c>
      <c r="B22" s="19">
        <f>B5*Inputs!$C$21</f>
        <v>71926.2</v>
      </c>
      <c r="D22" s="24" t="s">
        <v>14</v>
      </c>
      <c r="E22" s="10">
        <f>Inputs!$C$37</f>
        <v>0.77339999999999998</v>
      </c>
      <c r="I22" t="s">
        <v>57</v>
      </c>
    </row>
    <row r="23" spans="1:15" x14ac:dyDescent="0.25">
      <c r="A23" s="13" t="s">
        <v>15</v>
      </c>
      <c r="B23" s="19">
        <f>B7*Inputs!C22</f>
        <v>5058.8084615384614</v>
      </c>
      <c r="D23" s="24" t="s">
        <v>15</v>
      </c>
      <c r="E23" s="10">
        <f>Inputs!$C$38</f>
        <v>6.6500000000000004E-2</v>
      </c>
    </row>
    <row r="24" spans="1:15" x14ac:dyDescent="0.25">
      <c r="A24" s="13" t="s">
        <v>26</v>
      </c>
      <c r="B24" s="7">
        <f>ROUND((B7/(1-Inputs!C23))-B7,0)</f>
        <v>3335</v>
      </c>
      <c r="D24" s="24" t="s">
        <v>25</v>
      </c>
      <c r="E24" s="10">
        <v>9.7000000000000003E-2</v>
      </c>
    </row>
    <row r="25" spans="1:15" ht="15.6" x14ac:dyDescent="0.25">
      <c r="A25" s="13" t="s">
        <v>27</v>
      </c>
      <c r="B25" s="19">
        <f>B24*B15</f>
        <v>7431.9198121171758</v>
      </c>
      <c r="D25" s="24" t="s">
        <v>16</v>
      </c>
      <c r="E25" s="10">
        <f>SUM(E22:E24)</f>
        <v>0.93689999999999996</v>
      </c>
      <c r="F25" s="17">
        <f>E25*E7</f>
        <v>87131.7</v>
      </c>
      <c r="I25" s="41" t="s">
        <v>70</v>
      </c>
    </row>
    <row r="26" spans="1:15" x14ac:dyDescent="0.25">
      <c r="A26" s="13" t="s">
        <v>18</v>
      </c>
      <c r="B26" s="12">
        <f>B25+B23+B22</f>
        <v>84416.928273655634</v>
      </c>
      <c r="I26" t="s">
        <v>68</v>
      </c>
    </row>
    <row r="27" spans="1:15" ht="15.6" x14ac:dyDescent="0.25">
      <c r="I27" s="41" t="s">
        <v>62</v>
      </c>
    </row>
    <row r="28" spans="1:15" ht="15.6" x14ac:dyDescent="0.25">
      <c r="D28" t="s">
        <v>20</v>
      </c>
      <c r="E28" s="18">
        <f>E17-E25</f>
        <v>0.44309999999999994</v>
      </c>
      <c r="I28" s="41" t="s">
        <v>64</v>
      </c>
    </row>
    <row r="29" spans="1:15" ht="15.6" x14ac:dyDescent="0.25">
      <c r="A29" s="13" t="s">
        <v>20</v>
      </c>
      <c r="B29" s="12">
        <f>B19-B26</f>
        <v>62743.265862080429</v>
      </c>
      <c r="D29" t="s">
        <v>17</v>
      </c>
      <c r="E29" s="12">
        <f>E28*E7</f>
        <v>41208.299999999996</v>
      </c>
      <c r="I29" s="41" t="s">
        <v>67</v>
      </c>
    </row>
    <row r="30" spans="1:15" x14ac:dyDescent="0.25">
      <c r="I30" t="s">
        <v>77</v>
      </c>
    </row>
    <row r="31" spans="1:15" x14ac:dyDescent="0.25">
      <c r="A31" s="14" t="s">
        <v>28</v>
      </c>
      <c r="B31" s="2">
        <v>0.15</v>
      </c>
      <c r="D31" t="s">
        <v>33</v>
      </c>
      <c r="E31" s="25">
        <f>B31</f>
        <v>0.15</v>
      </c>
    </row>
    <row r="33" spans="1:5" x14ac:dyDescent="0.25">
      <c r="A33" s="4" t="s">
        <v>30</v>
      </c>
      <c r="B33" s="3">
        <f>B31*B29</f>
        <v>9411.4898793120647</v>
      </c>
      <c r="D33" s="4" t="s">
        <v>30</v>
      </c>
      <c r="E33" s="26">
        <f>E31*E29</f>
        <v>6181.244999999999</v>
      </c>
    </row>
  </sheetData>
  <mergeCells count="3">
    <mergeCell ref="H2:P2"/>
    <mergeCell ref="H3:P3"/>
    <mergeCell ref="H4:P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P33"/>
  <sheetViews>
    <sheetView topLeftCell="D2" zoomScaleNormal="100" workbookViewId="0">
      <selection activeCell="M10" sqref="M10:M12"/>
    </sheetView>
  </sheetViews>
  <sheetFormatPr defaultRowHeight="13.2" x14ac:dyDescent="0.25"/>
  <cols>
    <col min="1" max="1" width="18.88671875" bestFit="1" customWidth="1"/>
    <col min="2" max="2" width="16.6640625" bestFit="1" customWidth="1"/>
    <col min="3" max="3" width="9.44140625" customWidth="1"/>
    <col min="4" max="4" width="15.109375" bestFit="1" customWidth="1"/>
    <col min="5" max="6" width="12.33203125" bestFit="1" customWidth="1"/>
    <col min="8" max="8" width="8.6640625" customWidth="1"/>
    <col min="9" max="9" width="17.33203125" bestFit="1" customWidth="1"/>
    <col min="10" max="10" width="5.109375" customWidth="1"/>
    <col min="11" max="11" width="9.6640625" customWidth="1"/>
    <col min="12" max="12" width="5.5546875" customWidth="1"/>
    <col min="13" max="13" width="11.33203125" bestFit="1" customWidth="1"/>
    <col min="14" max="14" width="6.33203125" customWidth="1"/>
    <col min="15" max="15" width="11.5546875" bestFit="1" customWidth="1"/>
  </cols>
  <sheetData>
    <row r="2" spans="1:16" x14ac:dyDescent="0.25">
      <c r="A2" s="4" t="s">
        <v>32</v>
      </c>
      <c r="H2" s="43" t="s">
        <v>50</v>
      </c>
      <c r="I2" s="43"/>
      <c r="J2" s="43"/>
      <c r="K2" s="43"/>
      <c r="L2" s="43"/>
      <c r="M2" s="43"/>
      <c r="N2" s="43"/>
      <c r="O2" s="43"/>
      <c r="P2" s="43"/>
    </row>
    <row r="3" spans="1:16" x14ac:dyDescent="0.25">
      <c r="A3" s="4"/>
      <c r="B3" s="4" t="s">
        <v>41</v>
      </c>
      <c r="E3" s="4" t="s">
        <v>43</v>
      </c>
      <c r="H3" s="43" t="s">
        <v>2</v>
      </c>
      <c r="I3" s="43"/>
      <c r="J3" s="43"/>
      <c r="K3" s="43"/>
      <c r="L3" s="43"/>
      <c r="M3" s="43"/>
      <c r="N3" s="43"/>
      <c r="O3" s="43"/>
      <c r="P3" s="43"/>
    </row>
    <row r="4" spans="1:16" x14ac:dyDescent="0.25">
      <c r="A4" s="4" t="s">
        <v>8</v>
      </c>
      <c r="B4" s="5">
        <v>3700</v>
      </c>
      <c r="E4" s="5">
        <v>3700</v>
      </c>
      <c r="H4" s="43" t="s">
        <v>52</v>
      </c>
      <c r="I4" s="43"/>
      <c r="J4" s="43"/>
      <c r="K4" s="43"/>
      <c r="L4" s="43"/>
      <c r="M4" s="43"/>
      <c r="N4" s="43"/>
      <c r="O4" s="43"/>
      <c r="P4" s="43"/>
    </row>
    <row r="5" spans="1:16" x14ac:dyDescent="0.25">
      <c r="A5" s="4" t="s">
        <v>22</v>
      </c>
      <c r="B5" s="5">
        <f>B4*31</f>
        <v>114700</v>
      </c>
      <c r="E5" s="5">
        <f>E4*31</f>
        <v>114700</v>
      </c>
    </row>
    <row r="6" spans="1:16" x14ac:dyDescent="0.25">
      <c r="C6" s="7"/>
      <c r="D6" s="7"/>
    </row>
    <row r="7" spans="1:16" x14ac:dyDescent="0.25">
      <c r="A7" s="4" t="s">
        <v>11</v>
      </c>
      <c r="B7" s="3">
        <f>B5*Inputs!$C$16</f>
        <v>93822.512820512813</v>
      </c>
      <c r="E7" s="4">
        <f>E5*Inputs!C28</f>
        <v>114700</v>
      </c>
      <c r="K7" s="31" t="s">
        <v>42</v>
      </c>
      <c r="L7" s="34"/>
      <c r="M7" s="31" t="s">
        <v>53</v>
      </c>
      <c r="N7" s="34"/>
      <c r="O7" s="31" t="s">
        <v>19</v>
      </c>
    </row>
    <row r="8" spans="1:16" ht="15.6" x14ac:dyDescent="0.25">
      <c r="A8" s="4"/>
      <c r="I8" s="4" t="s">
        <v>58</v>
      </c>
      <c r="K8" s="35">
        <f>B7</f>
        <v>93822.512820512813</v>
      </c>
      <c r="L8" s="34"/>
      <c r="M8" s="42">
        <f>E7</f>
        <v>114700</v>
      </c>
      <c r="N8" s="42"/>
      <c r="O8" s="34"/>
    </row>
    <row r="9" spans="1:16" x14ac:dyDescent="0.25">
      <c r="D9" t="s">
        <v>44</v>
      </c>
      <c r="E9" s="18">
        <f>Inputs!$C$30</f>
        <v>1.92</v>
      </c>
      <c r="I9" s="4"/>
      <c r="K9" s="34"/>
      <c r="L9" s="34"/>
      <c r="M9" s="34"/>
      <c r="N9" s="34"/>
      <c r="O9" s="34"/>
    </row>
    <row r="10" spans="1:16" ht="15.6" x14ac:dyDescent="0.25">
      <c r="D10" t="s">
        <v>45</v>
      </c>
      <c r="E10" s="18">
        <f>Inputs!$C$31</f>
        <v>-1.42</v>
      </c>
      <c r="I10" s="4" t="s">
        <v>59</v>
      </c>
      <c r="K10" s="36">
        <f>B11</f>
        <v>4.1629395615507505</v>
      </c>
      <c r="L10" s="34"/>
      <c r="M10" s="36">
        <f>E11</f>
        <v>0.5</v>
      </c>
      <c r="N10" s="37"/>
      <c r="O10" s="34"/>
    </row>
    <row r="11" spans="1:16" x14ac:dyDescent="0.25">
      <c r="A11" s="4" t="s">
        <v>12</v>
      </c>
      <c r="B11" s="9">
        <f>Inputs!$C$17</f>
        <v>4.1629395615507505</v>
      </c>
      <c r="D11" s="24" t="s">
        <v>16</v>
      </c>
      <c r="E11" s="18">
        <f>SUM(E9:E10)</f>
        <v>0.5</v>
      </c>
      <c r="I11" s="4"/>
      <c r="K11" s="36"/>
      <c r="L11" s="34"/>
      <c r="M11" s="36"/>
      <c r="N11" s="34"/>
      <c r="O11" s="34"/>
    </row>
    <row r="12" spans="1:16" ht="15.6" x14ac:dyDescent="0.25">
      <c r="I12" s="4" t="s">
        <v>60</v>
      </c>
      <c r="K12" s="36">
        <f>B15</f>
        <v>2.2284617127787634</v>
      </c>
      <c r="L12" s="34"/>
      <c r="M12" s="36">
        <f>E15</f>
        <v>-0.88</v>
      </c>
      <c r="N12" s="36"/>
      <c r="O12" s="34"/>
    </row>
    <row r="13" spans="1:16" x14ac:dyDescent="0.25">
      <c r="D13" t="s">
        <v>46</v>
      </c>
      <c r="E13" s="18">
        <f>Inputs!$C$33</f>
        <v>-0.96</v>
      </c>
      <c r="I13" s="4"/>
      <c r="K13" s="34"/>
      <c r="L13" s="34"/>
      <c r="M13" s="34"/>
      <c r="N13" s="34"/>
      <c r="O13" s="34"/>
    </row>
    <row r="14" spans="1:16" ht="15.6" x14ac:dyDescent="0.25">
      <c r="D14" t="s">
        <v>47</v>
      </c>
      <c r="E14" s="18">
        <f>Inputs!$C$34</f>
        <v>0.08</v>
      </c>
      <c r="I14" s="4" t="s">
        <v>65</v>
      </c>
      <c r="K14" s="37">
        <f>B26/B7</f>
        <v>1.1096893165332096</v>
      </c>
      <c r="L14" s="34"/>
      <c r="M14" s="36">
        <f>E25</f>
        <v>0.93689999999999996</v>
      </c>
      <c r="N14" s="37"/>
      <c r="O14" s="34"/>
    </row>
    <row r="15" spans="1:16" x14ac:dyDescent="0.25">
      <c r="A15" s="4" t="s">
        <v>13</v>
      </c>
      <c r="B15" s="9">
        <f>Inputs!$C$18</f>
        <v>2.2284617127787634</v>
      </c>
      <c r="D15" s="24" t="s">
        <v>16</v>
      </c>
      <c r="E15" s="18">
        <f>SUM(E13:E14)</f>
        <v>-0.88</v>
      </c>
      <c r="I15" s="4"/>
      <c r="K15" s="34"/>
      <c r="L15" s="34"/>
      <c r="M15" s="34"/>
      <c r="N15" s="34"/>
      <c r="O15" s="34"/>
    </row>
    <row r="16" spans="1:16" x14ac:dyDescent="0.25">
      <c r="I16" s="4" t="s">
        <v>54</v>
      </c>
      <c r="K16" s="38">
        <f>B31</f>
        <v>0.25</v>
      </c>
      <c r="L16" s="34"/>
      <c r="M16" s="38">
        <f>E31</f>
        <v>0.25</v>
      </c>
      <c r="N16" s="34"/>
      <c r="O16" s="34"/>
    </row>
    <row r="17" spans="1:15" x14ac:dyDescent="0.25">
      <c r="A17" t="s">
        <v>21</v>
      </c>
      <c r="B17" s="15">
        <f>B11-B15</f>
        <v>1.9344778487719871</v>
      </c>
      <c r="D17" s="24" t="s">
        <v>21</v>
      </c>
      <c r="E17" s="18">
        <f>E11-E15</f>
        <v>1.38</v>
      </c>
      <c r="I17" s="4"/>
      <c r="K17" s="34"/>
      <c r="L17" s="34"/>
      <c r="M17" s="34"/>
      <c r="N17" s="34"/>
      <c r="O17" s="34"/>
    </row>
    <row r="18" spans="1:15" x14ac:dyDescent="0.25">
      <c r="B18" s="15"/>
      <c r="D18" s="24"/>
      <c r="E18" s="18"/>
      <c r="I18" s="4" t="s">
        <v>55</v>
      </c>
      <c r="K18" s="39">
        <f>K8*((K10-K12)-K14)*K16</f>
        <v>19345.933160046163</v>
      </c>
      <c r="L18" s="34"/>
      <c r="M18" s="39">
        <f>M8*((M10-M12)-M14)*M16</f>
        <v>12705.892499999998</v>
      </c>
      <c r="N18" s="34"/>
      <c r="O18" s="39">
        <f>K18+M18</f>
        <v>32051.825660046161</v>
      </c>
    </row>
    <row r="19" spans="1:15" x14ac:dyDescent="0.25">
      <c r="A19" s="4" t="s">
        <v>29</v>
      </c>
      <c r="B19" s="16">
        <f>B7*B17</f>
        <v>181497.57276740781</v>
      </c>
    </row>
    <row r="21" spans="1:15" x14ac:dyDescent="0.25">
      <c r="A21" s="4" t="s">
        <v>23</v>
      </c>
      <c r="D21" s="4" t="s">
        <v>23</v>
      </c>
      <c r="I21" s="40" t="s">
        <v>56</v>
      </c>
    </row>
    <row r="22" spans="1:15" x14ac:dyDescent="0.25">
      <c r="A22" s="13" t="s">
        <v>14</v>
      </c>
      <c r="B22" s="19">
        <f>B5*Inputs!$C$21</f>
        <v>88708.98</v>
      </c>
      <c r="D22" s="24" t="s">
        <v>14</v>
      </c>
      <c r="E22" s="10">
        <f>Inputs!$C$37</f>
        <v>0.77339999999999998</v>
      </c>
      <c r="F22" s="11">
        <f>E22*E7</f>
        <v>88708.98</v>
      </c>
      <c r="I22" t="s">
        <v>57</v>
      </c>
    </row>
    <row r="23" spans="1:15" x14ac:dyDescent="0.25">
      <c r="A23" s="13" t="s">
        <v>15</v>
      </c>
      <c r="B23" s="19">
        <f>B7*Inputs!C22</f>
        <v>6239.1971025641024</v>
      </c>
      <c r="D23" s="24" t="s">
        <v>15</v>
      </c>
      <c r="E23" s="10">
        <f>Inputs!$C$38</f>
        <v>6.6500000000000004E-2</v>
      </c>
      <c r="F23" s="11">
        <f>E23*E7</f>
        <v>7627.55</v>
      </c>
    </row>
    <row r="24" spans="1:15" x14ac:dyDescent="0.25">
      <c r="A24" s="13" t="s">
        <v>26</v>
      </c>
      <c r="B24" s="7">
        <f>ROUND((B7/(1-Inputs!$C$23))-B7,0)</f>
        <v>4113</v>
      </c>
      <c r="D24" s="24" t="s">
        <v>25</v>
      </c>
      <c r="E24" s="10">
        <v>9.7000000000000003E-2</v>
      </c>
      <c r="F24" s="11">
        <f>ROUND((E7/(1-Inputs!$C$23))-E7,0)*(E15+3.096)</f>
        <v>11144.264000000001</v>
      </c>
    </row>
    <row r="25" spans="1:15" ht="15.6" x14ac:dyDescent="0.25">
      <c r="A25" s="13" t="s">
        <v>27</v>
      </c>
      <c r="B25" s="19">
        <f>B24*B15</f>
        <v>9165.6630246590539</v>
      </c>
      <c r="D25" s="24" t="s">
        <v>16</v>
      </c>
      <c r="E25" s="10">
        <f>SUM(E22:E24)</f>
        <v>0.93689999999999996</v>
      </c>
      <c r="F25" s="11">
        <f>SUM(F22:F24)</f>
        <v>107480.79399999999</v>
      </c>
      <c r="G25" s="17">
        <f>E25*E7</f>
        <v>107462.43</v>
      </c>
      <c r="I25" s="41" t="s">
        <v>72</v>
      </c>
    </row>
    <row r="26" spans="1:15" x14ac:dyDescent="0.25">
      <c r="A26" s="13" t="s">
        <v>18</v>
      </c>
      <c r="B26" s="12">
        <f>B25+B23+B22</f>
        <v>104113.84012722316</v>
      </c>
      <c r="G26">
        <f>G25/$E$7</f>
        <v>0.93689999999999996</v>
      </c>
      <c r="I26" t="s">
        <v>68</v>
      </c>
    </row>
    <row r="27" spans="1:15" ht="15.6" x14ac:dyDescent="0.25">
      <c r="I27" s="41" t="s">
        <v>62</v>
      </c>
    </row>
    <row r="28" spans="1:15" ht="15.6" x14ac:dyDescent="0.25">
      <c r="D28" t="s">
        <v>20</v>
      </c>
      <c r="E28" s="18">
        <f>E17-E25</f>
        <v>0.44309999999999994</v>
      </c>
      <c r="I28" s="41" t="s">
        <v>64</v>
      </c>
    </row>
    <row r="29" spans="1:15" ht="15.6" x14ac:dyDescent="0.25">
      <c r="A29" s="13" t="s">
        <v>20</v>
      </c>
      <c r="B29" s="12">
        <f>B19-B26</f>
        <v>77383.732640184651</v>
      </c>
      <c r="D29" t="s">
        <v>17</v>
      </c>
      <c r="E29" s="12">
        <f>E28*E7</f>
        <v>50823.569999999992</v>
      </c>
      <c r="I29" s="41" t="s">
        <v>78</v>
      </c>
    </row>
    <row r="30" spans="1:15" x14ac:dyDescent="0.25">
      <c r="I30" t="s">
        <v>77</v>
      </c>
    </row>
    <row r="31" spans="1:15" x14ac:dyDescent="0.25">
      <c r="A31" s="14" t="s">
        <v>28</v>
      </c>
      <c r="B31" s="2">
        <v>0.25</v>
      </c>
      <c r="D31" t="s">
        <v>33</v>
      </c>
      <c r="E31" s="25">
        <f>B31</f>
        <v>0.25</v>
      </c>
    </row>
    <row r="33" spans="1:5" x14ac:dyDescent="0.25">
      <c r="A33" s="4" t="s">
        <v>30</v>
      </c>
      <c r="B33" s="3">
        <f>B31*B29</f>
        <v>19345.933160046163</v>
      </c>
      <c r="D33" s="4" t="s">
        <v>30</v>
      </c>
      <c r="E33" s="26">
        <f>E31*E29</f>
        <v>12705.892499999998</v>
      </c>
    </row>
  </sheetData>
  <mergeCells count="3">
    <mergeCell ref="H2:P2"/>
    <mergeCell ref="H3:P3"/>
    <mergeCell ref="H4:P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P33"/>
  <sheetViews>
    <sheetView topLeftCell="D2" zoomScaleNormal="100" workbookViewId="0">
      <selection activeCell="M8" sqref="M8"/>
    </sheetView>
  </sheetViews>
  <sheetFormatPr defaultRowHeight="13.2" x14ac:dyDescent="0.25"/>
  <cols>
    <col min="1" max="1" width="18.88671875" bestFit="1" customWidth="1"/>
    <col min="2" max="2" width="16.6640625" bestFit="1" customWidth="1"/>
    <col min="3" max="3" width="9.44140625" customWidth="1"/>
    <col min="4" max="4" width="15.109375" bestFit="1" customWidth="1"/>
    <col min="5" max="5" width="12.33203125" bestFit="1" customWidth="1"/>
    <col min="6" max="6" width="9.33203125" bestFit="1" customWidth="1"/>
    <col min="8" max="8" width="8.6640625" customWidth="1"/>
    <col min="9" max="9" width="17.33203125" bestFit="1" customWidth="1"/>
    <col min="10" max="10" width="5.109375" customWidth="1"/>
    <col min="11" max="11" width="9.6640625" customWidth="1"/>
    <col min="12" max="12" width="5.5546875" customWidth="1"/>
    <col min="13" max="13" width="11.33203125" bestFit="1" customWidth="1"/>
    <col min="14" max="14" width="6.33203125" customWidth="1"/>
    <col min="15" max="15" width="11.5546875" bestFit="1" customWidth="1"/>
  </cols>
  <sheetData>
    <row r="2" spans="1:16" x14ac:dyDescent="0.25">
      <c r="A2" s="4" t="s">
        <v>3</v>
      </c>
      <c r="H2" s="43" t="s">
        <v>50</v>
      </c>
      <c r="I2" s="43"/>
      <c r="J2" s="43"/>
      <c r="K2" s="43"/>
      <c r="L2" s="43"/>
      <c r="M2" s="43"/>
      <c r="N2" s="43"/>
      <c r="O2" s="43"/>
      <c r="P2" s="43"/>
    </row>
    <row r="3" spans="1:16" x14ac:dyDescent="0.25">
      <c r="A3" s="4"/>
      <c r="B3" s="4" t="s">
        <v>41</v>
      </c>
      <c r="E3" s="4" t="s">
        <v>43</v>
      </c>
      <c r="H3" s="43" t="s">
        <v>73</v>
      </c>
      <c r="I3" s="43"/>
      <c r="J3" s="43"/>
      <c r="K3" s="43"/>
      <c r="L3" s="43"/>
      <c r="M3" s="43"/>
      <c r="N3" s="43"/>
      <c r="O3" s="43"/>
      <c r="P3" s="43"/>
    </row>
    <row r="4" spans="1:16" x14ac:dyDescent="0.25">
      <c r="A4" s="4" t="s">
        <v>8</v>
      </c>
      <c r="B4" s="5">
        <v>3700</v>
      </c>
      <c r="E4" s="5">
        <v>3700</v>
      </c>
      <c r="H4" s="43" t="s">
        <v>52</v>
      </c>
      <c r="I4" s="43"/>
      <c r="J4" s="43"/>
      <c r="K4" s="43"/>
      <c r="L4" s="43"/>
      <c r="M4" s="43"/>
      <c r="N4" s="43"/>
      <c r="O4" s="43"/>
      <c r="P4" s="43"/>
    </row>
    <row r="5" spans="1:16" x14ac:dyDescent="0.25">
      <c r="A5" s="4" t="s">
        <v>22</v>
      </c>
      <c r="B5" s="5">
        <f>B4*31</f>
        <v>114700</v>
      </c>
      <c r="E5" s="5">
        <f>E4*31</f>
        <v>114700</v>
      </c>
    </row>
    <row r="6" spans="1:16" x14ac:dyDescent="0.25">
      <c r="C6" s="7"/>
      <c r="D6" s="7"/>
    </row>
    <row r="7" spans="1:16" x14ac:dyDescent="0.25">
      <c r="A7" s="4" t="s">
        <v>11</v>
      </c>
      <c r="B7" s="3">
        <f>B5*Inputs!$C$16</f>
        <v>93822.512820512813</v>
      </c>
      <c r="E7" s="4">
        <f>E5*Inputs!C28</f>
        <v>114700</v>
      </c>
      <c r="K7" s="31" t="s">
        <v>42</v>
      </c>
      <c r="L7" s="34"/>
      <c r="M7" s="31" t="s">
        <v>53</v>
      </c>
      <c r="N7" s="34"/>
      <c r="O7" s="31" t="s">
        <v>19</v>
      </c>
    </row>
    <row r="8" spans="1:16" ht="15.6" x14ac:dyDescent="0.25">
      <c r="A8" s="4"/>
      <c r="I8" s="4" t="s">
        <v>58</v>
      </c>
      <c r="K8" s="35">
        <f>B7</f>
        <v>93822.512820512813</v>
      </c>
      <c r="L8" s="42"/>
      <c r="M8" s="42">
        <f>E7</f>
        <v>114700</v>
      </c>
      <c r="N8" s="42"/>
      <c r="O8" s="34"/>
    </row>
    <row r="9" spans="1:16" x14ac:dyDescent="0.25">
      <c r="D9" t="s">
        <v>44</v>
      </c>
      <c r="E9" s="18">
        <f>Inputs!$C$30</f>
        <v>1.92</v>
      </c>
      <c r="I9" s="4"/>
      <c r="K9" s="34"/>
      <c r="L9" s="34"/>
      <c r="M9" s="34"/>
      <c r="N9" s="34"/>
      <c r="O9" s="34"/>
    </row>
    <row r="10" spans="1:16" ht="15.6" x14ac:dyDescent="0.25">
      <c r="D10" t="s">
        <v>45</v>
      </c>
      <c r="E10" s="18">
        <f>Inputs!$C$31</f>
        <v>-1.42</v>
      </c>
      <c r="I10" s="4" t="s">
        <v>59</v>
      </c>
      <c r="K10" s="36">
        <f>B11</f>
        <v>4.1629395615507505</v>
      </c>
      <c r="L10" s="34"/>
      <c r="M10" s="36">
        <f>E11</f>
        <v>0.5</v>
      </c>
      <c r="N10" s="37"/>
      <c r="O10" s="34"/>
    </row>
    <row r="11" spans="1:16" x14ac:dyDescent="0.25">
      <c r="A11" s="4" t="s">
        <v>12</v>
      </c>
      <c r="B11" s="9">
        <f>Inputs!$C$17</f>
        <v>4.1629395615507505</v>
      </c>
      <c r="D11" s="24" t="s">
        <v>16</v>
      </c>
      <c r="E11" s="18">
        <f>SUM(E9:E10)</f>
        <v>0.5</v>
      </c>
      <c r="I11" s="4"/>
      <c r="K11" s="36"/>
      <c r="L11" s="34"/>
      <c r="M11" s="36"/>
      <c r="N11" s="34"/>
      <c r="O11" s="34"/>
    </row>
    <row r="12" spans="1:16" ht="15.6" x14ac:dyDescent="0.25">
      <c r="I12" s="4" t="s">
        <v>60</v>
      </c>
      <c r="K12" s="36">
        <f>B15</f>
        <v>2.2284617127787634</v>
      </c>
      <c r="L12" s="34"/>
      <c r="M12" s="36">
        <f>E15</f>
        <v>-0.88</v>
      </c>
      <c r="N12" s="36"/>
      <c r="O12" s="34"/>
    </row>
    <row r="13" spans="1:16" x14ac:dyDescent="0.25">
      <c r="D13" t="s">
        <v>46</v>
      </c>
      <c r="E13" s="18">
        <f>Inputs!$C$33</f>
        <v>-0.96</v>
      </c>
      <c r="I13" s="4"/>
      <c r="K13" s="34"/>
      <c r="L13" s="34"/>
      <c r="M13" s="36"/>
      <c r="N13" s="34"/>
      <c r="O13" s="34"/>
    </row>
    <row r="14" spans="1:16" ht="15.6" x14ac:dyDescent="0.25">
      <c r="D14" t="s">
        <v>47</v>
      </c>
      <c r="E14" s="18">
        <f>Inputs!$C$34</f>
        <v>0.08</v>
      </c>
      <c r="I14" s="4" t="s">
        <v>65</v>
      </c>
      <c r="K14" s="37">
        <f>B26/B7</f>
        <v>1.1096893165332096</v>
      </c>
      <c r="L14" s="34"/>
      <c r="M14" s="36">
        <f>E25</f>
        <v>0.93689999999999996</v>
      </c>
      <c r="N14" s="37"/>
      <c r="O14" s="34"/>
    </row>
    <row r="15" spans="1:16" x14ac:dyDescent="0.25">
      <c r="A15" s="4" t="s">
        <v>13</v>
      </c>
      <c r="B15" s="9">
        <f>Inputs!$C$18</f>
        <v>2.2284617127787634</v>
      </c>
      <c r="D15" s="24" t="s">
        <v>16</v>
      </c>
      <c r="E15" s="18">
        <f>SUM(E13:E14)</f>
        <v>-0.88</v>
      </c>
      <c r="I15" s="4"/>
      <c r="K15" s="34"/>
      <c r="L15" s="34"/>
      <c r="M15" s="34"/>
      <c r="N15" s="34"/>
      <c r="O15" s="34"/>
    </row>
    <row r="16" spans="1:16" x14ac:dyDescent="0.25">
      <c r="I16" s="4" t="s">
        <v>54</v>
      </c>
      <c r="K16" s="38">
        <f>B31</f>
        <v>0.25</v>
      </c>
      <c r="L16" s="34"/>
      <c r="M16" s="38">
        <f>E31</f>
        <v>0.25</v>
      </c>
      <c r="N16" s="34"/>
      <c r="O16" s="34"/>
    </row>
    <row r="17" spans="1:15" x14ac:dyDescent="0.25">
      <c r="A17" t="s">
        <v>21</v>
      </c>
      <c r="B17" s="15">
        <f>B11-B15</f>
        <v>1.9344778487719871</v>
      </c>
      <c r="D17" s="24" t="s">
        <v>21</v>
      </c>
      <c r="E17" s="18">
        <f>E11-E15</f>
        <v>1.38</v>
      </c>
      <c r="I17" s="4"/>
      <c r="K17" s="34"/>
      <c r="L17" s="34"/>
      <c r="M17" s="34"/>
      <c r="N17" s="34"/>
      <c r="O17" s="34"/>
    </row>
    <row r="18" spans="1:15" x14ac:dyDescent="0.25">
      <c r="B18" s="15"/>
      <c r="D18" s="24"/>
      <c r="E18" s="18"/>
      <c r="I18" s="4" t="s">
        <v>55</v>
      </c>
      <c r="K18" s="39">
        <f>K8*((K10-K12)-K14)*K16</f>
        <v>19345.933160046163</v>
      </c>
      <c r="L18" s="34"/>
      <c r="M18" s="39">
        <f>M8*((M10-M12)-M14)*M16</f>
        <v>12705.892499999998</v>
      </c>
      <c r="N18" s="34"/>
      <c r="O18" s="39">
        <f>K18+M18</f>
        <v>32051.825660046161</v>
      </c>
    </row>
    <row r="19" spans="1:15" x14ac:dyDescent="0.25">
      <c r="A19" s="4" t="s">
        <v>29</v>
      </c>
      <c r="B19" s="16">
        <f>B7*B17</f>
        <v>181497.57276740781</v>
      </c>
    </row>
    <row r="21" spans="1:15" x14ac:dyDescent="0.25">
      <c r="A21" s="4" t="s">
        <v>23</v>
      </c>
      <c r="D21" s="4" t="s">
        <v>23</v>
      </c>
      <c r="I21" s="40" t="s">
        <v>56</v>
      </c>
    </row>
    <row r="22" spans="1:15" x14ac:dyDescent="0.25">
      <c r="A22" s="13" t="s">
        <v>14</v>
      </c>
      <c r="B22" s="19">
        <f>B5*Inputs!$C$21</f>
        <v>88708.98</v>
      </c>
      <c r="D22" s="24" t="s">
        <v>14</v>
      </c>
      <c r="E22" s="10">
        <f>Inputs!$C$37</f>
        <v>0.77339999999999998</v>
      </c>
      <c r="F22">
        <f>E22*E7</f>
        <v>88708.98</v>
      </c>
      <c r="I22" t="s">
        <v>57</v>
      </c>
    </row>
    <row r="23" spans="1:15" x14ac:dyDescent="0.25">
      <c r="A23" s="13" t="s">
        <v>15</v>
      </c>
      <c r="B23" s="19">
        <f>B7*Inputs!C22</f>
        <v>6239.1971025641024</v>
      </c>
      <c r="D23" s="24" t="s">
        <v>15</v>
      </c>
      <c r="E23" s="10">
        <f>Inputs!$C$38</f>
        <v>6.6500000000000004E-2</v>
      </c>
      <c r="F23">
        <f>E23*E7</f>
        <v>7627.55</v>
      </c>
    </row>
    <row r="24" spans="1:15" x14ac:dyDescent="0.25">
      <c r="A24" s="13" t="s">
        <v>26</v>
      </c>
      <c r="B24" s="7">
        <f>ROUND((B7/(1-Inputs!$C$23))-B7,0)</f>
        <v>4113</v>
      </c>
      <c r="D24" s="24" t="s">
        <v>25</v>
      </c>
      <c r="E24" s="10">
        <v>9.7000000000000003E-2</v>
      </c>
      <c r="F24" s="7">
        <f>ROUND((E7/(1-Inputs!$C$23))-E7,0)*(E15+3.096)</f>
        <v>11144.264000000001</v>
      </c>
    </row>
    <row r="25" spans="1:15" ht="15.6" x14ac:dyDescent="0.25">
      <c r="A25" s="13" t="s">
        <v>27</v>
      </c>
      <c r="B25" s="19">
        <f>B24*B15</f>
        <v>9165.6630246590539</v>
      </c>
      <c r="D25" s="24" t="s">
        <v>16</v>
      </c>
      <c r="E25" s="10">
        <f>SUM(E22:E24)</f>
        <v>0.93689999999999996</v>
      </c>
      <c r="F25" s="17">
        <f>E25*E7</f>
        <v>107462.43</v>
      </c>
      <c r="H25" s="41"/>
      <c r="I25" s="41" t="s">
        <v>72</v>
      </c>
    </row>
    <row r="26" spans="1:15" x14ac:dyDescent="0.25">
      <c r="A26" s="13" t="s">
        <v>18</v>
      </c>
      <c r="B26" s="12">
        <f>B25+B23+B22</f>
        <v>104113.84012722316</v>
      </c>
      <c r="I26" t="s">
        <v>68</v>
      </c>
    </row>
    <row r="27" spans="1:15" ht="15.6" x14ac:dyDescent="0.25">
      <c r="I27" s="41" t="s">
        <v>62</v>
      </c>
    </row>
    <row r="28" spans="1:15" ht="15.6" x14ac:dyDescent="0.25">
      <c r="D28" t="s">
        <v>20</v>
      </c>
      <c r="E28" s="18">
        <f>E17-E25</f>
        <v>0.44309999999999994</v>
      </c>
      <c r="I28" s="41" t="s">
        <v>64</v>
      </c>
    </row>
    <row r="29" spans="1:15" ht="15.6" x14ac:dyDescent="0.25">
      <c r="A29" s="13" t="s">
        <v>20</v>
      </c>
      <c r="B29" s="12">
        <f>B19-B26</f>
        <v>77383.732640184651</v>
      </c>
      <c r="D29" t="s">
        <v>17</v>
      </c>
      <c r="E29" s="12">
        <f>E28*E7</f>
        <v>50823.569999999992</v>
      </c>
      <c r="I29" s="41" t="s">
        <v>78</v>
      </c>
    </row>
    <row r="30" spans="1:15" x14ac:dyDescent="0.25">
      <c r="I30" t="s">
        <v>77</v>
      </c>
    </row>
    <row r="31" spans="1:15" x14ac:dyDescent="0.25">
      <c r="A31" s="14" t="s">
        <v>28</v>
      </c>
      <c r="B31" s="2">
        <v>0.25</v>
      </c>
      <c r="D31" t="s">
        <v>33</v>
      </c>
      <c r="E31" s="25">
        <f>B31</f>
        <v>0.25</v>
      </c>
    </row>
    <row r="33" spans="1:5" x14ac:dyDescent="0.25">
      <c r="A33" s="4" t="s">
        <v>30</v>
      </c>
      <c r="B33" s="3">
        <f>B31*B29</f>
        <v>19345.933160046163</v>
      </c>
      <c r="D33" s="4" t="s">
        <v>30</v>
      </c>
      <c r="E33" s="26">
        <f>E31*E29</f>
        <v>12705.892499999998</v>
      </c>
    </row>
  </sheetData>
  <mergeCells count="3">
    <mergeCell ref="H2:P2"/>
    <mergeCell ref="H3:P3"/>
    <mergeCell ref="H4:P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P33"/>
  <sheetViews>
    <sheetView topLeftCell="D2" zoomScaleNormal="100" workbookViewId="0">
      <selection activeCell="M10" sqref="M10:M14"/>
    </sheetView>
  </sheetViews>
  <sheetFormatPr defaultRowHeight="13.2" x14ac:dyDescent="0.25"/>
  <cols>
    <col min="1" max="1" width="18.88671875" bestFit="1" customWidth="1"/>
    <col min="2" max="2" width="16.6640625" bestFit="1" customWidth="1"/>
    <col min="3" max="3" width="9.44140625" customWidth="1"/>
    <col min="4" max="4" width="15.109375" bestFit="1" customWidth="1"/>
    <col min="5" max="5" width="12.33203125" bestFit="1" customWidth="1"/>
    <col min="6" max="6" width="9.33203125" bestFit="1" customWidth="1"/>
    <col min="8" max="8" width="8.6640625" customWidth="1"/>
    <col min="9" max="9" width="17.33203125" bestFit="1" customWidth="1"/>
    <col min="10" max="10" width="5.109375" customWidth="1"/>
    <col min="11" max="11" width="9.6640625" customWidth="1"/>
    <col min="12" max="12" width="5.5546875" customWidth="1"/>
    <col min="13" max="13" width="11.33203125" bestFit="1" customWidth="1"/>
    <col min="14" max="14" width="6.33203125" customWidth="1"/>
    <col min="15" max="15" width="11.5546875" bestFit="1" customWidth="1"/>
  </cols>
  <sheetData>
    <row r="2" spans="1:16" x14ac:dyDescent="0.25">
      <c r="A2" s="4" t="s">
        <v>4</v>
      </c>
      <c r="H2" s="43" t="s">
        <v>50</v>
      </c>
      <c r="I2" s="43"/>
      <c r="J2" s="43"/>
      <c r="K2" s="43"/>
      <c r="L2" s="43"/>
      <c r="M2" s="43"/>
      <c r="N2" s="43"/>
      <c r="O2" s="43"/>
      <c r="P2" s="43"/>
    </row>
    <row r="3" spans="1:16" x14ac:dyDescent="0.25">
      <c r="A3" s="4"/>
      <c r="B3" s="4" t="s">
        <v>41</v>
      </c>
      <c r="E3" s="4" t="s">
        <v>43</v>
      </c>
      <c r="H3" s="43" t="s">
        <v>4</v>
      </c>
      <c r="I3" s="43"/>
      <c r="J3" s="43"/>
      <c r="K3" s="43"/>
      <c r="L3" s="43"/>
      <c r="M3" s="43"/>
      <c r="N3" s="43"/>
      <c r="O3" s="43"/>
      <c r="P3" s="43"/>
    </row>
    <row r="4" spans="1:16" x14ac:dyDescent="0.25">
      <c r="A4" s="4" t="s">
        <v>8</v>
      </c>
      <c r="B4" s="5">
        <v>3700</v>
      </c>
      <c r="E4" s="5">
        <v>3700</v>
      </c>
      <c r="H4" s="43" t="s">
        <v>52</v>
      </c>
      <c r="I4" s="43"/>
      <c r="J4" s="43"/>
      <c r="K4" s="43"/>
      <c r="L4" s="43"/>
      <c r="M4" s="43"/>
      <c r="N4" s="43"/>
      <c r="O4" s="43"/>
      <c r="P4" s="43"/>
    </row>
    <row r="5" spans="1:16" x14ac:dyDescent="0.25">
      <c r="A5" s="4" t="s">
        <v>22</v>
      </c>
      <c r="B5" s="5">
        <f>B4*31</f>
        <v>114700</v>
      </c>
      <c r="E5" s="5">
        <f>E4*31</f>
        <v>114700</v>
      </c>
    </row>
    <row r="6" spans="1:16" x14ac:dyDescent="0.25">
      <c r="C6" s="7"/>
      <c r="D6" s="7"/>
    </row>
    <row r="7" spans="1:16" x14ac:dyDescent="0.25">
      <c r="A7" s="4" t="s">
        <v>11</v>
      </c>
      <c r="B7" s="3">
        <f>B5*Inputs!$C$16</f>
        <v>93822.512820512813</v>
      </c>
      <c r="E7" s="4">
        <f>E5*Inputs!C28</f>
        <v>114700</v>
      </c>
      <c r="K7" s="31" t="s">
        <v>42</v>
      </c>
      <c r="L7" s="34"/>
      <c r="M7" s="31" t="s">
        <v>53</v>
      </c>
      <c r="N7" s="34"/>
      <c r="O7" s="31" t="s">
        <v>19</v>
      </c>
    </row>
    <row r="8" spans="1:16" ht="15.6" x14ac:dyDescent="0.25">
      <c r="A8" s="4"/>
      <c r="I8" s="4" t="s">
        <v>58</v>
      </c>
      <c r="K8" s="35">
        <f>B7</f>
        <v>93822.512820512813</v>
      </c>
      <c r="L8" s="42"/>
      <c r="M8" s="42">
        <f>E7</f>
        <v>114700</v>
      </c>
      <c r="N8" s="42"/>
      <c r="O8" s="34"/>
    </row>
    <row r="9" spans="1:16" x14ac:dyDescent="0.25">
      <c r="D9" t="s">
        <v>44</v>
      </c>
      <c r="E9" s="18">
        <f>Inputs!$C$30</f>
        <v>1.92</v>
      </c>
      <c r="I9" s="4"/>
      <c r="K9" s="34"/>
      <c r="L9" s="34"/>
      <c r="M9" s="34"/>
      <c r="N9" s="34"/>
      <c r="O9" s="34"/>
    </row>
    <row r="10" spans="1:16" ht="15.6" x14ac:dyDescent="0.25">
      <c r="D10" t="s">
        <v>45</v>
      </c>
      <c r="E10" s="18">
        <f>Inputs!$C$31</f>
        <v>-1.42</v>
      </c>
      <c r="I10" s="4" t="s">
        <v>59</v>
      </c>
      <c r="K10" s="36">
        <f>B11</f>
        <v>4.1629395615507505</v>
      </c>
      <c r="L10" s="34"/>
      <c r="M10" s="36">
        <f>E11</f>
        <v>0.5</v>
      </c>
      <c r="N10" s="37"/>
      <c r="O10" s="34"/>
    </row>
    <row r="11" spans="1:16" x14ac:dyDescent="0.25">
      <c r="A11" s="4" t="s">
        <v>12</v>
      </c>
      <c r="B11" s="9">
        <f>Inputs!$C$17</f>
        <v>4.1629395615507505</v>
      </c>
      <c r="D11" s="24" t="s">
        <v>16</v>
      </c>
      <c r="E11" s="18">
        <f>SUM(E9:E10)</f>
        <v>0.5</v>
      </c>
      <c r="I11" s="4"/>
      <c r="K11" s="36"/>
      <c r="L11" s="34"/>
      <c r="M11" s="36"/>
      <c r="N11" s="34"/>
      <c r="O11" s="34"/>
    </row>
    <row r="12" spans="1:16" ht="15.6" x14ac:dyDescent="0.25">
      <c r="I12" s="4" t="s">
        <v>60</v>
      </c>
      <c r="K12" s="36">
        <f>B15</f>
        <v>2.2284617127787634</v>
      </c>
      <c r="L12" s="34"/>
      <c r="M12" s="36">
        <f>E15</f>
        <v>-0.88</v>
      </c>
      <c r="N12" s="36"/>
      <c r="O12" s="34"/>
    </row>
    <row r="13" spans="1:16" x14ac:dyDescent="0.25">
      <c r="D13" t="s">
        <v>46</v>
      </c>
      <c r="E13" s="18">
        <f>Inputs!$C$33</f>
        <v>-0.96</v>
      </c>
      <c r="I13" s="4"/>
      <c r="K13" s="34"/>
      <c r="L13" s="34"/>
      <c r="M13" s="36"/>
      <c r="N13" s="34"/>
      <c r="O13" s="34"/>
    </row>
    <row r="14" spans="1:16" ht="15.6" x14ac:dyDescent="0.25">
      <c r="D14" t="s">
        <v>47</v>
      </c>
      <c r="E14" s="18">
        <f>Inputs!$C$34</f>
        <v>0.08</v>
      </c>
      <c r="I14" s="4" t="s">
        <v>65</v>
      </c>
      <c r="K14" s="37">
        <f>B26/B7</f>
        <v>1.1096893165332096</v>
      </c>
      <c r="L14" s="34"/>
      <c r="M14" s="36">
        <f>E25</f>
        <v>0.93689999999999996</v>
      </c>
      <c r="N14" s="37"/>
      <c r="O14" s="34"/>
    </row>
    <row r="15" spans="1:16" x14ac:dyDescent="0.25">
      <c r="A15" s="4" t="s">
        <v>13</v>
      </c>
      <c r="B15" s="9">
        <f>Inputs!$C$18</f>
        <v>2.2284617127787634</v>
      </c>
      <c r="D15" s="24" t="s">
        <v>16</v>
      </c>
      <c r="E15" s="18">
        <f>SUM(E13:E14)</f>
        <v>-0.88</v>
      </c>
      <c r="I15" s="4"/>
      <c r="K15" s="34"/>
      <c r="L15" s="34"/>
      <c r="M15" s="34"/>
      <c r="N15" s="34"/>
      <c r="O15" s="34"/>
    </row>
    <row r="16" spans="1:16" x14ac:dyDescent="0.25">
      <c r="I16" s="4" t="s">
        <v>54</v>
      </c>
      <c r="K16" s="38">
        <f>B31</f>
        <v>0.25</v>
      </c>
      <c r="L16" s="34"/>
      <c r="M16" s="38">
        <f>E31</f>
        <v>0.25</v>
      </c>
      <c r="N16" s="34"/>
      <c r="O16" s="34"/>
    </row>
    <row r="17" spans="1:15" x14ac:dyDescent="0.25">
      <c r="A17" t="s">
        <v>21</v>
      </c>
      <c r="B17" s="15">
        <f>B11-B15</f>
        <v>1.9344778487719871</v>
      </c>
      <c r="D17" s="24" t="s">
        <v>21</v>
      </c>
      <c r="E17" s="18">
        <f>E11-E15</f>
        <v>1.38</v>
      </c>
      <c r="I17" s="4"/>
      <c r="K17" s="34"/>
      <c r="L17" s="34"/>
      <c r="M17" s="34"/>
      <c r="N17" s="34"/>
      <c r="O17" s="34"/>
    </row>
    <row r="18" spans="1:15" x14ac:dyDescent="0.25">
      <c r="B18" s="15"/>
      <c r="D18" s="24"/>
      <c r="E18" s="18"/>
      <c r="I18" s="4" t="s">
        <v>55</v>
      </c>
      <c r="K18" s="39">
        <f>K8*((K10-K12)-K14)*K16</f>
        <v>19345.933160046163</v>
      </c>
      <c r="L18" s="34"/>
      <c r="M18" s="39">
        <f>M8*((M10-M12)-M14)*M16</f>
        <v>12705.892499999998</v>
      </c>
      <c r="N18" s="34"/>
      <c r="O18" s="39">
        <f>K18+M18</f>
        <v>32051.825660046161</v>
      </c>
    </row>
    <row r="19" spans="1:15" x14ac:dyDescent="0.25">
      <c r="A19" s="4" t="s">
        <v>29</v>
      </c>
      <c r="B19" s="16">
        <f>B7*B17</f>
        <v>181497.57276740781</v>
      </c>
    </row>
    <row r="21" spans="1:15" x14ac:dyDescent="0.25">
      <c r="A21" s="4" t="s">
        <v>23</v>
      </c>
      <c r="D21" s="4" t="s">
        <v>23</v>
      </c>
      <c r="I21" s="40" t="s">
        <v>56</v>
      </c>
    </row>
    <row r="22" spans="1:15" x14ac:dyDescent="0.25">
      <c r="A22" s="13" t="s">
        <v>14</v>
      </c>
      <c r="B22" s="19">
        <f>B5*Inputs!$C$21</f>
        <v>88708.98</v>
      </c>
      <c r="D22" s="24" t="s">
        <v>14</v>
      </c>
      <c r="E22" s="10">
        <f>Inputs!$C$37</f>
        <v>0.77339999999999998</v>
      </c>
      <c r="F22">
        <f>E22*E7</f>
        <v>88708.98</v>
      </c>
      <c r="I22" t="s">
        <v>57</v>
      </c>
    </row>
    <row r="23" spans="1:15" x14ac:dyDescent="0.25">
      <c r="A23" s="13" t="s">
        <v>15</v>
      </c>
      <c r="B23" s="19">
        <f>B7*Inputs!C22</f>
        <v>6239.1971025641024</v>
      </c>
      <c r="D23" s="24" t="s">
        <v>15</v>
      </c>
      <c r="E23" s="10">
        <f>Inputs!$C$38</f>
        <v>6.6500000000000004E-2</v>
      </c>
      <c r="F23">
        <f>E23*E7</f>
        <v>7627.55</v>
      </c>
    </row>
    <row r="24" spans="1:15" x14ac:dyDescent="0.25">
      <c r="A24" s="13" t="s">
        <v>26</v>
      </c>
      <c r="B24" s="7">
        <f>ROUND((B7/(1-Inputs!$C$23))-B7,0)</f>
        <v>4113</v>
      </c>
      <c r="D24" s="24" t="s">
        <v>25</v>
      </c>
      <c r="E24" s="10">
        <v>9.7000000000000003E-2</v>
      </c>
      <c r="F24" s="7">
        <f>ROUND((E7/(1-Inputs!$C$23))-E7,0)*(E15+3.096)</f>
        <v>11144.264000000001</v>
      </c>
    </row>
    <row r="25" spans="1:15" ht="15.6" x14ac:dyDescent="0.25">
      <c r="A25" s="13" t="s">
        <v>27</v>
      </c>
      <c r="B25" s="19">
        <f>B24*B15</f>
        <v>9165.6630246590539</v>
      </c>
      <c r="D25" s="24" t="s">
        <v>16</v>
      </c>
      <c r="E25" s="10">
        <f>SUM(E22:E24)</f>
        <v>0.93689999999999996</v>
      </c>
      <c r="F25" s="17">
        <f>E25*E7</f>
        <v>107462.43</v>
      </c>
      <c r="H25" s="41"/>
      <c r="I25" s="41" t="s">
        <v>72</v>
      </c>
    </row>
    <row r="26" spans="1:15" x14ac:dyDescent="0.25">
      <c r="A26" s="13" t="s">
        <v>18</v>
      </c>
      <c r="B26" s="12">
        <f>B25+B23+B22</f>
        <v>104113.84012722316</v>
      </c>
      <c r="I26" t="s">
        <v>68</v>
      </c>
    </row>
    <row r="27" spans="1:15" ht="15.6" x14ac:dyDescent="0.25">
      <c r="I27" s="41" t="s">
        <v>62</v>
      </c>
    </row>
    <row r="28" spans="1:15" ht="15.6" x14ac:dyDescent="0.25">
      <c r="D28" t="s">
        <v>20</v>
      </c>
      <c r="E28" s="18">
        <f>E17-E25</f>
        <v>0.44309999999999994</v>
      </c>
      <c r="I28" s="41" t="s">
        <v>64</v>
      </c>
    </row>
    <row r="29" spans="1:15" ht="15.6" x14ac:dyDescent="0.25">
      <c r="A29" s="13" t="s">
        <v>20</v>
      </c>
      <c r="B29" s="12">
        <f>B19-B26</f>
        <v>77383.732640184651</v>
      </c>
      <c r="D29" t="s">
        <v>17</v>
      </c>
      <c r="E29" s="12">
        <f>E28*E7</f>
        <v>50823.569999999992</v>
      </c>
      <c r="I29" s="41" t="s">
        <v>78</v>
      </c>
    </row>
    <row r="30" spans="1:15" x14ac:dyDescent="0.25">
      <c r="I30" t="s">
        <v>77</v>
      </c>
    </row>
    <row r="31" spans="1:15" x14ac:dyDescent="0.25">
      <c r="A31" s="14" t="s">
        <v>28</v>
      </c>
      <c r="B31" s="2">
        <v>0.25</v>
      </c>
      <c r="D31" t="s">
        <v>33</v>
      </c>
      <c r="E31" s="25">
        <f>B31</f>
        <v>0.25</v>
      </c>
    </row>
    <row r="33" spans="1:5" x14ac:dyDescent="0.25">
      <c r="A33" s="4" t="s">
        <v>30</v>
      </c>
      <c r="B33" s="3">
        <f>B31*B29</f>
        <v>19345.933160046163</v>
      </c>
      <c r="D33" s="4" t="s">
        <v>30</v>
      </c>
      <c r="E33" s="26">
        <f>E31*E29</f>
        <v>12705.892499999998</v>
      </c>
    </row>
  </sheetData>
  <mergeCells count="3">
    <mergeCell ref="H2:P2"/>
    <mergeCell ref="H3:P3"/>
    <mergeCell ref="H4:P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P33"/>
  <sheetViews>
    <sheetView topLeftCell="D2" zoomScaleNormal="100" workbookViewId="0">
      <selection activeCell="M10" sqref="M10:M14"/>
    </sheetView>
  </sheetViews>
  <sheetFormatPr defaultRowHeight="13.2" x14ac:dyDescent="0.25"/>
  <cols>
    <col min="1" max="1" width="18.88671875" bestFit="1" customWidth="1"/>
    <col min="2" max="2" width="16.6640625" bestFit="1" customWidth="1"/>
    <col min="3" max="3" width="9.44140625" customWidth="1"/>
    <col min="4" max="4" width="15.109375" bestFit="1" customWidth="1"/>
    <col min="5" max="5" width="12.33203125" bestFit="1" customWidth="1"/>
    <col min="6" max="6" width="9.33203125" bestFit="1" customWidth="1"/>
    <col min="8" max="8" width="8.6640625" customWidth="1"/>
    <col min="9" max="9" width="17.33203125" bestFit="1" customWidth="1"/>
    <col min="10" max="10" width="5.109375" customWidth="1"/>
    <col min="11" max="11" width="9.6640625" customWidth="1"/>
    <col min="12" max="12" width="5.5546875" customWidth="1"/>
    <col min="13" max="13" width="11.33203125" bestFit="1" customWidth="1"/>
    <col min="14" max="14" width="6.33203125" customWidth="1"/>
    <col min="15" max="15" width="11.5546875" bestFit="1" customWidth="1"/>
  </cols>
  <sheetData>
    <row r="2" spans="1:16" x14ac:dyDescent="0.25">
      <c r="A2" s="4" t="s">
        <v>5</v>
      </c>
      <c r="H2" s="43" t="s">
        <v>50</v>
      </c>
      <c r="I2" s="43"/>
      <c r="J2" s="43"/>
      <c r="K2" s="43"/>
      <c r="L2" s="43"/>
      <c r="M2" s="43"/>
      <c r="N2" s="43"/>
      <c r="O2" s="43"/>
      <c r="P2" s="43"/>
    </row>
    <row r="3" spans="1:16" x14ac:dyDescent="0.25">
      <c r="A3" s="4"/>
      <c r="B3" s="4" t="s">
        <v>41</v>
      </c>
      <c r="E3" s="4" t="s">
        <v>43</v>
      </c>
      <c r="H3" s="43" t="s">
        <v>74</v>
      </c>
      <c r="I3" s="43"/>
      <c r="J3" s="43"/>
      <c r="K3" s="43"/>
      <c r="L3" s="43"/>
      <c r="M3" s="43"/>
      <c r="N3" s="43"/>
      <c r="O3" s="43"/>
      <c r="P3" s="43"/>
    </row>
    <row r="4" spans="1:16" x14ac:dyDescent="0.25">
      <c r="A4" s="4" t="s">
        <v>8</v>
      </c>
      <c r="B4" s="5">
        <v>3700</v>
      </c>
      <c r="E4" s="5">
        <v>3700</v>
      </c>
      <c r="H4" s="43" t="s">
        <v>52</v>
      </c>
      <c r="I4" s="43"/>
      <c r="J4" s="43"/>
      <c r="K4" s="43"/>
      <c r="L4" s="43"/>
      <c r="M4" s="43"/>
      <c r="N4" s="43"/>
      <c r="O4" s="43"/>
      <c r="P4" s="43"/>
    </row>
    <row r="5" spans="1:16" x14ac:dyDescent="0.25">
      <c r="A5" s="4" t="s">
        <v>22</v>
      </c>
      <c r="B5" s="5">
        <f>B4*31</f>
        <v>114700</v>
      </c>
      <c r="E5" s="5">
        <f>E4*31</f>
        <v>114700</v>
      </c>
    </row>
    <row r="6" spans="1:16" x14ac:dyDescent="0.25">
      <c r="C6" s="7"/>
      <c r="D6" s="7"/>
    </row>
    <row r="7" spans="1:16" x14ac:dyDescent="0.25">
      <c r="A7" s="4" t="s">
        <v>11</v>
      </c>
      <c r="B7" s="3">
        <f>B5*Inputs!$C$16</f>
        <v>93822.512820512813</v>
      </c>
      <c r="E7" s="4">
        <f>E5*Inputs!C28</f>
        <v>114700</v>
      </c>
      <c r="K7" s="31" t="s">
        <v>42</v>
      </c>
      <c r="L7" s="34"/>
      <c r="M7" s="31" t="s">
        <v>53</v>
      </c>
      <c r="N7" s="34"/>
      <c r="O7" s="31" t="s">
        <v>19</v>
      </c>
    </row>
    <row r="8" spans="1:16" ht="15.6" x14ac:dyDescent="0.25">
      <c r="A8" s="4"/>
      <c r="I8" s="4" t="s">
        <v>58</v>
      </c>
      <c r="K8" s="35">
        <f>B7</f>
        <v>93822.512820512813</v>
      </c>
      <c r="L8" s="42"/>
      <c r="M8" s="42">
        <f>E7</f>
        <v>114700</v>
      </c>
      <c r="N8" s="42"/>
      <c r="O8" s="34"/>
    </row>
    <row r="9" spans="1:16" x14ac:dyDescent="0.25">
      <c r="D9" t="s">
        <v>44</v>
      </c>
      <c r="E9" s="18">
        <f>Inputs!$C$30</f>
        <v>1.92</v>
      </c>
      <c r="I9" s="4"/>
      <c r="K9" s="34"/>
      <c r="L9" s="34"/>
      <c r="M9" s="34"/>
      <c r="N9" s="34"/>
      <c r="O9" s="34"/>
    </row>
    <row r="10" spans="1:16" ht="15.6" x14ac:dyDescent="0.25">
      <c r="D10" t="s">
        <v>45</v>
      </c>
      <c r="E10" s="18">
        <f>Inputs!$C$31</f>
        <v>-1.42</v>
      </c>
      <c r="I10" s="4" t="s">
        <v>59</v>
      </c>
      <c r="K10" s="36">
        <f>B11</f>
        <v>4.1629395615507505</v>
      </c>
      <c r="L10" s="34"/>
      <c r="M10" s="36">
        <f>E11</f>
        <v>0.5</v>
      </c>
      <c r="N10" s="37"/>
      <c r="O10" s="34"/>
    </row>
    <row r="11" spans="1:16" x14ac:dyDescent="0.25">
      <c r="A11" s="4" t="s">
        <v>12</v>
      </c>
      <c r="B11" s="9">
        <f>Inputs!$C$17</f>
        <v>4.1629395615507505</v>
      </c>
      <c r="D11" s="24" t="s">
        <v>16</v>
      </c>
      <c r="E11" s="18">
        <f>SUM(E9:E10)</f>
        <v>0.5</v>
      </c>
      <c r="I11" s="4"/>
      <c r="K11" s="36"/>
      <c r="L11" s="34"/>
      <c r="M11" s="36"/>
      <c r="N11" s="34"/>
      <c r="O11" s="34"/>
    </row>
    <row r="12" spans="1:16" ht="15.6" x14ac:dyDescent="0.25">
      <c r="I12" s="4" t="s">
        <v>60</v>
      </c>
      <c r="K12" s="36">
        <f>B15</f>
        <v>2.2284617127787634</v>
      </c>
      <c r="L12" s="34"/>
      <c r="M12" s="36">
        <f>E15</f>
        <v>-0.88</v>
      </c>
      <c r="N12" s="36"/>
      <c r="O12" s="34"/>
    </row>
    <row r="13" spans="1:16" x14ac:dyDescent="0.25">
      <c r="D13" t="s">
        <v>46</v>
      </c>
      <c r="E13" s="18">
        <f>Inputs!$C$33</f>
        <v>-0.96</v>
      </c>
      <c r="I13" s="4"/>
      <c r="K13" s="34"/>
      <c r="L13" s="34"/>
      <c r="M13" s="36"/>
      <c r="N13" s="34"/>
      <c r="O13" s="34"/>
    </row>
    <row r="14" spans="1:16" ht="15.6" x14ac:dyDescent="0.25">
      <c r="D14" t="s">
        <v>47</v>
      </c>
      <c r="E14" s="18">
        <f>Inputs!$C$34</f>
        <v>0.08</v>
      </c>
      <c r="I14" s="4" t="s">
        <v>65</v>
      </c>
      <c r="K14" s="37">
        <f>B26/B7</f>
        <v>1.1096893165332096</v>
      </c>
      <c r="L14" s="34"/>
      <c r="M14" s="36">
        <f>E25</f>
        <v>0.93689999999999996</v>
      </c>
      <c r="N14" s="37"/>
      <c r="O14" s="34"/>
    </row>
    <row r="15" spans="1:16" x14ac:dyDescent="0.25">
      <c r="A15" s="4" t="s">
        <v>13</v>
      </c>
      <c r="B15" s="9">
        <f>Inputs!$C$18</f>
        <v>2.2284617127787634</v>
      </c>
      <c r="D15" s="24" t="s">
        <v>16</v>
      </c>
      <c r="E15" s="18">
        <f>SUM(E13:E14)</f>
        <v>-0.88</v>
      </c>
      <c r="I15" s="4"/>
      <c r="K15" s="34"/>
      <c r="L15" s="34"/>
      <c r="M15" s="34"/>
      <c r="N15" s="34"/>
      <c r="O15" s="34"/>
    </row>
    <row r="16" spans="1:16" x14ac:dyDescent="0.25">
      <c r="I16" s="4" t="s">
        <v>54</v>
      </c>
      <c r="K16" s="38">
        <f>B31</f>
        <v>0.25</v>
      </c>
      <c r="L16" s="34"/>
      <c r="M16" s="38">
        <f>E31</f>
        <v>0.25</v>
      </c>
      <c r="N16" s="34"/>
      <c r="O16" s="34"/>
    </row>
    <row r="17" spans="1:15" x14ac:dyDescent="0.25">
      <c r="A17" t="s">
        <v>21</v>
      </c>
      <c r="B17" s="15">
        <f>B11-B15</f>
        <v>1.9344778487719871</v>
      </c>
      <c r="D17" s="24" t="s">
        <v>21</v>
      </c>
      <c r="E17" s="18">
        <f>E11-E15</f>
        <v>1.38</v>
      </c>
      <c r="I17" s="4"/>
      <c r="K17" s="34"/>
      <c r="L17" s="34"/>
      <c r="M17" s="34"/>
      <c r="N17" s="34"/>
      <c r="O17" s="34"/>
    </row>
    <row r="18" spans="1:15" x14ac:dyDescent="0.25">
      <c r="B18" s="15"/>
      <c r="D18" s="24"/>
      <c r="E18" s="18"/>
      <c r="I18" s="4" t="s">
        <v>55</v>
      </c>
      <c r="K18" s="39">
        <f>K8*((K10-K12)-K14)*K16</f>
        <v>19345.933160046163</v>
      </c>
      <c r="L18" s="34"/>
      <c r="M18" s="39">
        <f>M8*((M10-M12)-M14)*M16</f>
        <v>12705.892499999998</v>
      </c>
      <c r="N18" s="34"/>
      <c r="O18" s="39">
        <f>K18+M18</f>
        <v>32051.825660046161</v>
      </c>
    </row>
    <row r="19" spans="1:15" x14ac:dyDescent="0.25">
      <c r="A19" s="4" t="s">
        <v>29</v>
      </c>
      <c r="B19" s="16">
        <f>B7*B17</f>
        <v>181497.57276740781</v>
      </c>
    </row>
    <row r="21" spans="1:15" x14ac:dyDescent="0.25">
      <c r="A21" s="4" t="s">
        <v>23</v>
      </c>
      <c r="D21" s="4" t="s">
        <v>23</v>
      </c>
      <c r="I21" s="40" t="s">
        <v>56</v>
      </c>
    </row>
    <row r="22" spans="1:15" x14ac:dyDescent="0.25">
      <c r="A22" s="13" t="s">
        <v>14</v>
      </c>
      <c r="B22" s="19">
        <f>B5*Inputs!$C$21</f>
        <v>88708.98</v>
      </c>
      <c r="D22" s="24" t="s">
        <v>14</v>
      </c>
      <c r="E22" s="10">
        <f>Inputs!$C$37</f>
        <v>0.77339999999999998</v>
      </c>
      <c r="F22">
        <f>E22*E7</f>
        <v>88708.98</v>
      </c>
      <c r="I22" t="s">
        <v>57</v>
      </c>
    </row>
    <row r="23" spans="1:15" x14ac:dyDescent="0.25">
      <c r="A23" s="13" t="s">
        <v>15</v>
      </c>
      <c r="B23" s="19">
        <f>B7*Inputs!C22</f>
        <v>6239.1971025641024</v>
      </c>
      <c r="D23" s="24" t="s">
        <v>15</v>
      </c>
      <c r="E23" s="10">
        <f>Inputs!$C$38</f>
        <v>6.6500000000000004E-2</v>
      </c>
      <c r="F23">
        <f>E23*E7</f>
        <v>7627.55</v>
      </c>
    </row>
    <row r="24" spans="1:15" x14ac:dyDescent="0.25">
      <c r="A24" s="13" t="s">
        <v>26</v>
      </c>
      <c r="B24" s="7">
        <f>ROUND((B7/(1-Inputs!$C$23))-B7,0)</f>
        <v>4113</v>
      </c>
      <c r="D24" s="24" t="s">
        <v>25</v>
      </c>
      <c r="E24" s="10">
        <v>9.7000000000000003E-2</v>
      </c>
      <c r="F24" s="7">
        <f>ROUND((E7/(1-Inputs!$C$23))-E7,0)*(E15+3.096)</f>
        <v>11144.264000000001</v>
      </c>
    </row>
    <row r="25" spans="1:15" ht="15.6" x14ac:dyDescent="0.25">
      <c r="A25" s="13" t="s">
        <v>27</v>
      </c>
      <c r="B25" s="19">
        <f>B24*B15</f>
        <v>9165.6630246590539</v>
      </c>
      <c r="D25" s="24" t="s">
        <v>16</v>
      </c>
      <c r="E25" s="10">
        <f>SUM(E22:E24)</f>
        <v>0.93689999999999996</v>
      </c>
      <c r="F25" s="17">
        <f>E25*E7</f>
        <v>107462.43</v>
      </c>
      <c r="H25" s="41"/>
      <c r="I25" s="41" t="s">
        <v>72</v>
      </c>
    </row>
    <row r="26" spans="1:15" x14ac:dyDescent="0.25">
      <c r="A26" s="13" t="s">
        <v>18</v>
      </c>
      <c r="B26" s="12">
        <f>B25+B23+B22</f>
        <v>104113.84012722316</v>
      </c>
      <c r="I26" t="s">
        <v>68</v>
      </c>
    </row>
    <row r="27" spans="1:15" ht="15.6" x14ac:dyDescent="0.25">
      <c r="I27" s="41" t="s">
        <v>62</v>
      </c>
    </row>
    <row r="28" spans="1:15" ht="15.6" x14ac:dyDescent="0.25">
      <c r="D28" t="s">
        <v>20</v>
      </c>
      <c r="E28" s="18">
        <f>E17-E25</f>
        <v>0.44309999999999994</v>
      </c>
      <c r="I28" s="41" t="s">
        <v>64</v>
      </c>
    </row>
    <row r="29" spans="1:15" ht="15.6" x14ac:dyDescent="0.25">
      <c r="A29" s="13" t="s">
        <v>20</v>
      </c>
      <c r="B29" s="12">
        <f>B19-B26</f>
        <v>77383.732640184651</v>
      </c>
      <c r="D29" t="s">
        <v>17</v>
      </c>
      <c r="E29" s="12">
        <f>E28*E7</f>
        <v>50823.569999999992</v>
      </c>
      <c r="I29" s="41" t="s">
        <v>78</v>
      </c>
    </row>
    <row r="30" spans="1:15" x14ac:dyDescent="0.25">
      <c r="I30" t="s">
        <v>77</v>
      </c>
    </row>
    <row r="31" spans="1:15" x14ac:dyDescent="0.25">
      <c r="A31" s="14" t="s">
        <v>28</v>
      </c>
      <c r="B31" s="2">
        <v>0.25</v>
      </c>
      <c r="D31" t="s">
        <v>33</v>
      </c>
      <c r="E31" s="25">
        <f>B31</f>
        <v>0.25</v>
      </c>
    </row>
    <row r="33" spans="1:5" x14ac:dyDescent="0.25">
      <c r="A33" s="4" t="s">
        <v>30</v>
      </c>
      <c r="B33" s="3">
        <f>B31*B29</f>
        <v>19345.933160046163</v>
      </c>
      <c r="D33" s="4" t="s">
        <v>30</v>
      </c>
      <c r="E33" s="26">
        <f>E31*E29</f>
        <v>12705.892499999998</v>
      </c>
    </row>
  </sheetData>
  <mergeCells count="3">
    <mergeCell ref="H2:P2"/>
    <mergeCell ref="H3:P3"/>
    <mergeCell ref="H4:P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P33"/>
  <sheetViews>
    <sheetView topLeftCell="D2" zoomScaleNormal="100" workbookViewId="0">
      <selection activeCell="O18" sqref="O18"/>
    </sheetView>
  </sheetViews>
  <sheetFormatPr defaultRowHeight="13.2" x14ac:dyDescent="0.25"/>
  <cols>
    <col min="1" max="1" width="18.88671875" bestFit="1" customWidth="1"/>
    <col min="2" max="2" width="16.6640625" bestFit="1" customWidth="1"/>
    <col min="3" max="3" width="9.44140625" customWidth="1"/>
    <col min="4" max="4" width="15.109375" bestFit="1" customWidth="1"/>
    <col min="5" max="5" width="12.33203125" bestFit="1" customWidth="1"/>
    <col min="6" max="6" width="9.33203125" bestFit="1" customWidth="1"/>
    <col min="8" max="8" width="8.6640625" customWidth="1"/>
    <col min="9" max="9" width="17.33203125" bestFit="1" customWidth="1"/>
    <col min="10" max="10" width="5.109375" customWidth="1"/>
    <col min="11" max="11" width="9.6640625" customWidth="1"/>
    <col min="12" max="12" width="5.5546875" customWidth="1"/>
    <col min="13" max="13" width="11.33203125" bestFit="1" customWidth="1"/>
    <col min="14" max="14" width="6.33203125" customWidth="1"/>
    <col min="15" max="15" width="11.5546875" bestFit="1" customWidth="1"/>
  </cols>
  <sheetData>
    <row r="2" spans="1:16" x14ac:dyDescent="0.25">
      <c r="A2" s="4" t="s">
        <v>6</v>
      </c>
      <c r="H2" s="43" t="s">
        <v>50</v>
      </c>
      <c r="I2" s="43"/>
      <c r="J2" s="43"/>
      <c r="K2" s="43"/>
      <c r="L2" s="43"/>
      <c r="M2" s="43"/>
      <c r="N2" s="43"/>
      <c r="O2" s="43"/>
      <c r="P2" s="43"/>
    </row>
    <row r="3" spans="1:16" x14ac:dyDescent="0.25">
      <c r="A3" s="4"/>
      <c r="B3" s="4" t="s">
        <v>41</v>
      </c>
      <c r="E3" s="4" t="s">
        <v>43</v>
      </c>
      <c r="H3" s="43" t="s">
        <v>75</v>
      </c>
      <c r="I3" s="43"/>
      <c r="J3" s="43"/>
      <c r="K3" s="43"/>
      <c r="L3" s="43"/>
      <c r="M3" s="43"/>
      <c r="N3" s="43"/>
      <c r="O3" s="43"/>
      <c r="P3" s="43"/>
    </row>
    <row r="4" spans="1:16" x14ac:dyDescent="0.25">
      <c r="A4" s="4" t="s">
        <v>8</v>
      </c>
      <c r="B4" s="5">
        <v>3700</v>
      </c>
      <c r="E4" s="5">
        <v>3700</v>
      </c>
      <c r="H4" s="43" t="s">
        <v>52</v>
      </c>
      <c r="I4" s="43"/>
      <c r="J4" s="43"/>
      <c r="K4" s="43"/>
      <c r="L4" s="43"/>
      <c r="M4" s="43"/>
      <c r="N4" s="43"/>
      <c r="O4" s="43"/>
      <c r="P4" s="43"/>
    </row>
    <row r="5" spans="1:16" x14ac:dyDescent="0.25">
      <c r="A5" s="4" t="s">
        <v>22</v>
      </c>
      <c r="B5" s="5">
        <f>B4*31</f>
        <v>114700</v>
      </c>
      <c r="E5" s="5">
        <f>E4*31</f>
        <v>114700</v>
      </c>
    </row>
    <row r="6" spans="1:16" x14ac:dyDescent="0.25">
      <c r="C6" s="7"/>
      <c r="D6" s="7"/>
    </row>
    <row r="7" spans="1:16" x14ac:dyDescent="0.25">
      <c r="A7" s="4" t="s">
        <v>11</v>
      </c>
      <c r="B7" s="3">
        <f>B5*Inputs!$C$16</f>
        <v>93822.512820512813</v>
      </c>
      <c r="E7" s="4">
        <f>E5*Inputs!C28</f>
        <v>114700</v>
      </c>
      <c r="K7" s="31" t="s">
        <v>42</v>
      </c>
      <c r="L7" s="34"/>
      <c r="M7" s="31" t="s">
        <v>53</v>
      </c>
      <c r="N7" s="34"/>
      <c r="O7" s="31" t="s">
        <v>19</v>
      </c>
    </row>
    <row r="8" spans="1:16" ht="15.6" x14ac:dyDescent="0.25">
      <c r="A8" s="4"/>
      <c r="I8" s="4" t="s">
        <v>58</v>
      </c>
      <c r="K8" s="35">
        <f>B7</f>
        <v>93822.512820512813</v>
      </c>
      <c r="L8" s="42"/>
      <c r="M8" s="42">
        <f>E7</f>
        <v>114700</v>
      </c>
      <c r="N8" s="42"/>
      <c r="O8" s="34"/>
    </row>
    <row r="9" spans="1:16" x14ac:dyDescent="0.25">
      <c r="D9" t="s">
        <v>44</v>
      </c>
      <c r="E9" s="18">
        <f>Inputs!$C$30</f>
        <v>1.92</v>
      </c>
      <c r="I9" s="4"/>
      <c r="K9" s="34"/>
      <c r="L9" s="34"/>
      <c r="M9" s="34"/>
      <c r="N9" s="34"/>
      <c r="O9" s="34"/>
    </row>
    <row r="10" spans="1:16" ht="15.6" x14ac:dyDescent="0.25">
      <c r="D10" t="s">
        <v>45</v>
      </c>
      <c r="E10" s="18">
        <f>Inputs!$C$31</f>
        <v>-1.42</v>
      </c>
      <c r="I10" s="4" t="s">
        <v>59</v>
      </c>
      <c r="K10" s="36">
        <f>B11</f>
        <v>4.1629395615507505</v>
      </c>
      <c r="L10" s="34"/>
      <c r="M10" s="36">
        <f>E11</f>
        <v>0.5</v>
      </c>
      <c r="N10" s="37"/>
      <c r="O10" s="34"/>
    </row>
    <row r="11" spans="1:16" x14ac:dyDescent="0.25">
      <c r="A11" s="4" t="s">
        <v>12</v>
      </c>
      <c r="B11" s="9">
        <f>Inputs!$C$17</f>
        <v>4.1629395615507505</v>
      </c>
      <c r="D11" s="24" t="s">
        <v>16</v>
      </c>
      <c r="E11" s="18">
        <f>SUM(E9:E10)</f>
        <v>0.5</v>
      </c>
      <c r="I11" s="4"/>
      <c r="K11" s="36"/>
      <c r="L11" s="34"/>
      <c r="M11" s="36"/>
      <c r="N11" s="34"/>
      <c r="O11" s="34"/>
    </row>
    <row r="12" spans="1:16" ht="15.6" x14ac:dyDescent="0.25">
      <c r="I12" s="4" t="s">
        <v>60</v>
      </c>
      <c r="K12" s="36">
        <f>B15</f>
        <v>2.2284617127787634</v>
      </c>
      <c r="L12" s="34"/>
      <c r="M12" s="36">
        <f>E15</f>
        <v>-0.88</v>
      </c>
      <c r="N12" s="36"/>
      <c r="O12" s="34"/>
    </row>
    <row r="13" spans="1:16" x14ac:dyDescent="0.25">
      <c r="D13" t="s">
        <v>46</v>
      </c>
      <c r="E13" s="18">
        <f>Inputs!$C$33</f>
        <v>-0.96</v>
      </c>
      <c r="I13" s="4"/>
      <c r="K13" s="34"/>
      <c r="L13" s="34"/>
      <c r="M13" s="36"/>
      <c r="N13" s="34"/>
      <c r="O13" s="34"/>
    </row>
    <row r="14" spans="1:16" ht="15.6" x14ac:dyDescent="0.25">
      <c r="D14" t="s">
        <v>47</v>
      </c>
      <c r="E14" s="18">
        <f>Inputs!$C$34</f>
        <v>0.08</v>
      </c>
      <c r="I14" s="4" t="s">
        <v>65</v>
      </c>
      <c r="K14" s="37">
        <f>B26/B7</f>
        <v>1.1096893165332096</v>
      </c>
      <c r="L14" s="34"/>
      <c r="M14" s="36">
        <f>E25</f>
        <v>0.93689999999999996</v>
      </c>
      <c r="N14" s="37"/>
      <c r="O14" s="34"/>
    </row>
    <row r="15" spans="1:16" x14ac:dyDescent="0.25">
      <c r="A15" s="4" t="s">
        <v>13</v>
      </c>
      <c r="B15" s="9">
        <f>Inputs!$C$18</f>
        <v>2.2284617127787634</v>
      </c>
      <c r="D15" s="24" t="s">
        <v>16</v>
      </c>
      <c r="E15" s="18">
        <f>SUM(E13:E14)</f>
        <v>-0.88</v>
      </c>
      <c r="I15" s="4"/>
      <c r="K15" s="34"/>
      <c r="L15" s="34"/>
      <c r="M15" s="34"/>
      <c r="N15" s="34"/>
      <c r="O15" s="34"/>
    </row>
    <row r="16" spans="1:16" x14ac:dyDescent="0.25">
      <c r="I16" s="4" t="s">
        <v>54</v>
      </c>
      <c r="K16" s="38">
        <f>B31</f>
        <v>0.25</v>
      </c>
      <c r="L16" s="34"/>
      <c r="M16" s="38">
        <f>E31</f>
        <v>0.25</v>
      </c>
      <c r="N16" s="34"/>
      <c r="O16" s="34"/>
    </row>
    <row r="17" spans="1:15" x14ac:dyDescent="0.25">
      <c r="A17" t="s">
        <v>21</v>
      </c>
      <c r="B17" s="15">
        <f>B11-B15</f>
        <v>1.9344778487719871</v>
      </c>
      <c r="D17" s="24" t="s">
        <v>21</v>
      </c>
      <c r="E17" s="18">
        <f>E11-E15</f>
        <v>1.38</v>
      </c>
      <c r="I17" s="4"/>
      <c r="K17" s="34"/>
      <c r="L17" s="34"/>
      <c r="M17" s="34"/>
      <c r="N17" s="34"/>
      <c r="O17" s="34"/>
    </row>
    <row r="18" spans="1:15" x14ac:dyDescent="0.25">
      <c r="B18" s="15"/>
      <c r="D18" s="24"/>
      <c r="E18" s="18"/>
      <c r="I18" s="4" t="s">
        <v>55</v>
      </c>
      <c r="K18" s="39">
        <f>K8*((K10-K12)-K14)*K16</f>
        <v>19345.933160046163</v>
      </c>
      <c r="L18" s="34"/>
      <c r="M18" s="39">
        <f>M8*((M10-M12)-M14)*M16</f>
        <v>12705.892499999998</v>
      </c>
      <c r="N18" s="34"/>
      <c r="O18" s="39">
        <f>K18+M18</f>
        <v>32051.825660046161</v>
      </c>
    </row>
    <row r="19" spans="1:15" x14ac:dyDescent="0.25">
      <c r="A19" s="4" t="s">
        <v>29</v>
      </c>
      <c r="B19" s="16">
        <f>B7*B17</f>
        <v>181497.57276740781</v>
      </c>
    </row>
    <row r="21" spans="1:15" x14ac:dyDescent="0.25">
      <c r="A21" s="4" t="s">
        <v>23</v>
      </c>
      <c r="D21" s="4" t="s">
        <v>23</v>
      </c>
      <c r="I21" s="40" t="s">
        <v>56</v>
      </c>
    </row>
    <row r="22" spans="1:15" x14ac:dyDescent="0.25">
      <c r="A22" s="13" t="s">
        <v>14</v>
      </c>
      <c r="B22" s="19">
        <f>B5*Inputs!$C$21</f>
        <v>88708.98</v>
      </c>
      <c r="D22" s="24" t="s">
        <v>14</v>
      </c>
      <c r="E22" s="10">
        <f>Inputs!$C$37</f>
        <v>0.77339999999999998</v>
      </c>
      <c r="F22">
        <f>E22*E7</f>
        <v>88708.98</v>
      </c>
      <c r="I22" t="s">
        <v>57</v>
      </c>
    </row>
    <row r="23" spans="1:15" x14ac:dyDescent="0.25">
      <c r="A23" s="13" t="s">
        <v>15</v>
      </c>
      <c r="B23" s="19">
        <f>B7*Inputs!C22</f>
        <v>6239.1971025641024</v>
      </c>
      <c r="D23" s="24" t="s">
        <v>15</v>
      </c>
      <c r="E23" s="10">
        <f>Inputs!$C$38</f>
        <v>6.6500000000000004E-2</v>
      </c>
      <c r="F23">
        <f>E23*E7</f>
        <v>7627.55</v>
      </c>
    </row>
    <row r="24" spans="1:15" x14ac:dyDescent="0.25">
      <c r="A24" s="13" t="s">
        <v>26</v>
      </c>
      <c r="B24" s="7">
        <f>ROUND((B7/(1-Inputs!$C$23))-B7,0)</f>
        <v>4113</v>
      </c>
      <c r="D24" s="24" t="s">
        <v>25</v>
      </c>
      <c r="E24" s="10">
        <v>9.7000000000000003E-2</v>
      </c>
      <c r="F24" s="7">
        <f>ROUND((E7/(1-Inputs!$C$23))-E7,0)*(E15+3.096)</f>
        <v>11144.264000000001</v>
      </c>
    </row>
    <row r="25" spans="1:15" ht="15.6" x14ac:dyDescent="0.25">
      <c r="A25" s="13" t="s">
        <v>27</v>
      </c>
      <c r="B25" s="19">
        <f>B24*B15</f>
        <v>9165.6630246590539</v>
      </c>
      <c r="D25" s="24" t="s">
        <v>16</v>
      </c>
      <c r="E25" s="10">
        <f>SUM(E22:E24)</f>
        <v>0.93689999999999996</v>
      </c>
      <c r="F25" s="17">
        <f>E25*E7</f>
        <v>107462.43</v>
      </c>
      <c r="H25" s="41"/>
      <c r="I25" s="41" t="s">
        <v>72</v>
      </c>
    </row>
    <row r="26" spans="1:15" x14ac:dyDescent="0.25">
      <c r="A26" s="13" t="s">
        <v>18</v>
      </c>
      <c r="B26" s="12">
        <f>B25+B23+B22</f>
        <v>104113.84012722316</v>
      </c>
      <c r="I26" t="s">
        <v>68</v>
      </c>
    </row>
    <row r="27" spans="1:15" ht="15.6" x14ac:dyDescent="0.25">
      <c r="I27" s="41" t="s">
        <v>62</v>
      </c>
    </row>
    <row r="28" spans="1:15" ht="15.6" x14ac:dyDescent="0.25">
      <c r="D28" t="s">
        <v>20</v>
      </c>
      <c r="E28" s="18">
        <f>E17-E25</f>
        <v>0.44309999999999994</v>
      </c>
      <c r="I28" s="41" t="s">
        <v>64</v>
      </c>
    </row>
    <row r="29" spans="1:15" ht="15.6" x14ac:dyDescent="0.25">
      <c r="A29" s="13" t="s">
        <v>20</v>
      </c>
      <c r="B29" s="12">
        <f>B19-B26</f>
        <v>77383.732640184651</v>
      </c>
      <c r="D29" t="s">
        <v>17</v>
      </c>
      <c r="E29" s="12">
        <f>E28*E7</f>
        <v>50823.569999999992</v>
      </c>
      <c r="I29" s="41" t="s">
        <v>78</v>
      </c>
    </row>
    <row r="30" spans="1:15" x14ac:dyDescent="0.25">
      <c r="I30" t="s">
        <v>77</v>
      </c>
    </row>
    <row r="31" spans="1:15" x14ac:dyDescent="0.25">
      <c r="A31" s="14" t="s">
        <v>28</v>
      </c>
      <c r="B31" s="2">
        <v>0.25</v>
      </c>
      <c r="D31" t="s">
        <v>33</v>
      </c>
      <c r="E31" s="25">
        <f>B31</f>
        <v>0.25</v>
      </c>
    </row>
    <row r="33" spans="1:5" x14ac:dyDescent="0.25">
      <c r="A33" s="4" t="s">
        <v>30</v>
      </c>
      <c r="B33" s="3">
        <f>B31*B29</f>
        <v>19345.933160046163</v>
      </c>
      <c r="D33" s="4" t="s">
        <v>30</v>
      </c>
      <c r="E33" s="26">
        <f>E31*E29</f>
        <v>12705.892499999998</v>
      </c>
    </row>
  </sheetData>
  <mergeCells count="3">
    <mergeCell ref="H2:P2"/>
    <mergeCell ref="H3:P3"/>
    <mergeCell ref="H4:P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Summary</vt:lpstr>
      <vt:lpstr>Inputs</vt:lpstr>
      <vt:lpstr>PCHC</vt:lpstr>
      <vt:lpstr>Misaka</vt:lpstr>
      <vt:lpstr>Kennedy</vt:lpstr>
      <vt:lpstr>JMHuber</vt:lpstr>
      <vt:lpstr>FMI Weld</vt:lpstr>
      <vt:lpstr>Patina</vt:lpstr>
      <vt:lpstr>Cannon</vt:lpstr>
      <vt:lpstr>Cannon!Print_Area</vt:lpstr>
      <vt:lpstr>'FMI Weld'!Print_Area</vt:lpstr>
      <vt:lpstr>Inputs!Print_Area</vt:lpstr>
      <vt:lpstr>JMHuber!Print_Area</vt:lpstr>
      <vt:lpstr>Kennedy!Print_Area</vt:lpstr>
      <vt:lpstr>Misaka!Print_Area</vt:lpstr>
      <vt:lpstr>Patina!Print_Area</vt:lpstr>
      <vt:lpstr>PCHC!Print_Area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Polsky</dc:creator>
  <cp:lastModifiedBy>Havlíček Jan</cp:lastModifiedBy>
  <cp:lastPrinted>2001-08-17T13:43:02Z</cp:lastPrinted>
  <dcterms:created xsi:type="dcterms:W3CDTF">2001-08-14T16:19:01Z</dcterms:created>
  <dcterms:modified xsi:type="dcterms:W3CDTF">2023-09-10T12:24:00Z</dcterms:modified>
</cp:coreProperties>
</file>