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2"/>
  </bookViews>
  <sheets>
    <sheet name="Sheet1" sheetId="1" r:id="rId1"/>
    <sheet name="attendance" sheetId="2" r:id="rId2"/>
    <sheet name="Sheet3" sheetId="3" r:id="rId3"/>
  </sheets>
  <definedNames>
    <definedName name="DiscRate">Sheet1!$C$13</definedName>
    <definedName name="discrate2">Sheet1!$D$13</definedName>
    <definedName name="DiscRate3">Sheet1!$E$13</definedName>
    <definedName name="DiscRate4">Sheet1!$F$13</definedName>
    <definedName name="DiscRate5">Sheet1!$G$13</definedName>
    <definedName name="DiscRate6">Sheet1!$H$13</definedName>
    <definedName name="inflation">Sheet3!$B$1</definedName>
    <definedName name="tixdr0">attendance!$F$22</definedName>
    <definedName name="tixdr2">attendance!$G$22</definedName>
    <definedName name="tixdr3">attendance!$H$22</definedName>
    <definedName name="tixdr4">attendance!$I$22</definedName>
    <definedName name="tixdr5">attendance!$J$22</definedName>
    <definedName name="tixdr6">attendance!$K$22</definedName>
  </definedNames>
  <calcPr calcId="92512"/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E3" i="2"/>
  <c r="F3" i="2"/>
  <c r="G3" i="2"/>
  <c r="H3" i="2"/>
  <c r="I3" i="2"/>
  <c r="J3" i="2"/>
  <c r="K3" i="2"/>
  <c r="E4" i="2"/>
  <c r="F4" i="2"/>
  <c r="G4" i="2"/>
  <c r="H4" i="2"/>
  <c r="I4" i="2"/>
  <c r="J4" i="2"/>
  <c r="K4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F22" i="2"/>
  <c r="G22" i="2"/>
  <c r="H22" i="2"/>
  <c r="I22" i="2"/>
  <c r="J22" i="2"/>
  <c r="K22" i="2"/>
  <c r="B6" i="1"/>
  <c r="B11" i="1"/>
  <c r="C18" i="1"/>
  <c r="D18" i="1"/>
  <c r="E18" i="1"/>
  <c r="F18" i="1"/>
  <c r="G18" i="1"/>
  <c r="H18" i="1"/>
  <c r="C22" i="1"/>
  <c r="D22" i="1"/>
  <c r="E22" i="1"/>
  <c r="F22" i="1"/>
  <c r="G22" i="1"/>
  <c r="H22" i="1"/>
  <c r="C23" i="1"/>
  <c r="D23" i="1"/>
  <c r="E23" i="1"/>
  <c r="F23" i="1"/>
  <c r="G23" i="1"/>
  <c r="H23" i="1"/>
  <c r="C26" i="1"/>
  <c r="D26" i="1"/>
  <c r="E26" i="1"/>
  <c r="F26" i="1"/>
  <c r="G26" i="1"/>
  <c r="H26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D37" i="1"/>
  <c r="D38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A4" i="3"/>
  <c r="E4" i="3"/>
  <c r="F4" i="3"/>
  <c r="A5" i="3"/>
  <c r="E5" i="3"/>
  <c r="F5" i="3"/>
  <c r="G5" i="3"/>
  <c r="H5" i="3"/>
  <c r="I5" i="3"/>
  <c r="A6" i="3"/>
  <c r="E6" i="3"/>
  <c r="F6" i="3"/>
  <c r="G6" i="3"/>
  <c r="H6" i="3"/>
  <c r="I6" i="3"/>
  <c r="A7" i="3"/>
  <c r="E7" i="3"/>
  <c r="F7" i="3"/>
  <c r="G7" i="3"/>
  <c r="H7" i="3"/>
  <c r="I7" i="3"/>
  <c r="A8" i="3"/>
  <c r="E8" i="3"/>
  <c r="F8" i="3"/>
  <c r="G8" i="3"/>
  <c r="H8" i="3"/>
  <c r="I8" i="3"/>
  <c r="A9" i="3"/>
  <c r="F9" i="3"/>
  <c r="G9" i="3"/>
  <c r="H9" i="3"/>
  <c r="I9" i="3"/>
  <c r="A10" i="3"/>
  <c r="F10" i="3"/>
  <c r="G10" i="3"/>
  <c r="H10" i="3"/>
  <c r="I10" i="3"/>
  <c r="A11" i="3"/>
  <c r="E11" i="3"/>
  <c r="F11" i="3"/>
  <c r="G11" i="3"/>
  <c r="H11" i="3"/>
  <c r="I11" i="3"/>
</calcChain>
</file>

<file path=xl/sharedStrings.xml><?xml version="1.0" encoding="utf-8"?>
<sst xmlns="http://schemas.openxmlformats.org/spreadsheetml/2006/main" count="61" uniqueCount="55">
  <si>
    <t>Facts:</t>
  </si>
  <si>
    <t>20 year lease</t>
  </si>
  <si>
    <t>min 90% home games</t>
  </si>
  <si>
    <t>est cost:</t>
  </si>
  <si>
    <t>County pd</t>
  </si>
  <si>
    <t>Mariners</t>
  </si>
  <si>
    <t>+ &gt;$384</t>
  </si>
  <si>
    <t>+ maintenance</t>
  </si>
  <si>
    <t>10% profits</t>
  </si>
  <si>
    <t>(not likely)</t>
  </si>
  <si>
    <t>3-yrs to build</t>
  </si>
  <si>
    <t>Discount Rate:</t>
  </si>
  <si>
    <t>(384 - 45)</t>
  </si>
  <si>
    <t>PV 3/1/99</t>
  </si>
  <si>
    <t>PV 7/1/96</t>
  </si>
  <si>
    <t>Mar/Aug 1st lease</t>
  </si>
  <si>
    <t>Lease Payments (Revenue)</t>
  </si>
  <si>
    <t>Cost of Building (Expense)</t>
  </si>
  <si>
    <t>$339M over 2.67 years</t>
  </si>
  <si>
    <t>How long does a baseball stadium last?</t>
  </si>
  <si>
    <t>At end of 20 stadium will be in new condition, because of maintenance covered by team.</t>
  </si>
  <si>
    <t>Value 1/1/2019</t>
  </si>
  <si>
    <t>Residual value of stadium 1/1/19</t>
  </si>
  <si>
    <t>assumes 1/2 down, 1/2 apon completion</t>
  </si>
  <si>
    <t>Assumes project goes over, as most do.</t>
  </si>
  <si>
    <t>40 payments of $350,000</t>
  </si>
  <si>
    <t>Population</t>
  </si>
  <si>
    <t>1990</t>
  </si>
  <si>
    <t>1996</t>
  </si>
  <si>
    <t>2000</t>
  </si>
  <si>
    <t>Cost per Capita</t>
  </si>
  <si>
    <t>NPV of Investments</t>
  </si>
  <si>
    <t>people per hh</t>
  </si>
  <si>
    <t>Cost per Household</t>
  </si>
  <si>
    <t>Attendance</t>
  </si>
  <si>
    <t>Year</t>
  </si>
  <si>
    <t>price 1</t>
  </si>
  <si>
    <t>PV Ticket Sales</t>
  </si>
  <si>
    <t>PV @ 7/96, dr2</t>
  </si>
  <si>
    <t>PV @ 7/96, dr3</t>
  </si>
  <si>
    <t>PV @ 7/96, dr4</t>
  </si>
  <si>
    <t>PV @ 7/96, dr5</t>
  </si>
  <si>
    <t>PV @ 7/96, dr</t>
  </si>
  <si>
    <t>PV @ 7/96, dr6</t>
  </si>
  <si>
    <t>price</t>
  </si>
  <si>
    <t>note</t>
  </si>
  <si>
    <t>purchased  200,000 worth of tickets by county</t>
  </si>
  <si>
    <t>adj ticket sales</t>
  </si>
  <si>
    <t>ticket sales</t>
  </si>
  <si>
    <t>strike shortened seasons - adjusted up to full season</t>
  </si>
  <si>
    <t>Inflation:</t>
  </si>
  <si>
    <t>%changeQ</t>
  </si>
  <si>
    <t>%changeP</t>
  </si>
  <si>
    <t>Price</t>
  </si>
  <si>
    <t>Elasticity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</si>
</sst>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3" formatCode="_(* #,##0.00_);_(* \(#,##0.00\);_(* &quot;-&quot;??_);_(@_)"/>
    <numFmt numFmtId="164" formatCode="0.0"/>
    <numFmt numFmtId="166" formatCode="_(* #,##0.0_);_(* \(#,##0.0\);_(* &quot;-&quot;??_);_(@_)"/>
    <numFmt numFmtId="168" formatCode="_(* #,##0_);_(* \(#,##0\);_(* &quot;-&quot;??_);_(@_)"/>
    <numFmt numFmtId="169" formatCode="0.0%"/>
  </numFmts>
  <fonts count="5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166" fontId="2" fillId="0" borderId="0" xfId="1" applyNumberFormat="1" applyFon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43" fontId="0" fillId="0" borderId="0" xfId="1" applyNumberFormat="1" applyFont="1"/>
    <xf numFmtId="168" fontId="0" fillId="0" borderId="0" xfId="0" applyNumberFormat="1"/>
    <xf numFmtId="9" fontId="0" fillId="0" borderId="0" xfId="2" applyFont="1"/>
    <xf numFmtId="169" fontId="2" fillId="0" borderId="0" xfId="0" applyNumberFormat="1" applyFont="1"/>
    <xf numFmtId="9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H14" sqref="H14"/>
    </sheetView>
  </sheetViews>
  <sheetFormatPr defaultRowHeight="13.2" x14ac:dyDescent="0.25"/>
  <cols>
    <col min="1" max="1" width="13.5546875" customWidth="1"/>
    <col min="2" max="2" width="10" customWidth="1"/>
    <col min="3" max="3" width="15" bestFit="1" customWidth="1"/>
    <col min="4" max="4" width="12.88671875" bestFit="1" customWidth="1"/>
    <col min="5" max="5" width="10.1093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10</v>
      </c>
    </row>
    <row r="5" spans="1:8" x14ac:dyDescent="0.25">
      <c r="A5" t="s">
        <v>3</v>
      </c>
      <c r="B5">
        <v>363.5</v>
      </c>
    </row>
    <row r="6" spans="1:8" x14ac:dyDescent="0.25">
      <c r="A6" s="3" t="s">
        <v>4</v>
      </c>
      <c r="B6" s="1">
        <f>384-45</f>
        <v>339</v>
      </c>
      <c r="C6" t="s">
        <v>12</v>
      </c>
      <c r="E6" t="s">
        <v>24</v>
      </c>
    </row>
    <row r="7" spans="1:8" x14ac:dyDescent="0.25">
      <c r="A7" s="3" t="s">
        <v>5</v>
      </c>
      <c r="B7" s="1">
        <v>45</v>
      </c>
    </row>
    <row r="8" spans="1:8" x14ac:dyDescent="0.25">
      <c r="B8" s="2" t="s">
        <v>6</v>
      </c>
    </row>
    <row r="9" spans="1:8" x14ac:dyDescent="0.25">
      <c r="B9" s="2" t="s">
        <v>7</v>
      </c>
    </row>
    <row r="10" spans="1:8" x14ac:dyDescent="0.25">
      <c r="B10" t="s">
        <v>8</v>
      </c>
      <c r="C10" t="s">
        <v>9</v>
      </c>
    </row>
    <row r="11" spans="1:8" x14ac:dyDescent="0.25">
      <c r="B11">
        <f>0.7/2</f>
        <v>0.35</v>
      </c>
      <c r="C11" t="s">
        <v>15</v>
      </c>
    </row>
    <row r="13" spans="1:8" x14ac:dyDescent="0.25">
      <c r="A13" t="s">
        <v>11</v>
      </c>
      <c r="C13" s="19">
        <v>0.05</v>
      </c>
      <c r="D13" s="19">
        <v>0.04</v>
      </c>
      <c r="E13" s="19">
        <v>4.4999999999999998E-2</v>
      </c>
      <c r="F13" s="19">
        <v>5.5E-2</v>
      </c>
      <c r="G13" s="19">
        <v>0.06</v>
      </c>
      <c r="H13" s="19">
        <v>6.5000000000000002E-2</v>
      </c>
    </row>
    <row r="14" spans="1:8" x14ac:dyDescent="0.25">
      <c r="A14" t="s">
        <v>21</v>
      </c>
      <c r="C14" s="8">
        <v>250</v>
      </c>
      <c r="D14" s="8">
        <v>250</v>
      </c>
      <c r="E14" s="8">
        <v>250</v>
      </c>
      <c r="F14" s="8">
        <v>250</v>
      </c>
      <c r="G14" s="8">
        <v>250</v>
      </c>
      <c r="H14" s="8">
        <v>250</v>
      </c>
    </row>
    <row r="16" spans="1:8" x14ac:dyDescent="0.25">
      <c r="A16" t="s">
        <v>17</v>
      </c>
    </row>
    <row r="17" spans="1:10" x14ac:dyDescent="0.25">
      <c r="B17" t="s">
        <v>18</v>
      </c>
      <c r="J17" s="11"/>
    </row>
    <row r="18" spans="1:10" x14ac:dyDescent="0.25">
      <c r="A18" s="10" t="s">
        <v>23</v>
      </c>
      <c r="B18" t="s">
        <v>14</v>
      </c>
      <c r="C18" s="7">
        <f>339/2 + 339/2/POWER(1+DiscRate,2.67)</f>
        <v>318.29703386362598</v>
      </c>
      <c r="D18" s="7">
        <f>339/2 + 339/2/POWER(1+discrate2,2.67)</f>
        <v>322.14784818754902</v>
      </c>
      <c r="E18" s="7">
        <f>339/2 + 339/2/POWER(1+DiscRate3,2.67)</f>
        <v>320.20553638647272</v>
      </c>
      <c r="F18" s="7">
        <f>339/2 + 339/2/POWER(1+DiscRate4,2.67)</f>
        <v>316.4215952911735</v>
      </c>
      <c r="G18" s="7">
        <f>339/2 + 339/2/POWER(1+DiscRate5,2.67)</f>
        <v>314.57849519666559</v>
      </c>
      <c r="H18" s="7">
        <f>339/2 + 339/2/POWER(1+DiscRate6,2.67)</f>
        <v>312.76702734371872</v>
      </c>
      <c r="J18" s="11"/>
    </row>
    <row r="19" spans="1:10" x14ac:dyDescent="0.25">
      <c r="J19" s="4"/>
    </row>
    <row r="20" spans="1:10" x14ac:dyDescent="0.25">
      <c r="A20" t="s">
        <v>16</v>
      </c>
      <c r="J20" s="4"/>
    </row>
    <row r="21" spans="1:10" x14ac:dyDescent="0.25">
      <c r="B21" t="s">
        <v>25</v>
      </c>
    </row>
    <row r="22" spans="1:10" x14ac:dyDescent="0.25">
      <c r="B22" t="s">
        <v>13</v>
      </c>
      <c r="C22" s="4">
        <f>PV(POWER(1+DiscRate,0.5)-1,40,-$B$11)</f>
        <v>8.831261573415377</v>
      </c>
      <c r="D22" s="9">
        <f>PV(POWER(1+discrate2,0.5)-1,40,-$B$11)</f>
        <v>9.607427966774571</v>
      </c>
      <c r="E22" s="9">
        <f>PV(POWER(1+DiscRate3,0.5)-1,40,-$B$11)</f>
        <v>9.206865816150934</v>
      </c>
      <c r="F22" s="9">
        <f>PV(POWER(1+DiscRate4,0.5)-1,40,-$B$11)</f>
        <v>8.478750665509132</v>
      </c>
      <c r="G22" s="9">
        <f>PV(POWER(1+DiscRate5,0.5)-1,40,-$B$11)</f>
        <v>8.1476247579390808</v>
      </c>
      <c r="H22" s="9">
        <f>PV(POWER(1+DiscRate6,0.5)-1,40,-$B$11)</f>
        <v>7.8363175113097192</v>
      </c>
    </row>
    <row r="23" spans="1:10" x14ac:dyDescent="0.25">
      <c r="B23" t="s">
        <v>14</v>
      </c>
      <c r="C23" s="6">
        <f>C22/POWER(1+DiscRate,2.67)</f>
        <v>7.7525989816992729</v>
      </c>
      <c r="D23" s="12">
        <f>D22/POWER(1+discrate2,2.67)</f>
        <v>8.6522313023304864</v>
      </c>
      <c r="E23" s="6">
        <f>E22/POWER(1+DiscRate3,2.67)</f>
        <v>8.1859920428395654</v>
      </c>
      <c r="F23" s="12">
        <f>F22/POWER(1+DiscRate4,2.67)</f>
        <v>7.3493308191899755</v>
      </c>
      <c r="G23" s="12">
        <f>G22/POWER(1+DiscRate5,2.67)</f>
        <v>6.9737176360406981</v>
      </c>
      <c r="H23" s="12">
        <f>H22/POWER(1+DiscRate6,2.67)</f>
        <v>6.6235157236983557</v>
      </c>
    </row>
    <row r="24" spans="1:10" x14ac:dyDescent="0.25">
      <c r="A24" s="5"/>
    </row>
    <row r="25" spans="1:10" x14ac:dyDescent="0.25">
      <c r="A25" s="5" t="s">
        <v>22</v>
      </c>
    </row>
    <row r="26" spans="1:10" x14ac:dyDescent="0.25">
      <c r="B26" t="s">
        <v>14</v>
      </c>
      <c r="C26" s="6">
        <f>C14/POWER(1+DiscRate,22.5)</f>
        <v>83.402828532720179</v>
      </c>
      <c r="D26" s="6">
        <f>D14/POWER(1+discrate2,22.5)</f>
        <v>103.44032453831792</v>
      </c>
      <c r="E26" s="6">
        <f>E14/POWER(1+DiscRate3,22.5)</f>
        <v>92.858886930349598</v>
      </c>
      <c r="F26" s="6">
        <f>F14/POWER(1+DiscRate4,22.5)</f>
        <v>74.947934214070415</v>
      </c>
      <c r="G26" s="6">
        <f>G14/POWER(1+DiscRate5,22.5)</f>
        <v>67.384194339760938</v>
      </c>
      <c r="H26" s="6">
        <f>H14/POWER(1+DiscRate6,22.5)</f>
        <v>60.614124091238779</v>
      </c>
    </row>
    <row r="27" spans="1:10" x14ac:dyDescent="0.25">
      <c r="A27" s="5"/>
      <c r="E27" s="4"/>
    </row>
    <row r="28" spans="1:10" x14ac:dyDescent="0.25">
      <c r="A28" s="5" t="s">
        <v>31</v>
      </c>
      <c r="C28" s="6">
        <f t="shared" ref="C28:H28" si="0">C26+C23-C18</f>
        <v>-227.14160634920654</v>
      </c>
      <c r="D28" s="6">
        <f t="shared" si="0"/>
        <v>-210.05529234690061</v>
      </c>
      <c r="E28" s="6">
        <f t="shared" si="0"/>
        <v>-219.16065741328356</v>
      </c>
      <c r="F28" s="6">
        <f t="shared" si="0"/>
        <v>-234.12433025791313</v>
      </c>
      <c r="G28" s="6">
        <f t="shared" si="0"/>
        <v>-240.22058322086394</v>
      </c>
      <c r="H28" s="6">
        <f t="shared" si="0"/>
        <v>-245.52938752878157</v>
      </c>
    </row>
    <row r="29" spans="1:10" x14ac:dyDescent="0.25">
      <c r="A29" s="5" t="s">
        <v>37</v>
      </c>
      <c r="C29" s="6">
        <f>tixdr0/1000000</f>
        <v>561.89556663732299</v>
      </c>
      <c r="D29" s="6">
        <f>tixdr2/1000000</f>
        <v>631.05184908278613</v>
      </c>
      <c r="E29" s="6">
        <f>tixdr3/1000000</f>
        <v>595.16011117885637</v>
      </c>
      <c r="F29" s="6">
        <f>tixdr4/1000000</f>
        <v>531.03596951079192</v>
      </c>
      <c r="G29" s="6">
        <f>tixdr5/1000000</f>
        <v>502.37979498221443</v>
      </c>
      <c r="H29" s="6">
        <f>tixdr6/1000000</f>
        <v>475.74416014391016</v>
      </c>
    </row>
    <row r="30" spans="1:10" x14ac:dyDescent="0.25">
      <c r="A30" s="5"/>
      <c r="C30" s="18">
        <f t="shared" ref="C30:H30" si="1">-C28/C29</f>
        <v>0.40424167734324856</v>
      </c>
      <c r="D30" s="18">
        <f t="shared" si="1"/>
        <v>0.33286534640887167</v>
      </c>
      <c r="E30" s="18">
        <f t="shared" si="1"/>
        <v>0.36823814851970449</v>
      </c>
      <c r="F30" s="18">
        <f t="shared" si="1"/>
        <v>0.4408822447066934</v>
      </c>
      <c r="G30" s="18">
        <f t="shared" si="1"/>
        <v>0.47816529569898086</v>
      </c>
      <c r="H30" s="18">
        <f t="shared" si="1"/>
        <v>0.51609543132281477</v>
      </c>
    </row>
    <row r="31" spans="1:10" x14ac:dyDescent="0.25">
      <c r="A31" s="5"/>
      <c r="E31" s="6"/>
    </row>
    <row r="32" spans="1:10" x14ac:dyDescent="0.25">
      <c r="A32" s="5" t="s">
        <v>19</v>
      </c>
    </row>
    <row r="33" spans="1:8" x14ac:dyDescent="0.25">
      <c r="A33" s="4" t="s">
        <v>20</v>
      </c>
    </row>
    <row r="34" spans="1:8" x14ac:dyDescent="0.25">
      <c r="A34" s="6"/>
    </row>
    <row r="36" spans="1:8" x14ac:dyDescent="0.25">
      <c r="A36" s="14" t="s">
        <v>26</v>
      </c>
      <c r="B36" s="15" t="s">
        <v>27</v>
      </c>
      <c r="C36" s="15" t="s">
        <v>29</v>
      </c>
      <c r="D36" s="15" t="s">
        <v>28</v>
      </c>
    </row>
    <row r="37" spans="1:8" x14ac:dyDescent="0.25">
      <c r="B37" s="13">
        <v>1507319</v>
      </c>
      <c r="C37" s="13">
        <v>1686234</v>
      </c>
      <c r="D37" s="13">
        <f>(C37*6+B37*4)/10</f>
        <v>1614668</v>
      </c>
    </row>
    <row r="38" spans="1:8" x14ac:dyDescent="0.25">
      <c r="B38">
        <v>2.4</v>
      </c>
      <c r="C38">
        <v>2.34</v>
      </c>
      <c r="D38" s="16">
        <f>(C38*6+B38*4)/10</f>
        <v>2.3639999999999999</v>
      </c>
    </row>
    <row r="39" spans="1:8" x14ac:dyDescent="0.25">
      <c r="D39" s="13"/>
    </row>
    <row r="40" spans="1:8" x14ac:dyDescent="0.25">
      <c r="A40" t="s">
        <v>30</v>
      </c>
      <c r="C40" s="6">
        <f t="shared" ref="C40:H40" si="2">C18*1000000/$D$37</f>
        <v>197.12847090771973</v>
      </c>
      <c r="D40" s="6">
        <f t="shared" si="2"/>
        <v>199.51336633137524</v>
      </c>
      <c r="E40" s="6">
        <f t="shared" si="2"/>
        <v>198.31044919851803</v>
      </c>
      <c r="F40" s="6">
        <f t="shared" si="2"/>
        <v>195.9669698607847</v>
      </c>
      <c r="G40" s="6">
        <f t="shared" si="2"/>
        <v>194.82549675640169</v>
      </c>
      <c r="H40" s="6">
        <f t="shared" si="2"/>
        <v>193.70361420658531</v>
      </c>
    </row>
    <row r="41" spans="1:8" x14ac:dyDescent="0.25">
      <c r="A41" t="s">
        <v>32</v>
      </c>
      <c r="C41" s="6">
        <f t="shared" ref="C41:H41" si="3">$D$38</f>
        <v>2.3639999999999999</v>
      </c>
      <c r="D41" s="6">
        <f t="shared" si="3"/>
        <v>2.3639999999999999</v>
      </c>
      <c r="E41" s="6">
        <f t="shared" si="3"/>
        <v>2.3639999999999999</v>
      </c>
      <c r="F41" s="6">
        <f t="shared" si="3"/>
        <v>2.3639999999999999</v>
      </c>
      <c r="G41" s="6">
        <f t="shared" si="3"/>
        <v>2.3639999999999999</v>
      </c>
      <c r="H41" s="6">
        <f t="shared" si="3"/>
        <v>2.3639999999999999</v>
      </c>
    </row>
    <row r="42" spans="1:8" x14ac:dyDescent="0.25">
      <c r="A42" t="s">
        <v>33</v>
      </c>
      <c r="C42" s="6">
        <f t="shared" ref="C42:H42" si="4">C40*C41</f>
        <v>466.01170522584943</v>
      </c>
      <c r="D42" s="6">
        <f t="shared" si="4"/>
        <v>471.64959800737103</v>
      </c>
      <c r="E42" s="6">
        <f t="shared" si="4"/>
        <v>468.80590190529659</v>
      </c>
      <c r="F42" s="6">
        <f t="shared" si="4"/>
        <v>463.26591675089503</v>
      </c>
      <c r="G42" s="6">
        <f t="shared" si="4"/>
        <v>460.5674743321336</v>
      </c>
      <c r="H42" s="6">
        <f t="shared" si="4"/>
        <v>457.91534398436767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B1" workbookViewId="0">
      <selection activeCell="B1" sqref="B1:D21"/>
    </sheetView>
  </sheetViews>
  <sheetFormatPr defaultRowHeight="13.2" x14ac:dyDescent="0.25"/>
  <cols>
    <col min="3" max="3" width="12.88671875" bestFit="1" customWidth="1"/>
    <col min="5" max="11" width="14" bestFit="1" customWidth="1"/>
  </cols>
  <sheetData>
    <row r="1" spans="1:11" x14ac:dyDescent="0.25">
      <c r="B1" t="s">
        <v>35</v>
      </c>
      <c r="C1" t="s">
        <v>34</v>
      </c>
      <c r="D1" t="s">
        <v>36</v>
      </c>
      <c r="F1" t="s">
        <v>42</v>
      </c>
      <c r="G1" t="s">
        <v>38</v>
      </c>
      <c r="H1" t="s">
        <v>39</v>
      </c>
      <c r="I1" t="s">
        <v>40</v>
      </c>
      <c r="J1" t="s">
        <v>41</v>
      </c>
      <c r="K1" t="s">
        <v>43</v>
      </c>
    </row>
    <row r="2" spans="1:11" x14ac:dyDescent="0.25">
      <c r="A2">
        <v>1</v>
      </c>
      <c r="B2">
        <v>1999</v>
      </c>
      <c r="C2" s="13">
        <v>2703704</v>
      </c>
      <c r="D2">
        <v>15.64</v>
      </c>
      <c r="E2" s="13">
        <f>C2*D2</f>
        <v>42285930.560000002</v>
      </c>
      <c r="F2" s="17">
        <f>$E2/POWER(1+DiscRate,2+attendance!$A2)</f>
        <v>36528176.706619151</v>
      </c>
      <c r="G2" s="17">
        <f>$E2/POWER(1+discrate2,2+attendance!$A2)</f>
        <v>37592038.290851161</v>
      </c>
      <c r="H2" s="17">
        <f>$E2/POWER(1+DiscRate3,2+attendance!$A2)</f>
        <v>37055017.349029712</v>
      </c>
      <c r="I2" s="17">
        <f>$E2/POWER(1+DiscRate4,2+attendance!$A2)</f>
        <v>36011276.267624289</v>
      </c>
      <c r="J2" s="17">
        <f>$E2/POWER(1+DiscRate5,2+attendance!$A2)</f>
        <v>35504082.699140891</v>
      </c>
      <c r="K2" s="17">
        <f>$E2/POWER(1+DiscRate6,2+attendance!$A2)</f>
        <v>35006369.210139878</v>
      </c>
    </row>
    <row r="3" spans="1:11" x14ac:dyDescent="0.25">
      <c r="A3">
        <v>2</v>
      </c>
      <c r="B3">
        <v>2000</v>
      </c>
      <c r="C3" s="13">
        <v>2478395</v>
      </c>
      <c r="D3">
        <v>16.23</v>
      </c>
      <c r="E3" s="13">
        <f t="shared" ref="E3:E21" si="0">C3*D3</f>
        <v>40224350.850000001</v>
      </c>
      <c r="F3" s="17">
        <f>E3/POWER(1+DiscRate,2+attendance!A3)</f>
        <v>33092672.991191942</v>
      </c>
      <c r="G3" s="17">
        <f>$E3/POWER(1+discrate2,2+attendance!$A3)</f>
        <v>34383943.688030109</v>
      </c>
      <c r="H3" s="17">
        <f>$E3/POWER(1+DiscRate3,2+attendance!$A3)</f>
        <v>33730585.693940878</v>
      </c>
      <c r="I3" s="17">
        <f>$E3/POWER(1+DiscRate4,2+attendance!$A3)</f>
        <v>32469769.494582143</v>
      </c>
      <c r="J3" s="17">
        <f>$E3/POWER(1+DiscRate5,2+attendance!$A3)</f>
        <v>31861453.41614788</v>
      </c>
      <c r="K3" s="17">
        <f>$E3/POWER(1+DiscRate6,2+attendance!$A3)</f>
        <v>31267316.731959559</v>
      </c>
    </row>
    <row r="4" spans="1:11" x14ac:dyDescent="0.25">
      <c r="A4">
        <v>3</v>
      </c>
      <c r="B4">
        <v>2001</v>
      </c>
      <c r="C4" s="13">
        <v>2253086</v>
      </c>
      <c r="D4">
        <v>16.87</v>
      </c>
      <c r="E4" s="13">
        <f t="shared" si="0"/>
        <v>38009560.82</v>
      </c>
      <c r="F4" s="17">
        <f>E4/POWER(1+DiscRate,2+attendance!A4)</f>
        <v>29781485.478444334</v>
      </c>
      <c r="G4" s="17">
        <f>$E4/POWER(1+discrate2,2+attendance!$A4)</f>
        <v>31241088.353976205</v>
      </c>
      <c r="H4" s="17">
        <f>$E4/POWER(1+DiscRate3,2+attendance!$A4)</f>
        <v>30500811.857040402</v>
      </c>
      <c r="I4" s="17">
        <f>$E4/POWER(1+DiscRate4,2+attendance!$A4)</f>
        <v>29082420.757788967</v>
      </c>
      <c r="J4" s="17">
        <f>$E4/POWER(1+DiscRate5,2+attendance!$A4)</f>
        <v>28402954.969794463</v>
      </c>
      <c r="K4" s="17">
        <f>$E4/POWER(1+DiscRate6,2+attendance!$A4)</f>
        <v>27742450.047095712</v>
      </c>
    </row>
    <row r="5" spans="1:11" x14ac:dyDescent="0.25">
      <c r="A5">
        <v>4</v>
      </c>
      <c r="B5">
        <v>2002</v>
      </c>
      <c r="C5" s="13">
        <v>2253086</v>
      </c>
      <c r="D5">
        <v>17.54</v>
      </c>
      <c r="E5" s="13">
        <f t="shared" si="0"/>
        <v>39519128.439999998</v>
      </c>
      <c r="F5" s="17">
        <f>E5/POWER(1+DiscRate,2+attendance!A5)</f>
        <v>29489782.103588432</v>
      </c>
      <c r="G5" s="17">
        <f>$E5/POWER(1+discrate2,2+attendance!$A5)</f>
        <v>31232541.250327311</v>
      </c>
      <c r="H5" s="17">
        <f>$E5/POWER(1+DiscRate3,2+attendance!$A5)</f>
        <v>30346570.309543498</v>
      </c>
      <c r="I5" s="17">
        <f>$E5/POWER(1+DiscRate4,2+attendance!$A5)</f>
        <v>28661083.225873824</v>
      </c>
      <c r="J5" s="17">
        <f>$E5/POWER(1+DiscRate5,2+attendance!$A5)</f>
        <v>27859426.142767381</v>
      </c>
      <c r="K5" s="17">
        <f>$E5/POWER(1+DiscRate6,2+attendance!$A5)</f>
        <v>27083807.06513264</v>
      </c>
    </row>
    <row r="6" spans="1:11" x14ac:dyDescent="0.25">
      <c r="A6">
        <v>5</v>
      </c>
      <c r="B6">
        <v>2003</v>
      </c>
      <c r="C6" s="13">
        <v>2253086</v>
      </c>
      <c r="D6">
        <v>18.260000000000002</v>
      </c>
      <c r="E6" s="13">
        <f t="shared" si="0"/>
        <v>41141350.360000007</v>
      </c>
      <c r="F6" s="17">
        <f>E6/POWER(1+DiscRate,2+attendance!A6)</f>
        <v>29238389.597194158</v>
      </c>
      <c r="G6" s="17">
        <f>$E6/POWER(1+discrate2,2+attendance!$A6)</f>
        <v>31264044.997751124</v>
      </c>
      <c r="H6" s="17">
        <f>$E6/POWER(1+DiscRate3,2+attendance!$A6)</f>
        <v>30231835.032012369</v>
      </c>
      <c r="I6" s="17">
        <f>$E6/POWER(1+DiscRate4,2+attendance!$A6)</f>
        <v>28282078.591085304</v>
      </c>
      <c r="J6" s="17">
        <f>$E6/POWER(1+DiscRate5,2+attendance!$A6)</f>
        <v>27361347.72094686</v>
      </c>
      <c r="K6" s="17">
        <f>$E6/POWER(1+DiscRate6,2+attendance!$A6)</f>
        <v>26474714.643354274</v>
      </c>
    </row>
    <row r="7" spans="1:11" x14ac:dyDescent="0.25">
      <c r="A7">
        <v>6</v>
      </c>
      <c r="B7">
        <v>2004</v>
      </c>
      <c r="C7" s="13">
        <v>2253086</v>
      </c>
      <c r="D7">
        <v>19.010000000000002</v>
      </c>
      <c r="E7" s="13">
        <f t="shared" si="0"/>
        <v>42831164.860000007</v>
      </c>
      <c r="F7" s="17">
        <f>E7/POWER(1+DiscRate,2+attendance!A7)</f>
        <v>28989818.298787929</v>
      </c>
      <c r="G7" s="17">
        <f>$E7/POWER(1+discrate2,2+attendance!$A7)</f>
        <v>31296312.632027168</v>
      </c>
      <c r="H7" s="17">
        <f>$E7/POWER(1+DiscRate3,2+attendance!$A7)</f>
        <v>30118238.100303188</v>
      </c>
      <c r="I7" s="17">
        <f>$E7/POWER(1+DiscRate4,2+attendance!$A7)</f>
        <v>27908738.652145762</v>
      </c>
      <c r="J7" s="17">
        <f>$E7/POWER(1+DiscRate5,2+attendance!$A7)</f>
        <v>26872802.712145314</v>
      </c>
      <c r="K7" s="17">
        <f>$E7/POWER(1+DiscRate6,2+attendance!$A7)</f>
        <v>25879925.611288421</v>
      </c>
    </row>
    <row r="8" spans="1:11" x14ac:dyDescent="0.25">
      <c r="A8">
        <v>7</v>
      </c>
      <c r="B8">
        <v>2005</v>
      </c>
      <c r="C8" s="13">
        <v>2253086</v>
      </c>
      <c r="D8">
        <v>19.79</v>
      </c>
      <c r="E8" s="13">
        <f t="shared" si="0"/>
        <v>44588571.939999998</v>
      </c>
      <c r="F8" s="17">
        <f>E8/POWER(1+DiscRate,2+attendance!A8)</f>
        <v>28742191.033942685</v>
      </c>
      <c r="G8" s="17">
        <f>$E8/POWER(1+discrate2,2+attendance!$A8)</f>
        <v>31327339.20344644</v>
      </c>
      <c r="H8" s="17">
        <f>$E8/POWER(1+DiscRate3,2+attendance!$A8)</f>
        <v>30003847.484199956</v>
      </c>
      <c r="I8" s="17">
        <f>$E8/POWER(1+DiscRate4,2+attendance!$A8)</f>
        <v>27539206.749551345</v>
      </c>
      <c r="J8" s="17">
        <f>$E8/POWER(1+DiscRate5,2+attendance!$A8)</f>
        <v>26391907.222283985</v>
      </c>
      <c r="K8" s="17">
        <f>$E8/POWER(1+DiscRate6,2+attendance!$A8)</f>
        <v>25297470.214460772</v>
      </c>
    </row>
    <row r="9" spans="1:11" x14ac:dyDescent="0.25">
      <c r="A9">
        <v>8</v>
      </c>
      <c r="B9">
        <v>2006</v>
      </c>
      <c r="C9" s="13">
        <v>2253086</v>
      </c>
      <c r="D9">
        <v>20.6</v>
      </c>
      <c r="E9" s="13">
        <f t="shared" si="0"/>
        <v>46413571.600000001</v>
      </c>
      <c r="F9" s="17">
        <f>E9/POWER(1+DiscRate,2+attendance!A9)</f>
        <v>28493906.749402985</v>
      </c>
      <c r="G9" s="17">
        <f>$E9/POWER(1+discrate2,2+attendance!$A9)</f>
        <v>31355345.920190692</v>
      </c>
      <c r="H9" s="17">
        <f>$E9/POWER(1+DiscRate3,2+attendance!$A9)</f>
        <v>29886983.575123448</v>
      </c>
      <c r="I9" s="17">
        <f>$E9/POWER(1+DiscRate4,2+attendance!$A9)</f>
        <v>27171924.115092728</v>
      </c>
      <c r="J9" s="17">
        <f>$E9/POWER(1+DiscRate5,2+attendance!$A9)</f>
        <v>25917095.959415853</v>
      </c>
      <c r="K9" s="17">
        <f>$E9/POWER(1+DiscRate6,2+attendance!$A9)</f>
        <v>24725717.992816214</v>
      </c>
    </row>
    <row r="10" spans="1:11" x14ac:dyDescent="0.25">
      <c r="A10">
        <v>9</v>
      </c>
      <c r="B10">
        <v>2007</v>
      </c>
      <c r="C10" s="13">
        <v>2253086</v>
      </c>
      <c r="D10">
        <v>21.45</v>
      </c>
      <c r="E10" s="13">
        <f t="shared" si="0"/>
        <v>48328694.699999996</v>
      </c>
      <c r="F10" s="17">
        <f>E10/POWER(1+DiscRate,2+attendance!A10)</f>
        <v>28256786.859671474</v>
      </c>
      <c r="G10" s="17">
        <f>$E10/POWER(1+discrate2,2+attendance!$A10)</f>
        <v>31393398.524462763</v>
      </c>
      <c r="H10" s="17">
        <f>$E10/POWER(1+DiscRate3,2+attendance!$A10)</f>
        <v>29780080.721252281</v>
      </c>
      <c r="I10" s="17">
        <f>$E10/POWER(1+DiscRate4,2+attendance!$A10)</f>
        <v>26818100.228626467</v>
      </c>
      <c r="J10" s="17">
        <f>$E10/POWER(1+DiscRate5,2+attendance!$A10)</f>
        <v>25458953.486420125</v>
      </c>
      <c r="K10" s="17">
        <f>$E10/POWER(1+DiscRate6,2+attendance!$A10)</f>
        <v>24174604.628556807</v>
      </c>
    </row>
    <row r="11" spans="1:11" x14ac:dyDescent="0.25">
      <c r="A11">
        <v>10</v>
      </c>
      <c r="B11">
        <v>2008</v>
      </c>
      <c r="C11" s="13">
        <v>2253086</v>
      </c>
      <c r="D11">
        <v>22.32</v>
      </c>
      <c r="E11" s="13">
        <f t="shared" si="0"/>
        <v>50288879.520000003</v>
      </c>
      <c r="F11" s="17">
        <f>E11/POWER(1+DiscRate,2+attendance!A11)</f>
        <v>28002729.834959149</v>
      </c>
      <c r="G11" s="17">
        <f>$E11/POWER(1+discrate2,2+attendance!$A11)</f>
        <v>31410285.774879366</v>
      </c>
      <c r="H11" s="17">
        <f>$E11/POWER(1+DiscRate3,2+attendance!$A11)</f>
        <v>29653535.057532314</v>
      </c>
      <c r="I11" s="17">
        <f>$E11/POWER(1+DiscRate4,2+attendance!$A11)</f>
        <v>26451021.204518072</v>
      </c>
      <c r="J11" s="17">
        <f>$E11/POWER(1+DiscRate5,2+attendance!$A11)</f>
        <v>24992032.450054854</v>
      </c>
      <c r="K11" s="17">
        <f>$E11/POWER(1+DiscRate6,2+attendance!$A11)</f>
        <v>23619824.477029804</v>
      </c>
    </row>
    <row r="12" spans="1:11" x14ac:dyDescent="0.25">
      <c r="A12">
        <v>11</v>
      </c>
      <c r="B12">
        <v>2009</v>
      </c>
      <c r="C12" s="13">
        <v>2253086</v>
      </c>
      <c r="D12">
        <v>23.24</v>
      </c>
      <c r="E12" s="13">
        <f t="shared" si="0"/>
        <v>52361718.639999993</v>
      </c>
      <c r="F12" s="17">
        <f>E12/POWER(1+DiscRate,2+attendance!A12)</f>
        <v>27768537.351273697</v>
      </c>
      <c r="G12" s="17">
        <f>$E12/POWER(1+discrate2,2+attendance!$A12)</f>
        <v>31447091.320659131</v>
      </c>
      <c r="H12" s="17">
        <f>$E12/POWER(1+DiscRate3,2+attendance!$A12)</f>
        <v>29546232.903613847</v>
      </c>
      <c r="I12" s="17">
        <f>$E12/POWER(1+DiscRate4,2+attendance!$A12)</f>
        <v>26105494.096765697</v>
      </c>
      <c r="J12" s="17">
        <f>$E12/POWER(1+DiscRate5,2+attendance!$A12)</f>
        <v>24549216.970112037</v>
      </c>
      <c r="K12" s="17">
        <f>$E12/POWER(1+DiscRate6,2+attendance!$A12)</f>
        <v>23092395.747983765</v>
      </c>
    </row>
    <row r="13" spans="1:11" x14ac:dyDescent="0.25">
      <c r="A13">
        <v>12</v>
      </c>
      <c r="B13">
        <v>2010</v>
      </c>
      <c r="C13" s="13">
        <v>2253086</v>
      </c>
      <c r="D13">
        <v>24.19</v>
      </c>
      <c r="E13" s="13">
        <f t="shared" si="0"/>
        <v>54502150.340000004</v>
      </c>
      <c r="F13" s="17">
        <f>E13/POWER(1+DiscRate,2+attendance!A13)</f>
        <v>27527289.506077822</v>
      </c>
      <c r="G13" s="17">
        <f>$E13/POWER(1+discrate2,2+attendance!$A13)</f>
        <v>31473633.781558011</v>
      </c>
      <c r="H13" s="17">
        <f>$E13/POWER(1+DiscRate3,2+attendance!$A13)</f>
        <v>29429682.116233323</v>
      </c>
      <c r="I13" s="17">
        <f>$E13/POWER(1+DiscRate4,2+attendance!$A13)</f>
        <v>25756046.618461482</v>
      </c>
      <c r="J13" s="17">
        <f>$E13/POWER(1+DiscRate5,2+attendance!$A13)</f>
        <v>24106353.65614792</v>
      </c>
      <c r="K13" s="17">
        <f>$E13/POWER(1+DiscRate6,2+attendance!$A13)</f>
        <v>22569354.001265723</v>
      </c>
    </row>
    <row r="14" spans="1:11" x14ac:dyDescent="0.25">
      <c r="A14">
        <v>13</v>
      </c>
      <c r="B14">
        <v>2011</v>
      </c>
      <c r="C14" s="13">
        <v>2253086</v>
      </c>
      <c r="D14">
        <v>25.18</v>
      </c>
      <c r="E14" s="13">
        <f t="shared" si="0"/>
        <v>56732705.479999997</v>
      </c>
      <c r="F14" s="17">
        <f>E14/POWER(1+DiscRate,2+attendance!A14)</f>
        <v>27289401.356839281</v>
      </c>
      <c r="G14" s="17">
        <f>$E14/POWER(1+discrate2,2+attendance!$A14)</f>
        <v>31501657.49593088</v>
      </c>
      <c r="H14" s="17">
        <f>$E14/POWER(1+DiscRate3,2+attendance!$A14)</f>
        <v>29314948.66939579</v>
      </c>
      <c r="I14" s="17">
        <f>$E14/POWER(1+DiscRate4,2+attendance!$A14)</f>
        <v>25412453.69313081</v>
      </c>
      <c r="J14" s="17">
        <f>$E14/POWER(1+DiscRate5,2+attendance!$A14)</f>
        <v>23672575.797803722</v>
      </c>
      <c r="K14" s="17">
        <f>$E14/POWER(1+DiscRate6,2+attendance!$A14)</f>
        <v>22059180.693992242</v>
      </c>
    </row>
    <row r="15" spans="1:11" x14ac:dyDescent="0.25">
      <c r="A15">
        <v>14</v>
      </c>
      <c r="B15">
        <v>2012</v>
      </c>
      <c r="C15" s="13">
        <v>2253086</v>
      </c>
      <c r="D15">
        <v>26.22</v>
      </c>
      <c r="E15" s="13">
        <f t="shared" si="0"/>
        <v>59075914.919999994</v>
      </c>
      <c r="F15" s="17">
        <f>E15/POWER(1+DiscRate,2+attendance!A15)</f>
        <v>27063357.297035664</v>
      </c>
      <c r="G15" s="17">
        <f>$E15/POWER(1+discrate2,2+attendance!$A15)</f>
        <v>31541113.961909156</v>
      </c>
      <c r="H15" s="17">
        <f>$E15/POWER(1+DiscRate3,2+attendance!$A15)</f>
        <v>29211227.643704388</v>
      </c>
      <c r="I15" s="17">
        <f>$E15/POWER(1+DiscRate4,2+attendance!$A15)</f>
        <v>25082516.246396177</v>
      </c>
      <c r="J15" s="17">
        <f>$E15/POWER(1+DiscRate5,2+attendance!$A15)</f>
        <v>23255014.365190018</v>
      </c>
      <c r="K15" s="17">
        <f>$E15/POWER(1+DiscRate6,2+attendance!$A15)</f>
        <v>21568340.541396838</v>
      </c>
    </row>
    <row r="16" spans="1:11" x14ac:dyDescent="0.25">
      <c r="A16">
        <v>15</v>
      </c>
      <c r="B16">
        <v>2013</v>
      </c>
      <c r="C16" s="13">
        <v>2253086</v>
      </c>
      <c r="D16">
        <v>27.29</v>
      </c>
      <c r="E16" s="13">
        <f t="shared" si="0"/>
        <v>61486716.939999998</v>
      </c>
      <c r="F16" s="17">
        <f>E16/POWER(1+DiscRate,2+attendance!A16)</f>
        <v>26826450.932988387</v>
      </c>
      <c r="G16" s="17">
        <f>$E16/POWER(1+discrate2,2+attendance!$A16)</f>
        <v>31565635.452256825</v>
      </c>
      <c r="H16" s="17">
        <f>$E16/POWER(1+DiscRate3,2+attendance!$A16)</f>
        <v>29094062.474559862</v>
      </c>
      <c r="I16" s="17">
        <f>$E16/POWER(1+DiscRate4,2+attendance!$A16)</f>
        <v>24745115.821436252</v>
      </c>
      <c r="J16" s="17">
        <f>$E16/POWER(1+DiscRate5,2+attendance!$A16)</f>
        <v>22833978.887858741</v>
      </c>
      <c r="K16" s="17">
        <f>$E16/POWER(1+DiscRate6,2+attendance!$A16)</f>
        <v>21078416.052496206</v>
      </c>
    </row>
    <row r="17" spans="1:11" x14ac:dyDescent="0.25">
      <c r="A17">
        <v>16</v>
      </c>
      <c r="B17">
        <v>2014</v>
      </c>
      <c r="C17" s="13">
        <v>2253086</v>
      </c>
      <c r="D17">
        <v>28.42</v>
      </c>
      <c r="E17" s="13">
        <f t="shared" si="0"/>
        <v>64032704.120000005</v>
      </c>
      <c r="F17" s="17">
        <f>E17/POWER(1+DiscRate,2+attendance!A17)</f>
        <v>26606911.148878187</v>
      </c>
      <c r="G17" s="17">
        <f>$E17/POWER(1+discrate2,2+attendance!$A17)</f>
        <v>31608343.418029249</v>
      </c>
      <c r="H17" s="17">
        <f>$E17/POWER(1+DiscRate3,2+attendance!$A17)</f>
        <v>28994032.04381055</v>
      </c>
      <c r="I17" s="17">
        <f>$E17/POWER(1+DiscRate4,2+attendance!$A17)</f>
        <v>24426293.388902359</v>
      </c>
      <c r="J17" s="17">
        <f>$E17/POWER(1+DiscRate5,2+attendance!$A17)</f>
        <v>22433460.317655422</v>
      </c>
      <c r="K17" s="17">
        <f>$E17/POWER(1+DiscRate6,2+attendance!$A17)</f>
        <v>20611466.967106637</v>
      </c>
    </row>
    <row r="18" spans="1:11" x14ac:dyDescent="0.25">
      <c r="A18">
        <v>17</v>
      </c>
      <c r="B18">
        <v>2015</v>
      </c>
      <c r="C18" s="13">
        <v>2253086</v>
      </c>
      <c r="D18">
        <v>29.58</v>
      </c>
      <c r="E18" s="13">
        <f t="shared" si="0"/>
        <v>66646283.879999995</v>
      </c>
      <c r="F18" s="17">
        <f>E18/POWER(1+DiscRate,2+attendance!A18)</f>
        <v>26374197.640287414</v>
      </c>
      <c r="G18" s="17">
        <f>$E18/POWER(1+discrate2,2+attendance!$A18)</f>
        <v>31633153.734683901</v>
      </c>
      <c r="H18" s="17">
        <f>$E18/POWER(1+DiscRate3,2+attendance!$A18)</f>
        <v>28877953.993444741</v>
      </c>
      <c r="I18" s="17">
        <f>$E18/POWER(1+DiscRate4,2+attendance!$A18)</f>
        <v>24097900.432034437</v>
      </c>
      <c r="J18" s="17">
        <f>$E18/POWER(1+DiscRate5,2+attendance!$A18)</f>
        <v>22027463.923766389</v>
      </c>
      <c r="K18" s="17">
        <f>$E18/POWER(1+DiscRate6,2+attendance!$A18)</f>
        <v>20143428.481794354</v>
      </c>
    </row>
    <row r="19" spans="1:11" x14ac:dyDescent="0.25">
      <c r="A19">
        <v>18</v>
      </c>
      <c r="B19">
        <v>2016</v>
      </c>
      <c r="C19" s="13">
        <v>2253086</v>
      </c>
      <c r="D19">
        <v>29.58</v>
      </c>
      <c r="E19" s="13">
        <f t="shared" si="0"/>
        <v>66646283.879999995</v>
      </c>
      <c r="F19" s="17">
        <f>E19/POWER(1+DiscRate,2+attendance!A19)</f>
        <v>25118283.466940396</v>
      </c>
      <c r="G19" s="17">
        <f>$E19/POWER(1+discrate2,2+attendance!$A19)</f>
        <v>30416493.975657597</v>
      </c>
      <c r="H19" s="17">
        <f>$E19/POWER(1+DiscRate3,2+attendance!$A19)</f>
        <v>27634405.735353827</v>
      </c>
      <c r="I19" s="17">
        <f>$E19/POWER(1+DiscRate4,2+attendance!$A19)</f>
        <v>22841611.783918895</v>
      </c>
      <c r="J19" s="17">
        <f>$E19/POWER(1+DiscRate5,2+attendance!$A19)</f>
        <v>20780626.34317584</v>
      </c>
      <c r="K19" s="17">
        <f>$E19/POWER(1+DiscRate6,2+attendance!$A19)</f>
        <v>18914017.353797518</v>
      </c>
    </row>
    <row r="20" spans="1:11" x14ac:dyDescent="0.25">
      <c r="A20">
        <v>19</v>
      </c>
      <c r="B20">
        <v>2017</v>
      </c>
      <c r="C20" s="13">
        <v>2253086</v>
      </c>
      <c r="D20">
        <v>29.58</v>
      </c>
      <c r="E20" s="13">
        <f t="shared" si="0"/>
        <v>66646283.879999995</v>
      </c>
      <c r="F20" s="17">
        <f>E20/POWER(1+DiscRate,2+attendance!A20)</f>
        <v>23922174.730419423</v>
      </c>
      <c r="G20" s="17">
        <f>$E20/POWER(1+discrate2,2+attendance!$A20)</f>
        <v>29246628.822747681</v>
      </c>
      <c r="H20" s="17">
        <f>$E20/POWER(1+DiscRate3,2+attendance!$A20)</f>
        <v>26444407.402252462</v>
      </c>
      <c r="I20" s="17">
        <f>$E20/POWER(1+DiscRate4,2+attendance!$A20)</f>
        <v>21650816.856795166</v>
      </c>
      <c r="J20" s="17">
        <f>$E20/POWER(1+DiscRate5,2+attendance!$A20)</f>
        <v>19604364.474694185</v>
      </c>
      <c r="K20" s="17">
        <f>$E20/POWER(1+DiscRate6,2+attendance!$A20)</f>
        <v>17759640.707791097</v>
      </c>
    </row>
    <row r="21" spans="1:11" x14ac:dyDescent="0.25">
      <c r="A21">
        <v>20</v>
      </c>
      <c r="B21">
        <v>2018</v>
      </c>
      <c r="C21" s="13">
        <v>2253086</v>
      </c>
      <c r="D21">
        <v>29.58</v>
      </c>
      <c r="E21" s="13">
        <f t="shared" si="0"/>
        <v>66646283.879999995</v>
      </c>
      <c r="F21" s="17">
        <f>E21/POWER(1+DiscRate,2+attendance!A21)</f>
        <v>22783023.552780405</v>
      </c>
      <c r="G21" s="17">
        <f>$E21/POWER(1+discrate2,2+attendance!$A21)</f>
        <v>28121758.483411234</v>
      </c>
      <c r="H21" s="17">
        <f>$E21/POWER(1+DiscRate3,2+attendance!$A21)</f>
        <v>25305653.016509544</v>
      </c>
      <c r="I21" s="17">
        <f>$E21/POWER(1+DiscRate4,2+attendance!$A21)</f>
        <v>20522101.286061767</v>
      </c>
      <c r="J21" s="17">
        <f>$E21/POWER(1+DiscRate5,2+attendance!$A21)</f>
        <v>18494683.466692626</v>
      </c>
      <c r="K21" s="17">
        <f>$E21/POWER(1+DiscRate6,2+attendance!$A21)</f>
        <v>16675718.974451737</v>
      </c>
    </row>
    <row r="22" spans="1:11" x14ac:dyDescent="0.25">
      <c r="F22" s="17">
        <f t="shared" ref="F22:K22" si="1">SUM(F2:F21)</f>
        <v>561895566.63732302</v>
      </c>
      <c r="G22" s="17">
        <f t="shared" si="1"/>
        <v>631051849.08278608</v>
      </c>
      <c r="H22" s="17">
        <f t="shared" si="1"/>
        <v>595160111.17885637</v>
      </c>
      <c r="I22" s="17">
        <f t="shared" si="1"/>
        <v>531035969.51079196</v>
      </c>
      <c r="J22" s="17">
        <f t="shared" si="1"/>
        <v>502379794.98221445</v>
      </c>
      <c r="K22" s="17">
        <f t="shared" si="1"/>
        <v>475744160.14391017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I3" sqref="I3"/>
    </sheetView>
  </sheetViews>
  <sheetFormatPr defaultRowHeight="13.2" x14ac:dyDescent="0.25"/>
  <cols>
    <col min="2" max="2" width="10.44140625" style="6" bestFit="1" customWidth="1"/>
    <col min="3" max="3" width="10.33203125" bestFit="1" customWidth="1"/>
    <col min="4" max="5" width="12.88671875" customWidth="1"/>
    <col min="7" max="7" width="10.109375" bestFit="1" customWidth="1"/>
    <col min="8" max="8" width="10" bestFit="1" customWidth="1"/>
    <col min="9" max="9" width="10" customWidth="1"/>
  </cols>
  <sheetData>
    <row r="1" spans="1:10" x14ac:dyDescent="0.25">
      <c r="A1" t="s">
        <v>50</v>
      </c>
      <c r="B1" s="20">
        <v>0.03</v>
      </c>
    </row>
    <row r="2" spans="1:10" x14ac:dyDescent="0.25">
      <c r="I2" s="21" t="s">
        <v>53</v>
      </c>
    </row>
    <row r="3" spans="1:10" x14ac:dyDescent="0.25">
      <c r="B3" t="s">
        <v>35</v>
      </c>
      <c r="C3" t="s">
        <v>44</v>
      </c>
      <c r="D3" t="s">
        <v>48</v>
      </c>
      <c r="E3" t="s">
        <v>47</v>
      </c>
      <c r="G3" t="s">
        <v>51</v>
      </c>
      <c r="H3" t="s">
        <v>52</v>
      </c>
      <c r="I3" s="21" t="s">
        <v>54</v>
      </c>
      <c r="J3" t="s">
        <v>45</v>
      </c>
    </row>
    <row r="4" spans="1:10" x14ac:dyDescent="0.25">
      <c r="A4">
        <f>$B$11-B4</f>
        <v>7</v>
      </c>
      <c r="B4">
        <v>1989</v>
      </c>
      <c r="C4" s="16">
        <v>6.8</v>
      </c>
      <c r="D4" s="13">
        <v>1298430</v>
      </c>
      <c r="E4" s="13">
        <f>D4</f>
        <v>1298430</v>
      </c>
      <c r="F4" s="16">
        <f>C4*POWER(1+inflation,A4)</f>
        <v>8.3631422848891148</v>
      </c>
      <c r="G4" s="16"/>
      <c r="H4" s="16"/>
      <c r="I4" s="16"/>
    </row>
    <row r="5" spans="1:10" x14ac:dyDescent="0.25">
      <c r="A5">
        <f t="shared" ref="A5:A11" si="0">$B$11-B5</f>
        <v>6</v>
      </c>
      <c r="B5">
        <v>1990</v>
      </c>
      <c r="C5" s="16">
        <v>7.12</v>
      </c>
      <c r="D5" s="13">
        <v>1509759</v>
      </c>
      <c r="E5" s="13">
        <f t="shared" ref="E5:E11" si="1">D5</f>
        <v>1509759</v>
      </c>
      <c r="F5" s="16">
        <f t="shared" ref="F5:F11" si="2">C5*POWER(1+inflation,A5)</f>
        <v>8.501652351286479</v>
      </c>
      <c r="G5" s="18">
        <f>E5/E4-1</f>
        <v>0.16275733000623838</v>
      </c>
      <c r="H5" s="18">
        <f>F5/F4-1</f>
        <v>1.6561964591661926E-2</v>
      </c>
      <c r="I5" s="4">
        <f>G5/H5</f>
        <v>9.8271753393421744</v>
      </c>
    </row>
    <row r="6" spans="1:10" x14ac:dyDescent="0.25">
      <c r="A6">
        <f t="shared" si="0"/>
        <v>5</v>
      </c>
      <c r="B6">
        <v>1991</v>
      </c>
      <c r="C6" s="16">
        <v>6.37</v>
      </c>
      <c r="D6" s="13">
        <v>2147877</v>
      </c>
      <c r="E6" s="13">
        <f>D6-200000/C6</f>
        <v>2116479.8257456827</v>
      </c>
      <c r="F6" s="16">
        <f t="shared" si="2"/>
        <v>7.3845758532909995</v>
      </c>
      <c r="G6" s="18">
        <f t="shared" ref="G6:G11" si="3">E6/E5-1</f>
        <v>0.40186601023453594</v>
      </c>
      <c r="H6" s="18">
        <f t="shared" ref="H6:H11" si="4">F6/F5-1</f>
        <v>-0.13139522199192755</v>
      </c>
      <c r="I6" s="4">
        <f t="shared" ref="I6:I11" si="5">G6/H6</f>
        <v>-3.0584522339725959</v>
      </c>
      <c r="J6" t="s">
        <v>46</v>
      </c>
    </row>
    <row r="7" spans="1:10" x14ac:dyDescent="0.25">
      <c r="A7">
        <f t="shared" si="0"/>
        <v>4</v>
      </c>
      <c r="B7">
        <v>1992</v>
      </c>
      <c r="C7" s="16">
        <v>8.8800000000000008</v>
      </c>
      <c r="D7" s="13">
        <v>1651428</v>
      </c>
      <c r="E7" s="13">
        <f t="shared" si="1"/>
        <v>1651428</v>
      </c>
      <c r="F7" s="16">
        <f t="shared" si="2"/>
        <v>9.9945182328000008</v>
      </c>
      <c r="G7" s="18">
        <f t="shared" si="3"/>
        <v>-0.21972891973200581</v>
      </c>
      <c r="H7" s="18">
        <f t="shared" si="4"/>
        <v>0.35343158921522333</v>
      </c>
      <c r="I7" s="4">
        <f t="shared" si="5"/>
        <v>-0.6217014167293381</v>
      </c>
    </row>
    <row r="8" spans="1:10" x14ac:dyDescent="0.25">
      <c r="A8">
        <f t="shared" si="0"/>
        <v>3</v>
      </c>
      <c r="B8">
        <v>1993</v>
      </c>
      <c r="C8" s="16">
        <v>8.91</v>
      </c>
      <c r="D8" s="13">
        <v>2051853</v>
      </c>
      <c r="E8" s="13">
        <f t="shared" si="1"/>
        <v>2051853</v>
      </c>
      <c r="F8" s="16">
        <f t="shared" si="2"/>
        <v>9.7361975699999999</v>
      </c>
      <c r="G8" s="18">
        <f t="shared" si="3"/>
        <v>0.24247196971348428</v>
      </c>
      <c r="H8" s="18">
        <f t="shared" si="4"/>
        <v>-2.5846234584098737E-2</v>
      </c>
      <c r="I8" s="4">
        <f t="shared" si="5"/>
        <v>-9.3813266657673697</v>
      </c>
    </row>
    <row r="9" spans="1:10" x14ac:dyDescent="0.25">
      <c r="A9">
        <f t="shared" si="0"/>
        <v>2</v>
      </c>
      <c r="B9">
        <v>1994</v>
      </c>
      <c r="C9" s="16">
        <v>11.86</v>
      </c>
      <c r="D9" s="13">
        <v>1104206</v>
      </c>
      <c r="E9" s="13">
        <v>2032743</v>
      </c>
      <c r="F9" s="16">
        <f t="shared" si="2"/>
        <v>12.582273999999998</v>
      </c>
      <c r="G9" s="18">
        <f t="shared" si="3"/>
        <v>-9.3135326945936736E-3</v>
      </c>
      <c r="H9" s="18">
        <f t="shared" si="4"/>
        <v>0.29231909167184233</v>
      </c>
      <c r="I9" s="4">
        <f t="shared" si="5"/>
        <v>-3.1860843030564197E-2</v>
      </c>
      <c r="J9" t="s">
        <v>49</v>
      </c>
    </row>
    <row r="10" spans="1:10" x14ac:dyDescent="0.25">
      <c r="A10">
        <f t="shared" si="0"/>
        <v>1</v>
      </c>
      <c r="B10">
        <v>1995</v>
      </c>
      <c r="C10" s="16">
        <v>10.88</v>
      </c>
      <c r="D10" s="13">
        <v>1643203</v>
      </c>
      <c r="E10" s="13">
        <v>1823280</v>
      </c>
      <c r="F10" s="16">
        <f t="shared" si="2"/>
        <v>11.2064</v>
      </c>
      <c r="G10" s="18">
        <f t="shared" si="3"/>
        <v>-0.10304450685600686</v>
      </c>
      <c r="H10" s="18">
        <f t="shared" si="4"/>
        <v>-0.10935018582491507</v>
      </c>
      <c r="I10" s="4">
        <f t="shared" si="5"/>
        <v>0.94233499539722332</v>
      </c>
      <c r="J10" t="s">
        <v>49</v>
      </c>
    </row>
    <row r="11" spans="1:10" x14ac:dyDescent="0.25">
      <c r="A11">
        <f t="shared" si="0"/>
        <v>0</v>
      </c>
      <c r="B11">
        <v>1996</v>
      </c>
      <c r="C11" s="16">
        <v>12.34</v>
      </c>
      <c r="D11" s="13">
        <v>2723850</v>
      </c>
      <c r="E11" s="13">
        <f t="shared" si="1"/>
        <v>2723850</v>
      </c>
      <c r="F11" s="16">
        <f t="shared" si="2"/>
        <v>12.34</v>
      </c>
      <c r="G11" s="18">
        <f t="shared" si="3"/>
        <v>0.49392852441753332</v>
      </c>
      <c r="H11" s="18">
        <f t="shared" si="4"/>
        <v>0.10115648201027971</v>
      </c>
      <c r="I11" s="4">
        <f t="shared" si="5"/>
        <v>4.8828163514755225</v>
      </c>
    </row>
    <row r="12" spans="1:10" x14ac:dyDescent="0.25">
      <c r="B12" s="16"/>
    </row>
    <row r="13" spans="1:10" x14ac:dyDescent="0.25">
      <c r="B13" s="16" t="s">
        <v>51</v>
      </c>
    </row>
    <row r="14" spans="1:10" x14ac:dyDescent="0.25">
      <c r="B14" s="16" t="s">
        <v>52</v>
      </c>
    </row>
    <row r="15" spans="1:10" x14ac:dyDescent="0.25">
      <c r="B15" s="16"/>
    </row>
    <row r="16" spans="1:10" x14ac:dyDescent="0.25">
      <c r="B16" s="16"/>
    </row>
    <row r="17" spans="2:2" x14ac:dyDescent="0.25">
      <c r="B17" s="16"/>
    </row>
    <row r="18" spans="2:2" x14ac:dyDescent="0.25">
      <c r="B18" s="16"/>
    </row>
    <row r="19" spans="2:2" x14ac:dyDescent="0.25">
      <c r="B19" s="16"/>
    </row>
    <row r="20" spans="2:2" x14ac:dyDescent="0.25">
      <c r="B20" s="16"/>
    </row>
    <row r="21" spans="2:2" x14ac:dyDescent="0.25">
      <c r="B21" s="16"/>
    </row>
    <row r="22" spans="2:2" x14ac:dyDescent="0.25">
      <c r="B22" s="16"/>
    </row>
    <row r="23" spans="2:2" x14ac:dyDescent="0.25">
      <c r="B23" s="1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attendance</vt:lpstr>
      <vt:lpstr>Sheet3</vt:lpstr>
      <vt:lpstr>DiscRate</vt:lpstr>
      <vt:lpstr>discrate2</vt:lpstr>
      <vt:lpstr>DiscRate3</vt:lpstr>
      <vt:lpstr>DiscRate4</vt:lpstr>
      <vt:lpstr>DiscRate5</vt:lpstr>
      <vt:lpstr>DiscRate6</vt:lpstr>
      <vt:lpstr>inflation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Havlíček Jan</cp:lastModifiedBy>
  <dcterms:created xsi:type="dcterms:W3CDTF">2000-11-08T00:18:13Z</dcterms:created>
  <dcterms:modified xsi:type="dcterms:W3CDTF">2023-09-10T13:48:46Z</dcterms:modified>
</cp:coreProperties>
</file>