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 firstSheet="2" activeTab="7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D1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<sst xmlns="http://schemas.openxmlformats.org/spreadsheetml/2006/main" count="162" uniqueCount="78">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</sst>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A-48BF-A502-7C9750E8CD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5A-48BF-A502-7C9750E8CD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A-48BF-A502-7C9750E8CD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5A-48BF-A502-7C9750E8CD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A-48BF-A502-7C9750E8CD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A-48BF-A502-7C9750E8CD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5A-48BF-A502-7C9750E8CD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5A-48BF-A502-7C9750E8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7352"/>
        <c:axId val="1"/>
      </c:scatterChart>
      <c:valAx>
        <c:axId val="15114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4735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4" workbookViewId="0">
      <selection activeCell="C32" sqref="C32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50</v>
      </c>
      <c r="B7" s="20">
        <v>30</v>
      </c>
      <c r="C7" t="s">
        <v>51</v>
      </c>
      <c r="D7" s="10"/>
    </row>
    <row r="8" spans="1:8" x14ac:dyDescent="0.25">
      <c r="A8" s="3"/>
      <c r="B8" s="23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21"/>
    </row>
    <row r="15" spans="1:8" x14ac:dyDescent="0.25">
      <c r="A15" t="s">
        <v>48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5">
      <c r="C16" s="36"/>
      <c r="D16" s="36"/>
      <c r="E16" s="36"/>
      <c r="F16" s="36"/>
      <c r="G16" s="36"/>
      <c r="H16" s="36"/>
    </row>
    <row r="17" spans="1:10" x14ac:dyDescent="0.25">
      <c r="A17" s="5"/>
      <c r="C17" s="36"/>
      <c r="D17" s="36"/>
      <c r="E17" s="36"/>
      <c r="F17" s="36"/>
      <c r="G17" s="36"/>
      <c r="H17" s="36"/>
    </row>
    <row r="18" spans="1:10" x14ac:dyDescent="0.25">
      <c r="A18" s="5" t="s">
        <v>64</v>
      </c>
      <c r="C18" s="36"/>
      <c r="D18" s="36"/>
      <c r="E18" s="36"/>
      <c r="F18" s="36"/>
      <c r="G18" s="36"/>
      <c r="H18" s="36"/>
    </row>
    <row r="19" spans="1:10" x14ac:dyDescent="0.25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5">
      <c r="A22" t="s">
        <v>11</v>
      </c>
      <c r="C22" s="7"/>
    </row>
    <row r="23" spans="1:10" x14ac:dyDescent="0.25">
      <c r="B23" s="3" t="s">
        <v>49</v>
      </c>
      <c r="C23" s="40">
        <f>B6</f>
        <v>339</v>
      </c>
      <c r="J23" s="10"/>
    </row>
    <row r="24" spans="1:10" x14ac:dyDescent="0.25">
      <c r="A24" s="9"/>
      <c r="B24" s="41" t="s">
        <v>52</v>
      </c>
      <c r="C24" s="51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C25" s="52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62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5">
      <c r="B29" s="5" t="s">
        <v>61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18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5">
      <c r="A32" s="5" t="s">
        <v>24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5">
      <c r="A33" s="5" t="s">
        <v>33</v>
      </c>
      <c r="C33" s="17">
        <f>-C$31/C32</f>
        <v>0.51906386185798725</v>
      </c>
      <c r="D33" s="17">
        <f>-D31/D32</f>
        <v>0.50683819742606029</v>
      </c>
      <c r="E33" s="17">
        <f>-E31/E32</f>
        <v>0.49476600813283944</v>
      </c>
      <c r="F33" s="17">
        <f>-F31/F32</f>
        <v>0.53144140917950322</v>
      </c>
      <c r="G33" s="17">
        <f>-G31/G32</f>
        <v>0.54396917890306162</v>
      </c>
      <c r="H33" s="17">
        <f>-H31/H32</f>
        <v>0.55664544480260281</v>
      </c>
    </row>
    <row r="34" spans="1:8" x14ac:dyDescent="0.25">
      <c r="A34" s="65" t="s">
        <v>66</v>
      </c>
      <c r="E34" s="6"/>
    </row>
    <row r="35" spans="1:8" x14ac:dyDescent="0.25">
      <c r="A35" s="5" t="s">
        <v>24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5">
      <c r="A36" s="5" t="s">
        <v>33</v>
      </c>
      <c r="C36" s="17">
        <f>-C$31/C35</f>
        <v>0.55951965286501104</v>
      </c>
      <c r="D36" s="17"/>
      <c r="E36" s="17">
        <f>-E$31/E35</f>
        <v>0.52629281619928781</v>
      </c>
      <c r="F36" s="17"/>
      <c r="G36" s="17">
        <f>-G$31/G35</f>
        <v>0.595109663598828</v>
      </c>
      <c r="H36" s="17"/>
    </row>
    <row r="37" spans="1:8" x14ac:dyDescent="0.25">
      <c r="A37" s="6"/>
    </row>
    <row r="39" spans="1:8" x14ac:dyDescent="0.25">
      <c r="B39" s="14" t="s">
        <v>15</v>
      </c>
      <c r="C39" s="14" t="s">
        <v>16</v>
      </c>
      <c r="D39" s="13" t="s">
        <v>72</v>
      </c>
    </row>
    <row r="40" spans="1:8" x14ac:dyDescent="0.25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5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5">
      <c r="D42" s="12"/>
    </row>
    <row r="43" spans="1:8" x14ac:dyDescent="0.25">
      <c r="A43" t="s">
        <v>48</v>
      </c>
      <c r="C43" s="35">
        <v>4.8800000000000003E-2</v>
      </c>
      <c r="D43" s="67">
        <f>DiscRate-0.0025</f>
        <v>4.6300000000000001E-2</v>
      </c>
      <c r="E43" s="67">
        <f>DiscRate-0.005</f>
        <v>4.3800000000000006E-2</v>
      </c>
      <c r="F43" s="67">
        <f>DiscRate+0.0025</f>
        <v>5.1300000000000005E-2</v>
      </c>
      <c r="G43" s="67">
        <f>DiscRate+0.005</f>
        <v>5.3800000000000001E-2</v>
      </c>
      <c r="H43" s="67">
        <f>DiscRate+0.0075</f>
        <v>5.6300000000000003E-2</v>
      </c>
    </row>
    <row r="44" spans="1:8" x14ac:dyDescent="0.25">
      <c r="A44" s="26" t="s">
        <v>17</v>
      </c>
      <c r="C44" s="21">
        <f t="shared" ref="C44:H44" si="1">C24*1000000/$D$40</f>
        <v>197.27173111518894</v>
      </c>
      <c r="D44" s="21">
        <f t="shared" si="1"/>
        <v>197.89509771248748</v>
      </c>
      <c r="E44" s="21">
        <f t="shared" si="1"/>
        <v>198.52120430097918</v>
      </c>
      <c r="F44" s="21">
        <f t="shared" si="1"/>
        <v>196.65109055393341</v>
      </c>
      <c r="G44" s="21">
        <f t="shared" si="1"/>
        <v>196.03316215180405</v>
      </c>
      <c r="H44" s="21">
        <f t="shared" si="1"/>
        <v>195.41793210963772</v>
      </c>
    </row>
    <row r="45" spans="1:8" x14ac:dyDescent="0.25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5">
      <c r="A46" s="26" t="s">
        <v>20</v>
      </c>
      <c r="C46" s="21">
        <f t="shared" ref="C46:H46" si="3">C44*C45</f>
        <v>466.35037235630665</v>
      </c>
      <c r="D46" s="21">
        <f t="shared" si="3"/>
        <v>467.82401099232038</v>
      </c>
      <c r="E46" s="21">
        <f t="shared" si="3"/>
        <v>469.30412696751478</v>
      </c>
      <c r="F46" s="21">
        <f t="shared" si="3"/>
        <v>464.88317806949857</v>
      </c>
      <c r="G46" s="21">
        <f t="shared" si="3"/>
        <v>463.42239532686477</v>
      </c>
      <c r="H46" s="21">
        <f t="shared" si="3"/>
        <v>461.96799150718357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2">
        <v>363.5</v>
      </c>
    </row>
    <row r="6" spans="1:8" x14ac:dyDescent="0.25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5">
      <c r="A7" s="42" t="s">
        <v>50</v>
      </c>
      <c r="B7" s="20">
        <v>30</v>
      </c>
      <c r="C7" t="s">
        <v>51</v>
      </c>
      <c r="D7" s="10"/>
    </row>
    <row r="8" spans="1:8" x14ac:dyDescent="0.25">
      <c r="A8" s="3" t="s">
        <v>41</v>
      </c>
      <c r="B8" s="64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5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64</v>
      </c>
      <c r="C18" s="36"/>
      <c r="D18" s="36"/>
      <c r="E18" s="36"/>
      <c r="F18" s="36"/>
      <c r="G18" s="36"/>
      <c r="H18" s="36"/>
    </row>
    <row r="19" spans="1:10" x14ac:dyDescent="0.25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5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5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5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5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5">
      <c r="C29" s="6"/>
      <c r="J29" s="24"/>
    </row>
    <row r="30" spans="1:10" x14ac:dyDescent="0.25">
      <c r="A30" t="s">
        <v>10</v>
      </c>
      <c r="J30" s="24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2" sqref="I12"/>
    </sheetView>
  </sheetViews>
  <sheetFormatPr defaultRowHeight="13.2" x14ac:dyDescent="0.25"/>
  <cols>
    <col min="2" max="2" width="12.33203125" bestFit="1" customWidth="1"/>
    <col min="3" max="8" width="15.109375" bestFit="1" customWidth="1"/>
  </cols>
  <sheetData>
    <row r="1" spans="1:8" x14ac:dyDescent="0.25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5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5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5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7" customWidth="1"/>
    <col min="5" max="5" width="9.88671875" customWidth="1"/>
    <col min="8" max="8" width="9.109375" style="56" customWidth="1"/>
    <col min="10" max="10" width="9.109375" style="62" customWidth="1"/>
  </cols>
  <sheetData>
    <row r="1" spans="1:14" x14ac:dyDescent="0.25">
      <c r="D1" s="60">
        <f>'facts premium'!DiscRate</f>
        <v>4.8800000000000003E-2</v>
      </c>
      <c r="J1" s="73" t="s">
        <v>71</v>
      </c>
      <c r="K1" s="73"/>
    </row>
    <row r="2" spans="1:14" x14ac:dyDescent="0.25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5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1.2918836273910468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312.39963182168378</v>
      </c>
      <c r="J3" s="62">
        <v>360.32</v>
      </c>
      <c r="K3" s="7">
        <f>J3+D3+F3-G3-H3</f>
        <v>350.31188362739101</v>
      </c>
    </row>
    <row r="4" spans="1:14" x14ac:dyDescent="0.25">
      <c r="A4" s="59"/>
      <c r="B4">
        <v>2</v>
      </c>
      <c r="C4" s="58">
        <f>I3</f>
        <v>312.39963182168378</v>
      </c>
      <c r="D4" s="33">
        <f t="shared" si="0"/>
        <v>1.2704251694081807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302.37005699109193</v>
      </c>
      <c r="J4" s="63">
        <f>K3</f>
        <v>350.31188362739101</v>
      </c>
      <c r="K4" s="7">
        <f t="shared" ref="K4:K67" si="2">J4+D4+F4-G4-H4</f>
        <v>340.28230879679916</v>
      </c>
    </row>
    <row r="5" spans="1:14" x14ac:dyDescent="0.25">
      <c r="A5" s="59"/>
      <c r="B5">
        <v>3</v>
      </c>
      <c r="C5" s="58">
        <f t="shared" ref="C5:C68" si="3">I4</f>
        <v>302.37005699109193</v>
      </c>
      <c r="D5" s="33">
        <f t="shared" si="0"/>
        <v>1.229638231763774</v>
      </c>
      <c r="E5" s="33"/>
      <c r="F5" s="33"/>
      <c r="G5" s="34">
        <f>facts!$B$6/facts!$B$7</f>
        <v>11.3</v>
      </c>
      <c r="H5" s="54"/>
      <c r="I5" s="7">
        <f t="shared" si="1"/>
        <v>292.29969522285569</v>
      </c>
      <c r="J5" s="63">
        <f t="shared" ref="J5:J68" si="4">K4</f>
        <v>340.28230879679916</v>
      </c>
      <c r="K5" s="7">
        <f t="shared" si="2"/>
        <v>330.21194702856292</v>
      </c>
    </row>
    <row r="6" spans="1:14" x14ac:dyDescent="0.25">
      <c r="A6" s="59"/>
      <c r="B6">
        <v>4</v>
      </c>
      <c r="C6" s="58">
        <f t="shared" si="3"/>
        <v>292.29969522285569</v>
      </c>
      <c r="D6" s="33">
        <f t="shared" si="0"/>
        <v>1.1886854272396132</v>
      </c>
      <c r="E6" s="33"/>
      <c r="F6" s="33"/>
      <c r="G6" s="34">
        <f>facts!$B$6/facts!$B$7</f>
        <v>11.3</v>
      </c>
      <c r="H6" s="54"/>
      <c r="I6" s="7">
        <f t="shared" si="1"/>
        <v>282.18838065009527</v>
      </c>
      <c r="J6" s="63">
        <f t="shared" si="4"/>
        <v>330.21194702856292</v>
      </c>
      <c r="K6" s="7">
        <f t="shared" si="2"/>
        <v>320.1006324558025</v>
      </c>
    </row>
    <row r="7" spans="1:14" x14ac:dyDescent="0.25">
      <c r="A7" s="59"/>
      <c r="B7">
        <v>5</v>
      </c>
      <c r="C7" s="58">
        <f t="shared" si="3"/>
        <v>282.18838065009527</v>
      </c>
      <c r="D7" s="33">
        <f t="shared" si="0"/>
        <v>1.1475660813103874</v>
      </c>
      <c r="E7" s="33"/>
      <c r="F7" s="33"/>
      <c r="G7" s="34">
        <f>facts!$B$6/facts!$B$7</f>
        <v>11.3</v>
      </c>
      <c r="H7" s="54"/>
      <c r="I7" s="7">
        <f t="shared" si="1"/>
        <v>272.03594673140566</v>
      </c>
      <c r="J7" s="63">
        <f t="shared" si="4"/>
        <v>320.1006324558025</v>
      </c>
      <c r="K7" s="7">
        <f t="shared" si="2"/>
        <v>309.94819853711289</v>
      </c>
    </row>
    <row r="8" spans="1:14" x14ac:dyDescent="0.25">
      <c r="A8" s="59">
        <v>35765</v>
      </c>
      <c r="B8">
        <v>6</v>
      </c>
      <c r="C8" s="58">
        <f t="shared" si="3"/>
        <v>272.03594673140566</v>
      </c>
      <c r="D8" s="33">
        <f t="shared" si="0"/>
        <v>1.1062795167077164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272.67845164631547</v>
      </c>
      <c r="J8" s="63">
        <f t="shared" si="4"/>
        <v>309.94819853711289</v>
      </c>
      <c r="K8" s="7">
        <f t="shared" si="2"/>
        <v>290.70070345202271</v>
      </c>
    </row>
    <row r="9" spans="1:14" x14ac:dyDescent="0.25">
      <c r="A9" s="59"/>
      <c r="B9">
        <v>7</v>
      </c>
      <c r="C9" s="58">
        <f t="shared" si="3"/>
        <v>272.67845164631547</v>
      </c>
      <c r="D9" s="33">
        <f t="shared" si="0"/>
        <v>1.1088923700283495</v>
      </c>
      <c r="E9" s="33"/>
      <c r="F9" s="33"/>
      <c r="G9" s="34">
        <f>facts!$B$6/facts!$B$7</f>
        <v>11.3</v>
      </c>
      <c r="H9" s="54"/>
      <c r="I9" s="7">
        <f t="shared" si="1"/>
        <v>262.4873440163438</v>
      </c>
      <c r="J9" s="63">
        <f t="shared" si="4"/>
        <v>290.70070345202271</v>
      </c>
      <c r="K9" s="7">
        <f t="shared" si="2"/>
        <v>280.50959582205104</v>
      </c>
    </row>
    <row r="10" spans="1:14" x14ac:dyDescent="0.25">
      <c r="A10" s="59"/>
      <c r="B10">
        <v>8</v>
      </c>
      <c r="C10" s="58">
        <f t="shared" si="3"/>
        <v>262.4873440163438</v>
      </c>
      <c r="D10" s="33">
        <f t="shared" si="0"/>
        <v>1.0674485323331315</v>
      </c>
      <c r="E10" s="33"/>
      <c r="F10" s="33"/>
      <c r="G10" s="34">
        <f>facts!$B$6/facts!$B$7</f>
        <v>11.3</v>
      </c>
      <c r="H10" s="54"/>
      <c r="I10" s="7">
        <f t="shared" si="1"/>
        <v>252.2547925486769</v>
      </c>
      <c r="J10" s="63">
        <f t="shared" si="4"/>
        <v>280.50959582205104</v>
      </c>
      <c r="K10" s="7">
        <f t="shared" si="2"/>
        <v>270.27704435438415</v>
      </c>
    </row>
    <row r="11" spans="1:14" x14ac:dyDescent="0.25">
      <c r="A11" s="59"/>
      <c r="B11">
        <v>9</v>
      </c>
      <c r="C11" s="58">
        <f t="shared" si="3"/>
        <v>252.2547925486769</v>
      </c>
      <c r="D11" s="33">
        <f t="shared" si="0"/>
        <v>1.0258361563646194</v>
      </c>
      <c r="E11" s="33"/>
      <c r="F11" s="33"/>
      <c r="G11" s="34">
        <f>facts!$B$6/facts!$B$7</f>
        <v>11.3</v>
      </c>
      <c r="H11" s="54"/>
      <c r="I11" s="7">
        <f t="shared" si="1"/>
        <v>241.98062870504151</v>
      </c>
      <c r="J11" s="63">
        <f t="shared" si="4"/>
        <v>270.27704435438415</v>
      </c>
      <c r="K11" s="7">
        <f t="shared" si="2"/>
        <v>260.00288051074875</v>
      </c>
    </row>
    <row r="12" spans="1:14" x14ac:dyDescent="0.25">
      <c r="A12" s="59"/>
      <c r="B12">
        <v>10</v>
      </c>
      <c r="C12" s="58">
        <f t="shared" si="3"/>
        <v>241.98062870504151</v>
      </c>
      <c r="D12" s="33">
        <f t="shared" si="0"/>
        <v>0.98405455673383557</v>
      </c>
      <c r="E12" s="33"/>
      <c r="F12" s="33"/>
      <c r="G12" s="34">
        <f>facts!$B$6/facts!$B$7</f>
        <v>11.3</v>
      </c>
      <c r="H12" s="54"/>
      <c r="I12" s="7">
        <f t="shared" si="1"/>
        <v>231.66468326177534</v>
      </c>
      <c r="J12" s="63">
        <f t="shared" si="4"/>
        <v>260.00288051074875</v>
      </c>
      <c r="K12" s="7">
        <f t="shared" si="2"/>
        <v>249.68693506748258</v>
      </c>
    </row>
    <row r="13" spans="1:14" x14ac:dyDescent="0.25">
      <c r="A13" s="59"/>
      <c r="B13">
        <v>11</v>
      </c>
      <c r="C13" s="58">
        <f t="shared" si="3"/>
        <v>231.66468326177534</v>
      </c>
      <c r="D13" s="33">
        <f t="shared" si="0"/>
        <v>0.94210304526455302</v>
      </c>
      <c r="E13" s="33"/>
      <c r="F13" s="33"/>
      <c r="G13" s="34">
        <f>facts!$B$6/facts!$B$7</f>
        <v>11.3</v>
      </c>
      <c r="H13" s="54"/>
      <c r="I13" s="7">
        <f t="shared" si="1"/>
        <v>221.30678630703989</v>
      </c>
      <c r="J13" s="63">
        <f t="shared" si="4"/>
        <v>249.68693506748258</v>
      </c>
      <c r="K13" s="7">
        <f t="shared" si="2"/>
        <v>239.32903811274713</v>
      </c>
    </row>
    <row r="14" spans="1:14" x14ac:dyDescent="0.25">
      <c r="A14" s="59">
        <v>35947</v>
      </c>
      <c r="B14">
        <v>12</v>
      </c>
      <c r="C14" s="58">
        <f t="shared" si="3"/>
        <v>221.30678630703989</v>
      </c>
      <c r="D14" s="33">
        <f t="shared" si="0"/>
        <v>0.8999809309819623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201.85299263622395</v>
      </c>
      <c r="J14" s="63">
        <f t="shared" si="4"/>
        <v>239.32903811274713</v>
      </c>
      <c r="K14" s="7">
        <f t="shared" si="2"/>
        <v>219.87524444193119</v>
      </c>
    </row>
    <row r="15" spans="1:14" x14ac:dyDescent="0.25">
      <c r="B15">
        <v>13</v>
      </c>
      <c r="C15" s="58">
        <f t="shared" si="3"/>
        <v>201.85299263622395</v>
      </c>
      <c r="D15" s="33">
        <f t="shared" si="0"/>
        <v>0.82086883672064415</v>
      </c>
      <c r="E15" s="33"/>
      <c r="F15" s="33"/>
      <c r="G15" s="34">
        <f>facts!$B$6/facts!$B$7</f>
        <v>11.3</v>
      </c>
      <c r="H15" s="34"/>
      <c r="I15" s="7">
        <f t="shared" si="1"/>
        <v>191.37386147294458</v>
      </c>
      <c r="J15" s="63">
        <f t="shared" si="4"/>
        <v>219.87524444193119</v>
      </c>
      <c r="K15" s="7">
        <f t="shared" si="2"/>
        <v>209.39611327865182</v>
      </c>
    </row>
    <row r="16" spans="1:14" x14ac:dyDescent="0.25">
      <c r="A16" s="59"/>
      <c r="B16">
        <v>14</v>
      </c>
      <c r="C16" s="58">
        <f t="shared" si="3"/>
        <v>191.37386147294458</v>
      </c>
      <c r="D16" s="33">
        <f t="shared" si="0"/>
        <v>0.77825370332330801</v>
      </c>
      <c r="E16" s="33"/>
      <c r="F16" s="33"/>
      <c r="G16" s="34">
        <f>facts!$B$6/facts!$B$7</f>
        <v>11.3</v>
      </c>
      <c r="H16" s="54"/>
      <c r="I16" s="7">
        <f t="shared" si="1"/>
        <v>180.85211517626789</v>
      </c>
      <c r="J16" s="63">
        <f t="shared" si="4"/>
        <v>209.39611327865182</v>
      </c>
      <c r="K16" s="7">
        <f t="shared" si="2"/>
        <v>198.87436698197513</v>
      </c>
    </row>
    <row r="17" spans="1:11" x14ac:dyDescent="0.25">
      <c r="A17" s="59"/>
      <c r="B17">
        <v>15</v>
      </c>
      <c r="C17" s="58">
        <f t="shared" si="3"/>
        <v>180.85211517626789</v>
      </c>
      <c r="D17" s="33">
        <f t="shared" si="0"/>
        <v>0.73546526838348936</v>
      </c>
      <c r="E17" s="33"/>
      <c r="F17" s="33"/>
      <c r="G17" s="34">
        <f>facts!$B$6/facts!$B$7</f>
        <v>11.3</v>
      </c>
      <c r="H17" s="54"/>
      <c r="I17" s="7">
        <f t="shared" si="1"/>
        <v>170.28758044465135</v>
      </c>
      <c r="J17" s="63">
        <f t="shared" si="4"/>
        <v>198.87436698197513</v>
      </c>
      <c r="K17" s="7">
        <f t="shared" si="2"/>
        <v>188.3098322503586</v>
      </c>
    </row>
    <row r="18" spans="1:11" x14ac:dyDescent="0.25">
      <c r="A18" s="59"/>
      <c r="B18">
        <v>16</v>
      </c>
      <c r="C18" s="58">
        <f t="shared" si="3"/>
        <v>170.28758044465135</v>
      </c>
      <c r="D18" s="33">
        <f t="shared" si="0"/>
        <v>0.69250282714158218</v>
      </c>
      <c r="E18" s="33"/>
      <c r="F18" s="33"/>
      <c r="G18" s="34">
        <f>facts!$B$6/facts!$B$7</f>
        <v>11.3</v>
      </c>
      <c r="H18" s="54"/>
      <c r="I18" s="7">
        <f t="shared" si="1"/>
        <v>159.68008327179294</v>
      </c>
      <c r="J18" s="63">
        <f t="shared" si="4"/>
        <v>188.3098322503586</v>
      </c>
      <c r="K18" s="7">
        <f t="shared" si="2"/>
        <v>177.70233507750018</v>
      </c>
    </row>
    <row r="19" spans="1:11" x14ac:dyDescent="0.25">
      <c r="A19" s="59"/>
      <c r="B19">
        <v>17</v>
      </c>
      <c r="C19" s="58">
        <f t="shared" si="3"/>
        <v>159.68008327179294</v>
      </c>
      <c r="D19" s="33">
        <f t="shared" si="0"/>
        <v>0.64936567197195794</v>
      </c>
      <c r="E19" s="33"/>
      <c r="F19" s="33"/>
      <c r="G19" s="34">
        <f>facts!$B$6/facts!$B$7</f>
        <v>11.3</v>
      </c>
      <c r="H19" s="54"/>
      <c r="I19" s="7">
        <f t="shared" si="1"/>
        <v>149.02944894376489</v>
      </c>
      <c r="J19" s="63">
        <f t="shared" si="4"/>
        <v>177.70233507750018</v>
      </c>
      <c r="K19" s="7">
        <f t="shared" si="2"/>
        <v>167.05170074947213</v>
      </c>
    </row>
    <row r="20" spans="1:11" x14ac:dyDescent="0.25">
      <c r="A20" s="59">
        <v>36130</v>
      </c>
      <c r="B20">
        <v>18</v>
      </c>
      <c r="C20" s="58">
        <f t="shared" si="3"/>
        <v>149.02944894376489</v>
      </c>
      <c r="D20" s="33">
        <f t="shared" si="0"/>
        <v>0.60605309237131066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149.71172743433829</v>
      </c>
      <c r="J20" s="63">
        <f t="shared" si="4"/>
        <v>167.05170074947213</v>
      </c>
      <c r="K20" s="7">
        <f t="shared" si="2"/>
        <v>147.30397924004552</v>
      </c>
    </row>
    <row r="21" spans="1:11" x14ac:dyDescent="0.25">
      <c r="A21" s="59"/>
      <c r="B21">
        <v>19</v>
      </c>
      <c r="C21" s="58">
        <f t="shared" si="3"/>
        <v>149.71172743433829</v>
      </c>
      <c r="D21" s="33">
        <f t="shared" si="0"/>
        <v>0.608827691566309</v>
      </c>
      <c r="E21" s="33"/>
      <c r="F21" s="33"/>
      <c r="G21" s="34">
        <f>facts!$B$6/facts!$B$7</f>
        <v>11.3</v>
      </c>
      <c r="H21" s="54"/>
      <c r="I21" s="7">
        <f t="shared" si="1"/>
        <v>139.02055512590459</v>
      </c>
      <c r="J21" s="63">
        <f t="shared" si="4"/>
        <v>147.30397924004552</v>
      </c>
      <c r="K21" s="7">
        <f t="shared" si="2"/>
        <v>136.61280693161183</v>
      </c>
    </row>
    <row r="22" spans="1:11" x14ac:dyDescent="0.25">
      <c r="A22" s="59"/>
      <c r="B22">
        <v>20</v>
      </c>
      <c r="C22" s="58">
        <f t="shared" si="3"/>
        <v>139.02055512590459</v>
      </c>
      <c r="D22" s="33">
        <f t="shared" si="0"/>
        <v>0.56535025751201207</v>
      </c>
      <c r="E22" s="33"/>
      <c r="F22" s="33"/>
      <c r="G22" s="34">
        <f>facts!$B$6/facts!$B$7</f>
        <v>11.3</v>
      </c>
      <c r="H22" s="54"/>
      <c r="I22" s="7">
        <f t="shared" si="1"/>
        <v>128.2859053834166</v>
      </c>
      <c r="J22" s="63">
        <f t="shared" si="4"/>
        <v>136.61280693161183</v>
      </c>
      <c r="K22" s="7">
        <f t="shared" si="2"/>
        <v>125.87815718912385</v>
      </c>
    </row>
    <row r="23" spans="1:11" x14ac:dyDescent="0.25">
      <c r="A23" s="59"/>
      <c r="B23">
        <v>21</v>
      </c>
      <c r="C23" s="58">
        <f t="shared" si="3"/>
        <v>128.2859053834166</v>
      </c>
      <c r="D23" s="33">
        <f t="shared" si="0"/>
        <v>0.52169601522589426</v>
      </c>
      <c r="E23" s="33"/>
      <c r="F23" s="33"/>
      <c r="G23" s="34">
        <f>facts!$B$6/facts!$B$7</f>
        <v>11.3</v>
      </c>
      <c r="H23" s="54"/>
      <c r="I23" s="7">
        <f t="shared" si="1"/>
        <v>117.50760139864251</v>
      </c>
      <c r="J23" s="63">
        <f t="shared" si="4"/>
        <v>125.87815718912385</v>
      </c>
      <c r="K23" s="7">
        <f t="shared" si="2"/>
        <v>115.09985320434976</v>
      </c>
    </row>
    <row r="24" spans="1:11" x14ac:dyDescent="0.25">
      <c r="A24" s="59"/>
      <c r="B24">
        <v>22</v>
      </c>
      <c r="C24" s="58">
        <f t="shared" si="3"/>
        <v>117.50760139864251</v>
      </c>
      <c r="D24" s="33">
        <f t="shared" si="0"/>
        <v>0.47786424568781288</v>
      </c>
      <c r="E24" s="33"/>
      <c r="F24" s="33"/>
      <c r="G24" s="34">
        <f>facts!$B$6/facts!$B$7</f>
        <v>11.3</v>
      </c>
      <c r="H24" s="54"/>
      <c r="I24" s="7">
        <f t="shared" si="1"/>
        <v>106.68546564433032</v>
      </c>
      <c r="J24" s="63">
        <f t="shared" si="4"/>
        <v>115.09985320434976</v>
      </c>
      <c r="K24" s="7">
        <f t="shared" si="2"/>
        <v>104.27771745003757</v>
      </c>
    </row>
    <row r="25" spans="1:11" x14ac:dyDescent="0.25">
      <c r="A25" s="59"/>
      <c r="B25">
        <v>23</v>
      </c>
      <c r="C25" s="58">
        <f t="shared" si="3"/>
        <v>106.68546564433032</v>
      </c>
      <c r="D25" s="33">
        <f t="shared" si="0"/>
        <v>0.43385422695361003</v>
      </c>
      <c r="E25" s="33"/>
      <c r="F25" s="33"/>
      <c r="G25" s="34">
        <f>facts!$B$6/facts!$B$7</f>
        <v>11.3</v>
      </c>
      <c r="H25" s="54"/>
      <c r="I25" s="7">
        <f t="shared" si="1"/>
        <v>95.819319871283938</v>
      </c>
      <c r="J25" s="63">
        <f t="shared" si="4"/>
        <v>104.27771745003757</v>
      </c>
      <c r="K25" s="7">
        <f t="shared" si="2"/>
        <v>93.411571676991187</v>
      </c>
    </row>
    <row r="26" spans="1:11" x14ac:dyDescent="0.25">
      <c r="A26" s="59">
        <v>36312</v>
      </c>
      <c r="B26">
        <v>24</v>
      </c>
      <c r="C26" s="58">
        <f t="shared" si="3"/>
        <v>95.819319871283938</v>
      </c>
      <c r="D26" s="33">
        <f t="shared" si="0"/>
        <v>0.38966523414322141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76.205210503629246</v>
      </c>
      <c r="J26" s="63">
        <f t="shared" si="4"/>
        <v>93.411571676991187</v>
      </c>
      <c r="K26" s="7">
        <f t="shared" si="2"/>
        <v>73.797462309336495</v>
      </c>
    </row>
    <row r="27" spans="1:11" x14ac:dyDescent="0.25">
      <c r="B27">
        <v>25</v>
      </c>
      <c r="C27" s="58">
        <f t="shared" si="3"/>
        <v>76.205210503629246</v>
      </c>
      <c r="D27" s="33">
        <f t="shared" si="0"/>
        <v>0.30990118938142563</v>
      </c>
      <c r="E27" s="33"/>
      <c r="F27" s="33"/>
      <c r="G27" s="34">
        <f>facts!$B$6/facts!$B$7</f>
        <v>11.3</v>
      </c>
      <c r="H27" s="34"/>
      <c r="I27" s="7">
        <f t="shared" si="1"/>
        <v>65.21511169301067</v>
      </c>
      <c r="J27" s="63">
        <f t="shared" si="4"/>
        <v>73.797462309336495</v>
      </c>
      <c r="K27" s="7">
        <f t="shared" si="2"/>
        <v>62.807363498717919</v>
      </c>
    </row>
    <row r="28" spans="1:11" x14ac:dyDescent="0.25">
      <c r="A28" s="59"/>
      <c r="B28">
        <v>26</v>
      </c>
      <c r="C28" s="58">
        <f t="shared" si="3"/>
        <v>65.21511169301067</v>
      </c>
      <c r="D28" s="33">
        <f t="shared" si="0"/>
        <v>0.26520812088491008</v>
      </c>
      <c r="E28" s="33"/>
      <c r="F28" s="33"/>
      <c r="G28" s="34">
        <f>facts!$B$6/facts!$B$7</f>
        <v>11.3</v>
      </c>
      <c r="H28" s="54"/>
      <c r="I28" s="7">
        <f t="shared" si="1"/>
        <v>54.180319813895579</v>
      </c>
      <c r="J28" s="63">
        <f t="shared" si="4"/>
        <v>62.807363498717919</v>
      </c>
      <c r="K28" s="7">
        <f t="shared" si="2"/>
        <v>51.772571619602829</v>
      </c>
    </row>
    <row r="29" spans="1:11" x14ac:dyDescent="0.25">
      <c r="A29" s="59"/>
      <c r="B29">
        <v>27</v>
      </c>
      <c r="C29" s="58">
        <f t="shared" si="3"/>
        <v>54.180319813895579</v>
      </c>
      <c r="D29" s="33">
        <f t="shared" si="0"/>
        <v>0.22033330057650871</v>
      </c>
      <c r="E29" s="33"/>
      <c r="F29" s="33"/>
      <c r="G29" s="34">
        <f>facts!$B$6/facts!$B$7</f>
        <v>11.3</v>
      </c>
      <c r="H29" s="54"/>
      <c r="I29" s="7">
        <f t="shared" si="1"/>
        <v>43.100653114472081</v>
      </c>
      <c r="J29" s="63">
        <f t="shared" si="4"/>
        <v>51.772571619602829</v>
      </c>
      <c r="K29" s="7">
        <f t="shared" si="2"/>
        <v>40.69290492017933</v>
      </c>
    </row>
    <row r="30" spans="1:11" x14ac:dyDescent="0.25">
      <c r="A30" s="59"/>
      <c r="B30">
        <v>28</v>
      </c>
      <c r="C30" s="58">
        <f t="shared" si="3"/>
        <v>43.100653114472081</v>
      </c>
      <c r="D30" s="33">
        <f t="shared" si="0"/>
        <v>0.17527598933218647</v>
      </c>
      <c r="E30" s="33"/>
      <c r="F30" s="33"/>
      <c r="G30" s="34">
        <f>facts!$B$6/facts!$B$7</f>
        <v>11.3</v>
      </c>
      <c r="H30" s="54"/>
      <c r="I30" s="7">
        <f t="shared" si="1"/>
        <v>31.975929103804265</v>
      </c>
      <c r="J30" s="63">
        <f t="shared" si="4"/>
        <v>40.69290492017933</v>
      </c>
      <c r="K30" s="7">
        <f t="shared" si="2"/>
        <v>29.568180909511515</v>
      </c>
    </row>
    <row r="31" spans="1:11" x14ac:dyDescent="0.25">
      <c r="A31" s="59"/>
      <c r="B31">
        <v>29</v>
      </c>
      <c r="C31" s="58">
        <f t="shared" si="3"/>
        <v>31.975929103804265</v>
      </c>
      <c r="D31" s="33">
        <f t="shared" si="0"/>
        <v>0.13003544502213735</v>
      </c>
      <c r="E31" s="33"/>
      <c r="F31" s="33"/>
      <c r="G31" s="34">
        <f>facts!$B$6/facts!$B$7</f>
        <v>11.3</v>
      </c>
      <c r="H31" s="54"/>
      <c r="I31" s="7">
        <f t="shared" si="1"/>
        <v>20.805964548826399</v>
      </c>
      <c r="J31" s="63">
        <f t="shared" si="4"/>
        <v>29.568180909511515</v>
      </c>
      <c r="K31" s="7">
        <f t="shared" si="2"/>
        <v>18.398216354533652</v>
      </c>
    </row>
    <row r="32" spans="1:11" x14ac:dyDescent="0.25">
      <c r="A32" s="59">
        <v>36495</v>
      </c>
      <c r="B32">
        <v>30</v>
      </c>
      <c r="C32" s="58">
        <f t="shared" si="3"/>
        <v>20.805964548826399</v>
      </c>
      <c r="D32" s="33">
        <f t="shared" si="0"/>
        <v>8.4610922498560684E-2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25.60212886952705</v>
      </c>
      <c r="J32" s="63">
        <f t="shared" si="4"/>
        <v>18.398216354533652</v>
      </c>
      <c r="K32" s="7">
        <f t="shared" si="2"/>
        <v>-1.5209473247656984</v>
      </c>
    </row>
    <row r="33" spans="1:11" x14ac:dyDescent="0.25">
      <c r="A33" s="59">
        <v>36678</v>
      </c>
      <c r="B33">
        <v>36</v>
      </c>
      <c r="C33" s="58">
        <f t="shared" si="3"/>
        <v>25.60212886952705</v>
      </c>
      <c r="D33" s="33">
        <f>C33*DiscRate/2</f>
        <v>0.62469194441646003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17.523046212145601</v>
      </c>
      <c r="J33" s="63">
        <f t="shared" si="4"/>
        <v>-1.5209473247656984</v>
      </c>
      <c r="K33" s="7">
        <f t="shared" si="2"/>
        <v>-9.6000299821471486</v>
      </c>
    </row>
    <row r="34" spans="1:11" x14ac:dyDescent="0.25">
      <c r="A34" s="59">
        <v>36861</v>
      </c>
      <c r="B34">
        <v>42</v>
      </c>
      <c r="C34" s="58">
        <f t="shared" si="3"/>
        <v>17.523046212145601</v>
      </c>
      <c r="D34" s="33">
        <f t="shared" ref="D34:D70" si="5">C34*DiscRate/2</f>
        <v>0.42756232757635271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34.338146937924044</v>
      </c>
      <c r="J34" s="63">
        <f t="shared" si="4"/>
        <v>-9.6000299821471486</v>
      </c>
      <c r="K34" s="7">
        <f t="shared" si="2"/>
        <v>-17.876242256368705</v>
      </c>
    </row>
    <row r="35" spans="1:11" x14ac:dyDescent="0.25">
      <c r="A35" s="59">
        <f>A34+366/2</f>
        <v>37044</v>
      </c>
      <c r="B35">
        <v>48</v>
      </c>
      <c r="C35" s="58">
        <f t="shared" si="3"/>
        <v>34.338146937924044</v>
      </c>
      <c r="D35" s="33">
        <f t="shared" si="5"/>
        <v>0.83785078528534673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26.472223121411481</v>
      </c>
      <c r="J35" s="63">
        <f t="shared" si="4"/>
        <v>-17.876242256368705</v>
      </c>
      <c r="K35" s="7">
        <f t="shared" si="2"/>
        <v>-25.742166072881268</v>
      </c>
    </row>
    <row r="36" spans="1:11" x14ac:dyDescent="0.25">
      <c r="A36" s="59">
        <f t="shared" ref="A36:A70" si="6">A35+366/2</f>
        <v>37227</v>
      </c>
      <c r="B36">
        <v>54</v>
      </c>
      <c r="C36" s="58">
        <f t="shared" si="3"/>
        <v>26.472223121411481</v>
      </c>
      <c r="D36" s="33">
        <f t="shared" si="5"/>
        <v>0.64592224416244015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43.903180763776014</v>
      </c>
      <c r="J36" s="63">
        <f t="shared" si="4"/>
        <v>-25.742166072881268</v>
      </c>
      <c r="K36" s="7">
        <f t="shared" si="2"/>
        <v>-33.800018430516737</v>
      </c>
    </row>
    <row r="37" spans="1:11" x14ac:dyDescent="0.25">
      <c r="A37" s="59">
        <f t="shared" si="6"/>
        <v>37410</v>
      </c>
      <c r="B37">
        <v>60</v>
      </c>
      <c r="C37" s="58">
        <f t="shared" si="3"/>
        <v>43.903180763776014</v>
      </c>
      <c r="D37" s="33">
        <f t="shared" si="5"/>
        <v>1.0712376106361348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36.270643772614235</v>
      </c>
      <c r="J37" s="63">
        <f t="shared" si="4"/>
        <v>-33.800018430516737</v>
      </c>
      <c r="K37" s="7">
        <f t="shared" si="2"/>
        <v>-41.432555421678515</v>
      </c>
    </row>
    <row r="38" spans="1:11" x14ac:dyDescent="0.25">
      <c r="A38" s="59">
        <f t="shared" si="6"/>
        <v>37593</v>
      </c>
      <c r="B38">
        <v>66</v>
      </c>
      <c r="C38" s="58">
        <f t="shared" si="3"/>
        <v>36.270643772614235</v>
      </c>
      <c r="D38" s="33">
        <f t="shared" si="5"/>
        <v>0.88500370805178741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54.696137878868115</v>
      </c>
      <c r="J38" s="63">
        <f t="shared" si="4"/>
        <v>-41.432555421678515</v>
      </c>
      <c r="K38" s="7">
        <f t="shared" si="2"/>
        <v>-49.251326315424635</v>
      </c>
    </row>
    <row r="39" spans="1:11" x14ac:dyDescent="0.25">
      <c r="A39" s="59">
        <f t="shared" si="6"/>
        <v>37776</v>
      </c>
      <c r="B39">
        <v>72</v>
      </c>
      <c r="C39" s="58">
        <f t="shared" si="3"/>
        <v>54.696137878868115</v>
      </c>
      <c r="D39" s="33">
        <f t="shared" si="5"/>
        <v>1.3345857642443821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47.326949041314585</v>
      </c>
      <c r="J39" s="63">
        <f t="shared" si="4"/>
        <v>-49.251326315424635</v>
      </c>
      <c r="K39" s="7">
        <f t="shared" si="2"/>
        <v>-56.620515152978165</v>
      </c>
    </row>
    <row r="40" spans="1:11" x14ac:dyDescent="0.25">
      <c r="A40" s="59">
        <f t="shared" si="6"/>
        <v>37959</v>
      </c>
      <c r="B40">
        <v>78</v>
      </c>
      <c r="C40" s="58">
        <f t="shared" si="3"/>
        <v>47.326949041314585</v>
      </c>
      <c r="D40" s="33">
        <f t="shared" si="5"/>
        <v>1.154777556608076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67.094435996124744</v>
      </c>
      <c r="J40" s="63">
        <f t="shared" si="4"/>
        <v>-56.620515152978165</v>
      </c>
      <c r="K40" s="7">
        <f t="shared" si="2"/>
        <v>-64.169512198167993</v>
      </c>
    </row>
    <row r="41" spans="1:11" x14ac:dyDescent="0.25">
      <c r="A41" s="59">
        <f t="shared" si="6"/>
        <v>38142</v>
      </c>
      <c r="B41">
        <v>84</v>
      </c>
      <c r="C41" s="58">
        <f t="shared" si="3"/>
        <v>67.094435996124744</v>
      </c>
      <c r="D41" s="33">
        <f t="shared" si="5"/>
        <v>1.6371042383054439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60.027765632632267</v>
      </c>
      <c r="J41" s="63">
        <f t="shared" si="4"/>
        <v>-64.169512198167993</v>
      </c>
      <c r="K41" s="7">
        <f t="shared" si="2"/>
        <v>-71.236182561660456</v>
      </c>
    </row>
    <row r="42" spans="1:11" x14ac:dyDescent="0.25">
      <c r="A42" s="59">
        <f t="shared" si="6"/>
        <v>38325</v>
      </c>
      <c r="B42">
        <v>90</v>
      </c>
      <c r="C42" s="58">
        <f t="shared" si="3"/>
        <v>60.027765632632267</v>
      </c>
      <c r="D42" s="33">
        <f t="shared" si="5"/>
        <v>1.4646774814362273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81.221180512270578</v>
      </c>
      <c r="J42" s="63">
        <f t="shared" si="4"/>
        <v>-71.236182561660456</v>
      </c>
      <c r="K42" s="7">
        <f t="shared" si="2"/>
        <v>-78.475279682022148</v>
      </c>
    </row>
    <row r="43" spans="1:11" x14ac:dyDescent="0.25">
      <c r="A43" s="59">
        <f t="shared" si="6"/>
        <v>38508</v>
      </c>
      <c r="B43">
        <v>96</v>
      </c>
      <c r="C43" s="58">
        <f t="shared" si="3"/>
        <v>81.221180512270578</v>
      </c>
      <c r="D43" s="33">
        <f t="shared" si="5"/>
        <v>1.9817968044994023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74.499202714972057</v>
      </c>
      <c r="J43" s="63">
        <f t="shared" si="4"/>
        <v>-78.475279682022148</v>
      </c>
      <c r="K43" s="7">
        <f t="shared" si="2"/>
        <v>-85.197257479320669</v>
      </c>
    </row>
    <row r="44" spans="1:11" x14ac:dyDescent="0.25">
      <c r="A44" s="59">
        <f t="shared" si="6"/>
        <v>38691</v>
      </c>
      <c r="B44">
        <v>102</v>
      </c>
      <c r="C44" s="58">
        <f t="shared" si="3"/>
        <v>74.499202714972057</v>
      </c>
      <c r="D44" s="33">
        <f t="shared" si="5"/>
        <v>1.8177805462453183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97.207347659419455</v>
      </c>
      <c r="J44" s="63">
        <f t="shared" si="4"/>
        <v>-85.197257479320669</v>
      </c>
      <c r="K44" s="7">
        <f t="shared" si="2"/>
        <v>-92.08325153487327</v>
      </c>
    </row>
    <row r="45" spans="1:11" x14ac:dyDescent="0.25">
      <c r="A45" s="59">
        <f t="shared" si="6"/>
        <v>38874</v>
      </c>
      <c r="B45">
        <v>108</v>
      </c>
      <c r="C45" s="58">
        <f t="shared" si="3"/>
        <v>97.207347659419455</v>
      </c>
      <c r="D45" s="33">
        <f t="shared" si="5"/>
        <v>2.3718592828898348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90.875432340511367</v>
      </c>
      <c r="J45" s="63">
        <f t="shared" si="4"/>
        <v>-92.08325153487327</v>
      </c>
      <c r="K45" s="7">
        <f t="shared" si="2"/>
        <v>-98.415166853781358</v>
      </c>
    </row>
    <row r="46" spans="1:11" x14ac:dyDescent="0.25">
      <c r="A46" s="59">
        <f t="shared" si="6"/>
        <v>39057</v>
      </c>
      <c r="B46">
        <v>114</v>
      </c>
      <c r="C46" s="58">
        <f t="shared" si="3"/>
        <v>90.875432340511367</v>
      </c>
      <c r="D46" s="33">
        <f t="shared" si="5"/>
        <v>2.2173605491084776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115.19224728782193</v>
      </c>
      <c r="J46" s="63">
        <f t="shared" si="4"/>
        <v>-98.415166853781358</v>
      </c>
      <c r="K46" s="7">
        <f t="shared" si="2"/>
        <v>-104.9015809064708</v>
      </c>
    </row>
    <row r="47" spans="1:11" x14ac:dyDescent="0.25">
      <c r="A47" s="59">
        <f t="shared" si="6"/>
        <v>39240</v>
      </c>
      <c r="B47">
        <v>120</v>
      </c>
      <c r="C47" s="58">
        <f t="shared" si="3"/>
        <v>115.19224728782193</v>
      </c>
      <c r="D47" s="33">
        <f t="shared" si="5"/>
        <v>2.8106908338228553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109.29916351984687</v>
      </c>
      <c r="J47" s="63">
        <f t="shared" si="4"/>
        <v>-104.9015809064708</v>
      </c>
      <c r="K47" s="7">
        <f t="shared" si="2"/>
        <v>-110.79466467444585</v>
      </c>
    </row>
    <row r="48" spans="1:11" x14ac:dyDescent="0.25">
      <c r="A48" s="59">
        <f t="shared" si="6"/>
        <v>39423</v>
      </c>
      <c r="B48">
        <v>126</v>
      </c>
      <c r="C48" s="58">
        <f t="shared" si="3"/>
        <v>109.29916351984687</v>
      </c>
      <c r="D48" s="33">
        <f t="shared" si="5"/>
        <v>2.666899589884264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135.32400850793323</v>
      </c>
      <c r="J48" s="63">
        <f t="shared" si="4"/>
        <v>-110.79466467444585</v>
      </c>
      <c r="K48" s="7">
        <f t="shared" si="2"/>
        <v>-116.83153968635951</v>
      </c>
    </row>
    <row r="49" spans="1:11" x14ac:dyDescent="0.25">
      <c r="A49" s="59">
        <f t="shared" si="6"/>
        <v>39606</v>
      </c>
      <c r="B49">
        <v>132</v>
      </c>
      <c r="C49" s="58">
        <f t="shared" si="3"/>
        <v>135.32400850793323</v>
      </c>
      <c r="D49" s="33">
        <f t="shared" si="5"/>
        <v>3.3019058075935708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129.92213971372891</v>
      </c>
      <c r="J49" s="63">
        <f t="shared" si="4"/>
        <v>-116.83153968635951</v>
      </c>
      <c r="K49" s="7">
        <f t="shared" si="2"/>
        <v>-122.23340848056385</v>
      </c>
    </row>
    <row r="50" spans="1:11" x14ac:dyDescent="0.25">
      <c r="A50" s="59">
        <f t="shared" si="6"/>
        <v>39789</v>
      </c>
      <c r="B50">
        <v>138</v>
      </c>
      <c r="C50" s="58">
        <f t="shared" si="3"/>
        <v>129.92213971372891</v>
      </c>
      <c r="D50" s="33">
        <f t="shared" si="5"/>
        <v>3.1701002090149855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157.76009832094599</v>
      </c>
      <c r="J50" s="63">
        <f t="shared" si="4"/>
        <v>-122.23340848056385</v>
      </c>
      <c r="K50" s="7">
        <f t="shared" si="2"/>
        <v>-127.76708287334678</v>
      </c>
    </row>
    <row r="51" spans="1:11" x14ac:dyDescent="0.25">
      <c r="A51" s="59">
        <f t="shared" si="6"/>
        <v>39972</v>
      </c>
      <c r="B51">
        <v>144</v>
      </c>
      <c r="C51" s="58">
        <f t="shared" si="3"/>
        <v>157.76009832094599</v>
      </c>
      <c r="D51" s="33">
        <f t="shared" si="5"/>
        <v>3.8493463990310821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152.90567011817916</v>
      </c>
      <c r="J51" s="63">
        <f t="shared" si="4"/>
        <v>-127.76708287334678</v>
      </c>
      <c r="K51" s="7">
        <f t="shared" si="2"/>
        <v>-132.62151107611362</v>
      </c>
    </row>
    <row r="52" spans="1:11" x14ac:dyDescent="0.25">
      <c r="A52" s="59">
        <f t="shared" si="6"/>
        <v>40155</v>
      </c>
      <c r="B52">
        <v>150</v>
      </c>
      <c r="C52" s="58">
        <f t="shared" si="3"/>
        <v>152.90567011817916</v>
      </c>
      <c r="D52" s="33">
        <f t="shared" si="5"/>
        <v>3.7308983508835718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182.66785986726481</v>
      </c>
      <c r="J52" s="63">
        <f t="shared" si="4"/>
        <v>-132.62151107611362</v>
      </c>
      <c r="K52" s="7">
        <f t="shared" si="2"/>
        <v>-137.59438732702796</v>
      </c>
    </row>
    <row r="53" spans="1:11" x14ac:dyDescent="0.25">
      <c r="A53" s="59">
        <f t="shared" si="6"/>
        <v>40338</v>
      </c>
      <c r="B53">
        <v>156</v>
      </c>
      <c r="C53" s="58">
        <f t="shared" si="3"/>
        <v>182.66785986726481</v>
      </c>
      <c r="D53" s="33">
        <f t="shared" si="5"/>
        <v>4.4570957807612617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178.42118104622816</v>
      </c>
      <c r="J53" s="63">
        <f t="shared" si="4"/>
        <v>-137.59438732702796</v>
      </c>
      <c r="K53" s="7">
        <f t="shared" si="2"/>
        <v>-141.84106614806461</v>
      </c>
    </row>
    <row r="54" spans="1:11" x14ac:dyDescent="0.25">
      <c r="A54" s="59">
        <f t="shared" si="6"/>
        <v>40521</v>
      </c>
      <c r="B54">
        <v>162</v>
      </c>
      <c r="C54" s="58">
        <f t="shared" si="3"/>
        <v>178.42118104622816</v>
      </c>
      <c r="D54" s="33">
        <f t="shared" si="5"/>
        <v>4.3534768175279677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210.22509226195822</v>
      </c>
      <c r="J54" s="63">
        <f t="shared" si="4"/>
        <v>-141.84106614806461</v>
      </c>
      <c r="K54" s="7">
        <f t="shared" si="2"/>
        <v>-146.19136393233455</v>
      </c>
    </row>
    <row r="55" spans="1:11" x14ac:dyDescent="0.25">
      <c r="A55" s="59">
        <f t="shared" si="6"/>
        <v>40704</v>
      </c>
      <c r="B55">
        <v>168</v>
      </c>
      <c r="C55" s="58">
        <f t="shared" si="3"/>
        <v>210.22509226195822</v>
      </c>
      <c r="D55" s="33">
        <f t="shared" si="5"/>
        <v>5.1294922511917811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206.6508099113521</v>
      </c>
      <c r="J55" s="63">
        <f t="shared" si="4"/>
        <v>-146.19136393233455</v>
      </c>
      <c r="K55" s="7">
        <f t="shared" si="2"/>
        <v>-149.76564628294068</v>
      </c>
    </row>
    <row r="56" spans="1:11" x14ac:dyDescent="0.25">
      <c r="A56" s="59">
        <f t="shared" si="6"/>
        <v>40887</v>
      </c>
      <c r="B56">
        <v>174</v>
      </c>
      <c r="C56" s="58">
        <f t="shared" si="3"/>
        <v>206.6508099113521</v>
      </c>
      <c r="D56" s="33">
        <f t="shared" si="5"/>
        <v>5.0422797618369914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240.62065107139119</v>
      </c>
      <c r="J56" s="63">
        <f t="shared" si="4"/>
        <v>-149.76564628294068</v>
      </c>
      <c r="K56" s="7">
        <f t="shared" si="2"/>
        <v>-153.42714112290159</v>
      </c>
    </row>
    <row r="57" spans="1:11" x14ac:dyDescent="0.25">
      <c r="A57" s="59">
        <f t="shared" si="6"/>
        <v>41070</v>
      </c>
      <c r="B57">
        <v>180</v>
      </c>
      <c r="C57" s="58">
        <f t="shared" si="3"/>
        <v>240.62065107139119</v>
      </c>
      <c r="D57" s="33">
        <f t="shared" si="5"/>
        <v>5.8711438861419456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237.78802035573523</v>
      </c>
      <c r="J57" s="63">
        <f t="shared" si="4"/>
        <v>-153.42714112290159</v>
      </c>
      <c r="K57" s="7">
        <f t="shared" si="2"/>
        <v>-156.25977183855755</v>
      </c>
    </row>
    <row r="58" spans="1:11" x14ac:dyDescent="0.25">
      <c r="A58" s="59">
        <f t="shared" si="6"/>
        <v>41253</v>
      </c>
      <c r="B58">
        <v>186</v>
      </c>
      <c r="C58" s="58">
        <f t="shared" si="3"/>
        <v>237.78802035573523</v>
      </c>
      <c r="D58" s="33">
        <f t="shared" si="5"/>
        <v>5.8020276966799402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274.05509145061728</v>
      </c>
      <c r="J58" s="63">
        <f t="shared" si="4"/>
        <v>-156.25977183855755</v>
      </c>
      <c r="K58" s="7">
        <f t="shared" si="2"/>
        <v>-159.16151874367551</v>
      </c>
    </row>
    <row r="59" spans="1:11" x14ac:dyDescent="0.25">
      <c r="A59" s="59">
        <f t="shared" si="6"/>
        <v>41436</v>
      </c>
      <c r="B59">
        <v>192</v>
      </c>
      <c r="C59" s="58">
        <f t="shared" si="3"/>
        <v>274.05509145061728</v>
      </c>
      <c r="D59" s="33">
        <f t="shared" si="5"/>
        <v>6.6869442313950618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272.03826108021445</v>
      </c>
      <c r="J59" s="63">
        <f t="shared" si="4"/>
        <v>-159.16151874367551</v>
      </c>
      <c r="K59" s="7">
        <f t="shared" si="2"/>
        <v>-161.17834911407834</v>
      </c>
    </row>
    <row r="60" spans="1:11" x14ac:dyDescent="0.25">
      <c r="A60" s="59">
        <f t="shared" si="6"/>
        <v>41619</v>
      </c>
      <c r="B60">
        <v>198</v>
      </c>
      <c r="C60" s="58">
        <f t="shared" si="3"/>
        <v>272.03826108021445</v>
      </c>
      <c r="D60" s="33">
        <f t="shared" si="5"/>
        <v>6.6377335703572333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310.74134104877379</v>
      </c>
      <c r="J60" s="63">
        <f t="shared" si="4"/>
        <v>-161.17834911407834</v>
      </c>
      <c r="K60" s="7">
        <f t="shared" si="2"/>
        <v>-163.24439014551902</v>
      </c>
    </row>
    <row r="61" spans="1:11" x14ac:dyDescent="0.25">
      <c r="A61" s="59">
        <f t="shared" si="6"/>
        <v>41802</v>
      </c>
      <c r="B61">
        <v>204</v>
      </c>
      <c r="C61" s="58">
        <f t="shared" si="3"/>
        <v>310.74134104877379</v>
      </c>
      <c r="D61" s="33">
        <f t="shared" si="5"/>
        <v>7.5820887215900807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309.619655168566</v>
      </c>
      <c r="J61" s="63">
        <f t="shared" si="4"/>
        <v>-163.24439014551902</v>
      </c>
      <c r="K61" s="7">
        <f t="shared" si="2"/>
        <v>-164.36607602572684</v>
      </c>
    </row>
    <row r="62" spans="1:11" x14ac:dyDescent="0.25">
      <c r="A62" s="59">
        <f t="shared" si="6"/>
        <v>41985</v>
      </c>
      <c r="B62">
        <v>210</v>
      </c>
      <c r="C62" s="58">
        <f t="shared" si="3"/>
        <v>309.619655168566</v>
      </c>
      <c r="D62" s="33">
        <f t="shared" si="5"/>
        <v>7.554719586113011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350.90541115288119</v>
      </c>
      <c r="J62" s="63">
        <f t="shared" si="4"/>
        <v>-164.36607602572684</v>
      </c>
      <c r="K62" s="7">
        <f t="shared" si="2"/>
        <v>-165.51513104141173</v>
      </c>
    </row>
    <row r="63" spans="1:11" x14ac:dyDescent="0.25">
      <c r="A63" s="59">
        <f t="shared" si="6"/>
        <v>42168</v>
      </c>
      <c r="B63">
        <v>216</v>
      </c>
      <c r="C63" s="58">
        <f t="shared" si="3"/>
        <v>350.90541115288119</v>
      </c>
      <c r="D63" s="33">
        <f t="shared" si="5"/>
        <v>8.5620920321303018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350.76372858321361</v>
      </c>
      <c r="J63" s="63">
        <f t="shared" si="4"/>
        <v>-165.51513104141173</v>
      </c>
      <c r="K63" s="7">
        <f t="shared" si="2"/>
        <v>-165.65681361107934</v>
      </c>
    </row>
    <row r="64" spans="1:11" x14ac:dyDescent="0.25">
      <c r="A64" s="59">
        <f t="shared" si="6"/>
        <v>42351</v>
      </c>
      <c r="B64">
        <v>222</v>
      </c>
      <c r="C64" s="58">
        <f t="shared" si="3"/>
        <v>350.76372858321361</v>
      </c>
      <c r="D64" s="33">
        <f t="shared" si="5"/>
        <v>8.5586349774304118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394.78714995884616</v>
      </c>
      <c r="J64" s="63">
        <f t="shared" si="4"/>
        <v>-165.65681361107934</v>
      </c>
      <c r="K64" s="7">
        <f t="shared" si="2"/>
        <v>-165.80195323544683</v>
      </c>
    </row>
    <row r="65" spans="1:11" x14ac:dyDescent="0.25">
      <c r="A65" s="59">
        <f t="shared" si="6"/>
        <v>42534</v>
      </c>
      <c r="B65">
        <v>228</v>
      </c>
      <c r="C65" s="58">
        <f t="shared" si="3"/>
        <v>394.78714995884616</v>
      </c>
      <c r="D65" s="33">
        <f t="shared" si="5"/>
        <v>9.6328064589958462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395.71618181604413</v>
      </c>
      <c r="J65" s="63">
        <f t="shared" si="4"/>
        <v>-165.80195323544683</v>
      </c>
      <c r="K65" s="7">
        <f t="shared" si="2"/>
        <v>-164.87292137824889</v>
      </c>
    </row>
    <row r="66" spans="1:11" x14ac:dyDescent="0.25">
      <c r="A66" s="59">
        <f t="shared" si="6"/>
        <v>42717</v>
      </c>
      <c r="B66">
        <v>234</v>
      </c>
      <c r="C66" s="58">
        <f t="shared" si="3"/>
        <v>395.71618181604413</v>
      </c>
      <c r="D66" s="33">
        <f t="shared" si="5"/>
        <v>9.6554748363114768</v>
      </c>
      <c r="E66" s="33"/>
      <c r="F66" s="33">
        <v>0.35</v>
      </c>
      <c r="G66" s="33"/>
      <c r="H66" s="34">
        <v>9.31</v>
      </c>
      <c r="I66" s="7">
        <f>C66+D66+E66+F66-G66-H66</f>
        <v>396.41165665235565</v>
      </c>
      <c r="J66" s="63">
        <f t="shared" si="4"/>
        <v>-164.87292137824889</v>
      </c>
      <c r="K66" s="7">
        <f t="shared" si="2"/>
        <v>-164.17744654193743</v>
      </c>
    </row>
    <row r="67" spans="1:11" x14ac:dyDescent="0.25">
      <c r="A67" s="59">
        <f t="shared" si="6"/>
        <v>42900</v>
      </c>
      <c r="B67">
        <v>240</v>
      </c>
      <c r="C67" s="58">
        <f t="shared" si="3"/>
        <v>396.41165665235565</v>
      </c>
      <c r="D67" s="33">
        <f t="shared" si="5"/>
        <v>9.6724444223174793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79.447799257202632</v>
      </c>
      <c r="J67" s="63">
        <f t="shared" si="4"/>
        <v>-164.17744654193743</v>
      </c>
      <c r="K67" s="7">
        <f t="shared" si="2"/>
        <v>-481.14130393709047</v>
      </c>
    </row>
    <row r="68" spans="1:11" x14ac:dyDescent="0.25">
      <c r="A68" s="59">
        <f t="shared" si="6"/>
        <v>43083</v>
      </c>
      <c r="B68">
        <v>246</v>
      </c>
      <c r="C68" s="58">
        <f t="shared" si="3"/>
        <v>79.447799257202632</v>
      </c>
      <c r="D68" s="33">
        <f t="shared" si="5"/>
        <v>1.9385263018757444</v>
      </c>
      <c r="E68" s="33"/>
      <c r="F68" s="33">
        <v>0.35</v>
      </c>
      <c r="G68" s="34"/>
      <c r="H68" s="54"/>
      <c r="I68" s="7">
        <f>C68+D68+E68+F68-G68-H68</f>
        <v>81.736325559078367</v>
      </c>
      <c r="J68" s="63">
        <f t="shared" si="4"/>
        <v>-481.14130393709047</v>
      </c>
      <c r="K68" s="7">
        <f>J68+D68+F68-G68-H68</f>
        <v>-478.85277763521469</v>
      </c>
    </row>
    <row r="69" spans="1:11" x14ac:dyDescent="0.25">
      <c r="A69" s="59">
        <f t="shared" si="6"/>
        <v>43266</v>
      </c>
      <c r="B69">
        <v>252</v>
      </c>
      <c r="C69" s="58">
        <f>I68</f>
        <v>81.736325559078367</v>
      </c>
      <c r="D69" s="33">
        <f t="shared" si="5"/>
        <v>1.9943663436415122</v>
      </c>
      <c r="E69" s="33"/>
      <c r="F69" s="33">
        <v>0.35</v>
      </c>
      <c r="G69" s="34"/>
      <c r="H69" s="54"/>
      <c r="I69" s="7">
        <f>C69+D69+E69+F69-G69-H69</f>
        <v>84.080691902719877</v>
      </c>
      <c r="J69" s="63">
        <f>K68</f>
        <v>-478.85277763521469</v>
      </c>
      <c r="K69" s="7">
        <f>J69+D69+F69-G69-H69</f>
        <v>-476.50841129157317</v>
      </c>
    </row>
    <row r="70" spans="1:11" x14ac:dyDescent="0.25">
      <c r="A70" s="59">
        <f t="shared" si="6"/>
        <v>43449</v>
      </c>
      <c r="B70">
        <v>258</v>
      </c>
      <c r="C70" s="58">
        <f>I69</f>
        <v>84.080691902719877</v>
      </c>
      <c r="D70" s="33">
        <f t="shared" si="5"/>
        <v>2.0515688824263649</v>
      </c>
      <c r="E70" s="33"/>
      <c r="F70" s="33">
        <v>0.35</v>
      </c>
      <c r="G70" s="34"/>
      <c r="H70" s="54"/>
      <c r="I70" s="7">
        <f>C70+D70+E70+F70-G70-H70</f>
        <v>86.482260785146238</v>
      </c>
      <c r="J70" s="63">
        <f>K69</f>
        <v>-476.50841129157317</v>
      </c>
      <c r="K70" s="7">
        <f>J70+D70+F70-G70-H70</f>
        <v>-474.10684240914679</v>
      </c>
    </row>
    <row r="71" spans="1:11" x14ac:dyDescent="0.25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3.2" x14ac:dyDescent="0.25"/>
  <cols>
    <col min="1" max="1" width="10.109375" bestFit="1" customWidth="1"/>
    <col min="3" max="3" width="9.109375" style="57" customWidth="1"/>
    <col min="8" max="8" width="9.109375" style="56" customWidth="1"/>
    <col min="10" max="10" width="9.109375" style="62" customWidth="1"/>
  </cols>
  <sheetData>
    <row r="1" spans="1:14" x14ac:dyDescent="0.25">
      <c r="D1" s="60">
        <f>'facts premium'!DiscRate6</f>
        <v>5.6300000000000003E-2</v>
      </c>
      <c r="J1" s="73" t="s">
        <v>71</v>
      </c>
      <c r="K1" s="73"/>
    </row>
    <row r="2" spans="1:14" x14ac:dyDescent="0.25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5">
      <c r="A3" s="59">
        <v>35582</v>
      </c>
      <c r="B3">
        <v>1</v>
      </c>
      <c r="C3" s="58">
        <f>'facts premium'!H28</f>
        <v>300.13778682578987</v>
      </c>
      <c r="D3" s="33">
        <f>C3*DiscRate6/12</f>
        <v>1.4081464498576644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294.97737965246978</v>
      </c>
      <c r="J3" s="62">
        <v>360.32</v>
      </c>
      <c r="K3" s="7">
        <f t="shared" ref="K3:K34" si="1">J3+D3+F3-G3-H3</f>
        <v>350.42814644985765</v>
      </c>
    </row>
    <row r="4" spans="1:14" x14ac:dyDescent="0.25">
      <c r="A4" s="59"/>
      <c r="B4">
        <v>2</v>
      </c>
      <c r="C4" s="58">
        <f t="shared" ref="C4:C35" si="2">I3</f>
        <v>294.97737965246978</v>
      </c>
      <c r="D4" s="33">
        <f t="shared" ref="D4:D32" si="3">C4*DiscRate/12</f>
        <v>1.1995746772533773</v>
      </c>
      <c r="E4" s="33"/>
      <c r="F4" s="33"/>
      <c r="G4" s="34">
        <f>facts!$B$6/facts!$B$7</f>
        <v>11.3</v>
      </c>
      <c r="H4" s="54"/>
      <c r="I4" s="7">
        <f t="shared" si="0"/>
        <v>284.87695432972316</v>
      </c>
      <c r="J4" s="63">
        <f t="shared" ref="J4:J35" si="4">K3</f>
        <v>350.42814644985765</v>
      </c>
      <c r="K4" s="7">
        <f t="shared" si="1"/>
        <v>340.32772112711103</v>
      </c>
    </row>
    <row r="5" spans="1:14" x14ac:dyDescent="0.25">
      <c r="A5" s="59"/>
      <c r="B5">
        <v>3</v>
      </c>
      <c r="C5" s="58">
        <f t="shared" si="2"/>
        <v>284.87695432972316</v>
      </c>
      <c r="D5" s="33">
        <f t="shared" si="3"/>
        <v>1.1584996142742077</v>
      </c>
      <c r="E5" s="33"/>
      <c r="F5" s="33"/>
      <c r="G5" s="34">
        <f>facts!$B$6/facts!$B$7</f>
        <v>11.3</v>
      </c>
      <c r="H5" s="54"/>
      <c r="I5" s="7">
        <f t="shared" si="0"/>
        <v>274.73545394399736</v>
      </c>
      <c r="J5" s="63">
        <f t="shared" si="4"/>
        <v>340.32772112711103</v>
      </c>
      <c r="K5" s="7">
        <f t="shared" si="1"/>
        <v>330.18622074138523</v>
      </c>
    </row>
    <row r="6" spans="1:14" x14ac:dyDescent="0.25">
      <c r="A6" s="59"/>
      <c r="B6">
        <v>4</v>
      </c>
      <c r="C6" s="58">
        <f t="shared" si="2"/>
        <v>274.73545394399736</v>
      </c>
      <c r="D6" s="33">
        <f t="shared" si="3"/>
        <v>1.1172575127055893</v>
      </c>
      <c r="E6" s="33"/>
      <c r="F6" s="33"/>
      <c r="G6" s="34">
        <f>facts!$B$6/facts!$B$7</f>
        <v>11.3</v>
      </c>
      <c r="H6" s="54"/>
      <c r="I6" s="7">
        <f t="shared" si="0"/>
        <v>264.55271145670292</v>
      </c>
      <c r="J6" s="63">
        <f t="shared" si="4"/>
        <v>330.18622074138523</v>
      </c>
      <c r="K6" s="7">
        <f t="shared" si="1"/>
        <v>320.00347825409079</v>
      </c>
    </row>
    <row r="7" spans="1:14" x14ac:dyDescent="0.25">
      <c r="A7" s="59"/>
      <c r="B7">
        <v>5</v>
      </c>
      <c r="C7" s="58">
        <f t="shared" si="2"/>
        <v>264.55271145670292</v>
      </c>
      <c r="D7" s="33">
        <f t="shared" si="3"/>
        <v>1.0758476932572585</v>
      </c>
      <c r="E7" s="33"/>
      <c r="F7" s="33"/>
      <c r="G7" s="34">
        <f>facts!$B$6/facts!$B$7</f>
        <v>11.3</v>
      </c>
      <c r="H7" s="54"/>
      <c r="I7" s="7">
        <f t="shared" si="0"/>
        <v>254.32855914996014</v>
      </c>
      <c r="J7" s="63">
        <f t="shared" si="4"/>
        <v>320.00347825409079</v>
      </c>
      <c r="K7" s="7">
        <f t="shared" si="1"/>
        <v>309.77932594734801</v>
      </c>
    </row>
    <row r="8" spans="1:14" x14ac:dyDescent="0.25">
      <c r="A8" s="59">
        <v>35765</v>
      </c>
      <c r="B8">
        <v>6</v>
      </c>
      <c r="C8" s="58">
        <f t="shared" si="2"/>
        <v>254.32855914996014</v>
      </c>
      <c r="D8" s="33">
        <f t="shared" si="3"/>
        <v>1.0342694738765046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253.70776789022321</v>
      </c>
      <c r="J8" s="63">
        <f t="shared" si="4"/>
        <v>309.77932594734801</v>
      </c>
      <c r="K8" s="7">
        <f t="shared" si="1"/>
        <v>289.26853468761112</v>
      </c>
    </row>
    <row r="9" spans="1:14" x14ac:dyDescent="0.25">
      <c r="A9" s="59"/>
      <c r="B9">
        <v>7</v>
      </c>
      <c r="C9" s="58">
        <f t="shared" si="2"/>
        <v>253.70776789022321</v>
      </c>
      <c r="D9" s="33">
        <f t="shared" si="3"/>
        <v>1.0317449227535744</v>
      </c>
      <c r="E9" s="33"/>
      <c r="F9" s="33"/>
      <c r="G9" s="34">
        <f>facts!$B$6/facts!$B$7</f>
        <v>11.3</v>
      </c>
      <c r="H9" s="54"/>
      <c r="I9" s="7">
        <f t="shared" si="0"/>
        <v>243.43951281297677</v>
      </c>
      <c r="J9" s="63">
        <f t="shared" si="4"/>
        <v>289.26853468761112</v>
      </c>
      <c r="K9" s="7">
        <f t="shared" si="1"/>
        <v>279.00027961036466</v>
      </c>
    </row>
    <row r="10" spans="1:14" x14ac:dyDescent="0.25">
      <c r="A10" s="59"/>
      <c r="B10">
        <v>8</v>
      </c>
      <c r="C10" s="58">
        <f t="shared" si="2"/>
        <v>243.43951281297677</v>
      </c>
      <c r="D10" s="33">
        <f t="shared" si="3"/>
        <v>0.98998735210610567</v>
      </c>
      <c r="E10" s="33"/>
      <c r="F10" s="33"/>
      <c r="G10" s="34">
        <f>facts!$B$6/facts!$B$7</f>
        <v>11.3</v>
      </c>
      <c r="H10" s="54"/>
      <c r="I10" s="7">
        <f t="shared" si="0"/>
        <v>233.12950016508287</v>
      </c>
      <c r="J10" s="63">
        <f t="shared" si="4"/>
        <v>279.00027961036466</v>
      </c>
      <c r="K10" s="7">
        <f t="shared" si="1"/>
        <v>268.69026696247073</v>
      </c>
    </row>
    <row r="11" spans="1:14" x14ac:dyDescent="0.25">
      <c r="A11" s="59"/>
      <c r="B11">
        <v>9</v>
      </c>
      <c r="C11" s="58">
        <f t="shared" si="2"/>
        <v>233.12950016508287</v>
      </c>
      <c r="D11" s="33">
        <f t="shared" si="3"/>
        <v>0.94805996733800368</v>
      </c>
      <c r="E11" s="33"/>
      <c r="F11" s="33"/>
      <c r="G11" s="34">
        <f>facts!$B$6/facts!$B$7</f>
        <v>11.3</v>
      </c>
      <c r="H11" s="54"/>
      <c r="I11" s="7">
        <f t="shared" si="0"/>
        <v>222.77756013242086</v>
      </c>
      <c r="J11" s="63">
        <f t="shared" si="4"/>
        <v>268.69026696247073</v>
      </c>
      <c r="K11" s="7">
        <f t="shared" si="1"/>
        <v>258.33832692980872</v>
      </c>
    </row>
    <row r="12" spans="1:14" x14ac:dyDescent="0.25">
      <c r="A12" s="59"/>
      <c r="B12">
        <v>10</v>
      </c>
      <c r="C12" s="58">
        <f t="shared" si="2"/>
        <v>222.77756013242086</v>
      </c>
      <c r="D12" s="33">
        <f t="shared" si="3"/>
        <v>0.9059620778718448</v>
      </c>
      <c r="E12" s="33"/>
      <c r="F12" s="33"/>
      <c r="G12" s="34">
        <f>facts!$B$6/facts!$B$7</f>
        <v>11.3</v>
      </c>
      <c r="H12" s="54"/>
      <c r="I12" s="7">
        <f t="shared" si="0"/>
        <v>212.38352221029268</v>
      </c>
      <c r="J12" s="63">
        <f t="shared" si="4"/>
        <v>258.33832692980872</v>
      </c>
      <c r="K12" s="7">
        <f t="shared" si="1"/>
        <v>247.94428900768054</v>
      </c>
    </row>
    <row r="13" spans="1:14" x14ac:dyDescent="0.25">
      <c r="A13" s="59"/>
      <c r="B13">
        <v>11</v>
      </c>
      <c r="C13" s="58">
        <f t="shared" si="2"/>
        <v>212.38352221029268</v>
      </c>
      <c r="D13" s="33">
        <f t="shared" si="3"/>
        <v>0.86369299032185698</v>
      </c>
      <c r="E13" s="33"/>
      <c r="F13" s="33"/>
      <c r="G13" s="34">
        <f>facts!$B$6/facts!$B$7</f>
        <v>11.3</v>
      </c>
      <c r="H13" s="54"/>
      <c r="I13" s="7">
        <f t="shared" si="0"/>
        <v>201.94721520061452</v>
      </c>
      <c r="J13" s="63">
        <f t="shared" si="4"/>
        <v>247.94428900768054</v>
      </c>
      <c r="K13" s="7">
        <f t="shared" si="1"/>
        <v>237.50798199800238</v>
      </c>
    </row>
    <row r="14" spans="1:14" x14ac:dyDescent="0.25">
      <c r="A14" s="59">
        <v>35947</v>
      </c>
      <c r="B14">
        <v>12</v>
      </c>
      <c r="C14" s="58">
        <f t="shared" si="2"/>
        <v>201.94721520061452</v>
      </c>
      <c r="D14" s="33">
        <f t="shared" si="3"/>
        <v>0.82125200848249913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181.22340647548359</v>
      </c>
      <c r="J14" s="63">
        <f t="shared" si="4"/>
        <v>237.50798199800238</v>
      </c>
      <c r="K14" s="7">
        <f t="shared" si="1"/>
        <v>216.78417327287144</v>
      </c>
    </row>
    <row r="15" spans="1:14" x14ac:dyDescent="0.25">
      <c r="B15">
        <v>13</v>
      </c>
      <c r="C15" s="58">
        <f t="shared" si="2"/>
        <v>181.22340647548359</v>
      </c>
      <c r="D15" s="33">
        <f t="shared" si="3"/>
        <v>0.73697518633363324</v>
      </c>
      <c r="E15" s="33"/>
      <c r="F15" s="33"/>
      <c r="G15" s="34">
        <f>facts!$B$6/facts!$B$7</f>
        <v>11.3</v>
      </c>
      <c r="H15" s="34"/>
      <c r="I15" s="7">
        <f t="shared" si="0"/>
        <v>170.66038166181721</v>
      </c>
      <c r="J15" s="63">
        <f t="shared" si="4"/>
        <v>216.78417327287144</v>
      </c>
      <c r="K15" s="7">
        <f t="shared" si="1"/>
        <v>206.22114845920507</v>
      </c>
    </row>
    <row r="16" spans="1:14" x14ac:dyDescent="0.25">
      <c r="A16" s="59"/>
      <c r="B16">
        <v>14</v>
      </c>
      <c r="C16" s="58">
        <f t="shared" si="2"/>
        <v>170.66038166181721</v>
      </c>
      <c r="D16" s="33">
        <f t="shared" si="3"/>
        <v>0.69401888542472345</v>
      </c>
      <c r="E16" s="33"/>
      <c r="F16" s="33"/>
      <c r="G16" s="34">
        <f>facts!$B$6/facts!$B$7</f>
        <v>11.3</v>
      </c>
      <c r="H16" s="54"/>
      <c r="I16" s="7">
        <f t="shared" si="0"/>
        <v>160.05440054724193</v>
      </c>
      <c r="J16" s="63">
        <f t="shared" si="4"/>
        <v>206.22114845920507</v>
      </c>
      <c r="K16" s="7">
        <f t="shared" si="1"/>
        <v>195.61516734462978</v>
      </c>
    </row>
    <row r="17" spans="1:11" x14ac:dyDescent="0.25">
      <c r="A17" s="59"/>
      <c r="B17">
        <v>15</v>
      </c>
      <c r="C17" s="58">
        <f t="shared" si="2"/>
        <v>160.05440054724193</v>
      </c>
      <c r="D17" s="33">
        <f t="shared" si="3"/>
        <v>0.6508878955587839</v>
      </c>
      <c r="E17" s="33"/>
      <c r="F17" s="33"/>
      <c r="G17" s="34">
        <f>facts!$B$6/facts!$B$7</f>
        <v>11.3</v>
      </c>
      <c r="H17" s="54"/>
      <c r="I17" s="7">
        <f t="shared" si="0"/>
        <v>149.4052884428007</v>
      </c>
      <c r="J17" s="63">
        <f t="shared" si="4"/>
        <v>195.61516734462978</v>
      </c>
      <c r="K17" s="7">
        <f t="shared" si="1"/>
        <v>184.96605524018855</v>
      </c>
    </row>
    <row r="18" spans="1:11" x14ac:dyDescent="0.25">
      <c r="A18" s="59"/>
      <c r="B18">
        <v>16</v>
      </c>
      <c r="C18" s="58">
        <f t="shared" si="2"/>
        <v>149.4052884428007</v>
      </c>
      <c r="D18" s="33">
        <f t="shared" si="3"/>
        <v>0.60758150633405628</v>
      </c>
      <c r="E18" s="33"/>
      <c r="F18" s="33"/>
      <c r="G18" s="34">
        <f>facts!$B$6/facts!$B$7</f>
        <v>11.3</v>
      </c>
      <c r="H18" s="54"/>
      <c r="I18" s="7">
        <f t="shared" si="0"/>
        <v>138.71286994913473</v>
      </c>
      <c r="J18" s="63">
        <f t="shared" si="4"/>
        <v>184.96605524018855</v>
      </c>
      <c r="K18" s="7">
        <f t="shared" si="1"/>
        <v>174.27363674652258</v>
      </c>
    </row>
    <row r="19" spans="1:11" x14ac:dyDescent="0.25">
      <c r="A19" s="59"/>
      <c r="B19">
        <v>17</v>
      </c>
      <c r="C19" s="58">
        <f t="shared" si="2"/>
        <v>138.71286994913473</v>
      </c>
      <c r="D19" s="33">
        <f t="shared" si="3"/>
        <v>0.56409900445981453</v>
      </c>
      <c r="E19" s="33"/>
      <c r="F19" s="33"/>
      <c r="G19" s="34">
        <f>facts!$B$6/facts!$B$7</f>
        <v>11.3</v>
      </c>
      <c r="H19" s="54"/>
      <c r="I19" s="7">
        <f t="shared" si="0"/>
        <v>127.97696895359455</v>
      </c>
      <c r="J19" s="63">
        <f t="shared" si="4"/>
        <v>174.27363674652258</v>
      </c>
      <c r="K19" s="7">
        <f t="shared" si="1"/>
        <v>163.53773575098239</v>
      </c>
    </row>
    <row r="20" spans="1:11" x14ac:dyDescent="0.25">
      <c r="A20" s="59">
        <v>36130</v>
      </c>
      <c r="B20">
        <v>18</v>
      </c>
      <c r="C20" s="58">
        <f t="shared" si="2"/>
        <v>127.97696895359455</v>
      </c>
      <c r="D20" s="33">
        <f t="shared" si="3"/>
        <v>0.52043967374461786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127.38234789372572</v>
      </c>
      <c r="J20" s="63">
        <f t="shared" si="4"/>
        <v>163.53773575098239</v>
      </c>
      <c r="K20" s="7">
        <f t="shared" si="1"/>
        <v>142.51311469111357</v>
      </c>
    </row>
    <row r="21" spans="1:11" x14ac:dyDescent="0.25">
      <c r="A21" s="59"/>
      <c r="B21">
        <v>19</v>
      </c>
      <c r="C21" s="58">
        <f t="shared" si="2"/>
        <v>127.38234789372572</v>
      </c>
      <c r="D21" s="33">
        <f t="shared" si="3"/>
        <v>0.51802154810115131</v>
      </c>
      <c r="E21" s="33"/>
      <c r="F21" s="33"/>
      <c r="G21" s="34">
        <f>facts!$B$6/facts!$B$7</f>
        <v>11.3</v>
      </c>
      <c r="H21" s="54"/>
      <c r="I21" s="7">
        <f t="shared" si="0"/>
        <v>116.60036944182687</v>
      </c>
      <c r="J21" s="63">
        <f t="shared" si="4"/>
        <v>142.51311469111357</v>
      </c>
      <c r="K21" s="7">
        <f t="shared" si="1"/>
        <v>131.73113623921472</v>
      </c>
    </row>
    <row r="22" spans="1:11" x14ac:dyDescent="0.25">
      <c r="A22" s="59"/>
      <c r="B22">
        <v>20</v>
      </c>
      <c r="C22" s="58">
        <f t="shared" si="2"/>
        <v>116.60036944182687</v>
      </c>
      <c r="D22" s="33">
        <f t="shared" si="3"/>
        <v>0.47417483573009594</v>
      </c>
      <c r="E22" s="33"/>
      <c r="F22" s="33"/>
      <c r="G22" s="34">
        <f>facts!$B$6/facts!$B$7</f>
        <v>11.3</v>
      </c>
      <c r="H22" s="54"/>
      <c r="I22" s="7">
        <f t="shared" si="0"/>
        <v>105.77454427755697</v>
      </c>
      <c r="J22" s="63">
        <f t="shared" si="4"/>
        <v>131.73113623921472</v>
      </c>
      <c r="K22" s="7">
        <f t="shared" si="1"/>
        <v>120.90531107494481</v>
      </c>
    </row>
    <row r="23" spans="1:11" x14ac:dyDescent="0.25">
      <c r="A23" s="59"/>
      <c r="B23">
        <v>21</v>
      </c>
      <c r="C23" s="58">
        <f t="shared" si="2"/>
        <v>105.77454427755697</v>
      </c>
      <c r="D23" s="33">
        <f t="shared" si="3"/>
        <v>0.43014981339539832</v>
      </c>
      <c r="E23" s="33"/>
      <c r="F23" s="33"/>
      <c r="G23" s="34">
        <f>facts!$B$6/facts!$B$7</f>
        <v>11.3</v>
      </c>
      <c r="H23" s="54"/>
      <c r="I23" s="7">
        <f t="shared" si="0"/>
        <v>94.904694090952376</v>
      </c>
      <c r="J23" s="63">
        <f t="shared" si="4"/>
        <v>120.90531107494481</v>
      </c>
      <c r="K23" s="7">
        <f t="shared" si="1"/>
        <v>110.03546088834021</v>
      </c>
    </row>
    <row r="24" spans="1:11" x14ac:dyDescent="0.25">
      <c r="A24" s="59"/>
      <c r="B24">
        <v>22</v>
      </c>
      <c r="C24" s="58">
        <f t="shared" si="2"/>
        <v>94.904694090952376</v>
      </c>
      <c r="D24" s="33">
        <f t="shared" si="3"/>
        <v>0.38594575596987307</v>
      </c>
      <c r="E24" s="33"/>
      <c r="F24" s="33"/>
      <c r="G24" s="34">
        <f>facts!$B$6/facts!$B$7</f>
        <v>11.3</v>
      </c>
      <c r="H24" s="54"/>
      <c r="I24" s="7">
        <f t="shared" si="0"/>
        <v>83.990639846922249</v>
      </c>
      <c r="J24" s="63">
        <f t="shared" si="4"/>
        <v>110.03546088834021</v>
      </c>
      <c r="K24" s="7">
        <f t="shared" si="1"/>
        <v>99.121406644310085</v>
      </c>
    </row>
    <row r="25" spans="1:11" x14ac:dyDescent="0.25">
      <c r="A25" s="59"/>
      <c r="B25">
        <v>23</v>
      </c>
      <c r="C25" s="58">
        <f t="shared" si="2"/>
        <v>83.990639846922249</v>
      </c>
      <c r="D25" s="33">
        <f t="shared" si="3"/>
        <v>0.34156193537748386</v>
      </c>
      <c r="E25" s="33"/>
      <c r="F25" s="33"/>
      <c r="G25" s="34">
        <f>facts!$B$6/facts!$B$7</f>
        <v>11.3</v>
      </c>
      <c r="H25" s="54"/>
      <c r="I25" s="7">
        <f t="shared" si="0"/>
        <v>73.032201782299737</v>
      </c>
      <c r="J25" s="63">
        <f t="shared" si="4"/>
        <v>99.121406644310085</v>
      </c>
      <c r="K25" s="7">
        <f t="shared" si="1"/>
        <v>88.162968579687572</v>
      </c>
    </row>
    <row r="26" spans="1:11" x14ac:dyDescent="0.25">
      <c r="A26" s="59">
        <v>36312</v>
      </c>
      <c r="B26">
        <v>24</v>
      </c>
      <c r="C26" s="58">
        <f t="shared" si="2"/>
        <v>73.032201782299737</v>
      </c>
      <c r="D26" s="33">
        <f t="shared" si="3"/>
        <v>0.29699762058135232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52.134138669267656</v>
      </c>
      <c r="J26" s="63">
        <f t="shared" si="4"/>
        <v>88.162968579687572</v>
      </c>
      <c r="K26" s="7">
        <f t="shared" si="1"/>
        <v>67.264905466655492</v>
      </c>
    </row>
    <row r="27" spans="1:11" x14ac:dyDescent="0.25">
      <c r="B27">
        <v>25</v>
      </c>
      <c r="C27" s="58">
        <f t="shared" si="2"/>
        <v>52.134138669267656</v>
      </c>
      <c r="D27" s="33">
        <f t="shared" si="3"/>
        <v>0.21201216392168851</v>
      </c>
      <c r="E27" s="33"/>
      <c r="F27" s="33"/>
      <c r="G27" s="34">
        <f>facts!$B$6/facts!$B$7</f>
        <v>11.3</v>
      </c>
      <c r="H27" s="34"/>
      <c r="I27" s="7">
        <f t="shared" si="0"/>
        <v>41.046150833189344</v>
      </c>
      <c r="J27" s="63">
        <f t="shared" si="4"/>
        <v>67.264905466655492</v>
      </c>
      <c r="K27" s="7">
        <f t="shared" si="1"/>
        <v>56.176917630577179</v>
      </c>
    </row>
    <row r="28" spans="1:11" x14ac:dyDescent="0.25">
      <c r="A28" s="59"/>
      <c r="B28">
        <v>26</v>
      </c>
      <c r="C28" s="58">
        <f t="shared" si="2"/>
        <v>41.046150833189344</v>
      </c>
      <c r="D28" s="33">
        <f t="shared" si="3"/>
        <v>0.16692101338830334</v>
      </c>
      <c r="E28" s="33"/>
      <c r="F28" s="33"/>
      <c r="G28" s="34">
        <f>facts!$B$6/facts!$B$7</f>
        <v>11.3</v>
      </c>
      <c r="H28" s="54"/>
      <c r="I28" s="7">
        <f t="shared" si="0"/>
        <v>29.913071846577648</v>
      </c>
      <c r="J28" s="63">
        <f t="shared" si="4"/>
        <v>56.176917630577179</v>
      </c>
      <c r="K28" s="7">
        <f t="shared" si="1"/>
        <v>45.043838643965486</v>
      </c>
    </row>
    <row r="29" spans="1:11" x14ac:dyDescent="0.25">
      <c r="A29" s="59"/>
      <c r="B29">
        <v>27</v>
      </c>
      <c r="C29" s="58">
        <f t="shared" si="2"/>
        <v>29.913071846577648</v>
      </c>
      <c r="D29" s="33">
        <f t="shared" si="3"/>
        <v>0.12164649217608244</v>
      </c>
      <c r="E29" s="33"/>
      <c r="F29" s="33"/>
      <c r="G29" s="34">
        <f>facts!$B$6/facts!$B$7</f>
        <v>11.3</v>
      </c>
      <c r="H29" s="54"/>
      <c r="I29" s="7">
        <f t="shared" si="0"/>
        <v>18.73471833875373</v>
      </c>
      <c r="J29" s="63">
        <f t="shared" si="4"/>
        <v>45.043838643965486</v>
      </c>
      <c r="K29" s="7">
        <f t="shared" si="1"/>
        <v>33.865485136141572</v>
      </c>
    </row>
    <row r="30" spans="1:11" x14ac:dyDescent="0.25">
      <c r="A30" s="59"/>
      <c r="B30">
        <v>28</v>
      </c>
      <c r="C30" s="58">
        <f t="shared" si="2"/>
        <v>18.73471833875373</v>
      </c>
      <c r="D30" s="33">
        <f t="shared" si="3"/>
        <v>7.618785457759851E-2</v>
      </c>
      <c r="E30" s="33"/>
      <c r="F30" s="33"/>
      <c r="G30" s="34">
        <f>facts!$B$6/facts!$B$7</f>
        <v>11.3</v>
      </c>
      <c r="H30" s="54"/>
      <c r="I30" s="7">
        <f t="shared" si="0"/>
        <v>7.5109061933313264</v>
      </c>
      <c r="J30" s="63">
        <f t="shared" si="4"/>
        <v>33.865485136141572</v>
      </c>
      <c r="K30" s="7">
        <f t="shared" si="1"/>
        <v>22.641672990719169</v>
      </c>
    </row>
    <row r="31" spans="1:11" x14ac:dyDescent="0.25">
      <c r="A31" s="59"/>
      <c r="B31">
        <v>29</v>
      </c>
      <c r="C31" s="58">
        <f t="shared" si="2"/>
        <v>7.5109061933313264</v>
      </c>
      <c r="D31" s="33">
        <f t="shared" si="3"/>
        <v>3.0544351852880732E-2</v>
      </c>
      <c r="E31" s="33"/>
      <c r="F31" s="33"/>
      <c r="G31" s="34">
        <f>facts!$B$6/facts!$B$7</f>
        <v>11.3</v>
      </c>
      <c r="H31" s="54"/>
      <c r="I31" s="7">
        <f t="shared" si="0"/>
        <v>-3.7585494548157934</v>
      </c>
      <c r="J31" s="63">
        <f t="shared" si="4"/>
        <v>22.641672990719169</v>
      </c>
      <c r="K31" s="7">
        <f t="shared" si="1"/>
        <v>11.37221734257205</v>
      </c>
    </row>
    <row r="32" spans="1:11" x14ac:dyDescent="0.25">
      <c r="A32" s="59">
        <v>36495</v>
      </c>
      <c r="B32">
        <v>30</v>
      </c>
      <c r="C32" s="58">
        <f t="shared" si="2"/>
        <v>-3.7585494548157934</v>
      </c>
      <c r="D32" s="33">
        <f t="shared" si="3"/>
        <v>-1.5284767782917562E-2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-0.25356695621213632</v>
      </c>
      <c r="J32" s="63">
        <f t="shared" si="4"/>
        <v>11.37221734257205</v>
      </c>
      <c r="K32" s="7">
        <f t="shared" si="1"/>
        <v>-9.8381281588242935</v>
      </c>
    </row>
    <row r="33" spans="1:11" x14ac:dyDescent="0.25">
      <c r="A33" s="59">
        <v>36678</v>
      </c>
      <c r="B33">
        <v>36</v>
      </c>
      <c r="C33" s="58">
        <f t="shared" si="2"/>
        <v>-0.25356695621213632</v>
      </c>
      <c r="D33" s="33">
        <f t="shared" ref="D33:D70" si="5">C33*DiscRate/2</f>
        <v>-6.1870337315761267E-3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-10.154814723557138</v>
      </c>
      <c r="J33" s="63">
        <f t="shared" si="4"/>
        <v>-9.8381281588242935</v>
      </c>
      <c r="K33" s="7">
        <f t="shared" si="1"/>
        <v>-19.739375926169295</v>
      </c>
    </row>
    <row r="34" spans="1:11" x14ac:dyDescent="0.25">
      <c r="A34" s="59">
        <v>36861</v>
      </c>
      <c r="B34">
        <v>42</v>
      </c>
      <c r="C34" s="58">
        <f t="shared" si="2"/>
        <v>-10.154814723557138</v>
      </c>
      <c r="D34" s="33">
        <f t="shared" si="5"/>
        <v>-0.24777747925479418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4.7936600635746434</v>
      </c>
      <c r="J34" s="63">
        <f t="shared" si="4"/>
        <v>-19.739375926169295</v>
      </c>
      <c r="K34" s="7">
        <f t="shared" si="1"/>
        <v>-29.882214139037512</v>
      </c>
    </row>
    <row r="35" spans="1:11" x14ac:dyDescent="0.25">
      <c r="A35" s="59">
        <f t="shared" ref="A35:A70" si="6">A34+366/2</f>
        <v>37044</v>
      </c>
      <c r="B35">
        <v>48</v>
      </c>
      <c r="C35" s="58">
        <f t="shared" si="2"/>
        <v>4.7936600635746434</v>
      </c>
      <c r="D35" s="33">
        <f t="shared" si="5"/>
        <v>0.11696530555122131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-4.9844353644875605</v>
      </c>
      <c r="J35" s="63">
        <f t="shared" si="4"/>
        <v>-29.882214139037512</v>
      </c>
      <c r="K35" s="7">
        <f t="shared" ref="K35:K66" si="8">J35+D35+F35-G35-H35</f>
        <v>-39.660309567099716</v>
      </c>
    </row>
    <row r="36" spans="1:11" x14ac:dyDescent="0.25">
      <c r="A36" s="59">
        <f t="shared" si="6"/>
        <v>37227</v>
      </c>
      <c r="B36">
        <v>54</v>
      </c>
      <c r="C36" s="58">
        <f t="shared" ref="C36:C70" si="9">I35</f>
        <v>-4.9844353644875605</v>
      </c>
      <c r="D36" s="33">
        <f t="shared" si="5"/>
        <v>-0.12162022289349649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10.48769367900552</v>
      </c>
      <c r="J36" s="63">
        <f t="shared" ref="J36:J70" si="10">K35</f>
        <v>-39.660309567099716</v>
      </c>
      <c r="K36" s="7">
        <f t="shared" si="8"/>
        <v>-49.676990523606634</v>
      </c>
    </row>
    <row r="37" spans="1:11" x14ac:dyDescent="0.25">
      <c r="A37" s="59">
        <f t="shared" si="6"/>
        <v>37410</v>
      </c>
      <c r="B37">
        <v>60</v>
      </c>
      <c r="C37" s="58">
        <f t="shared" si="9"/>
        <v>10.48769367900552</v>
      </c>
      <c r="D37" s="33">
        <f t="shared" si="5"/>
        <v>0.25589972576773473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0.84853267115983044</v>
      </c>
      <c r="J37" s="63">
        <f t="shared" si="10"/>
        <v>-49.676990523606634</v>
      </c>
      <c r="K37" s="7">
        <f t="shared" si="8"/>
        <v>-59.31615153145232</v>
      </c>
    </row>
    <row r="38" spans="1:11" x14ac:dyDescent="0.25">
      <c r="A38" s="59">
        <f t="shared" si="6"/>
        <v>37593</v>
      </c>
      <c r="B38">
        <v>66</v>
      </c>
      <c r="C38" s="58">
        <f t="shared" si="9"/>
        <v>0.84853267115983044</v>
      </c>
      <c r="D38" s="33">
        <f t="shared" si="5"/>
        <v>2.0704197176299864E-2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17.218441134722706</v>
      </c>
      <c r="J38" s="63">
        <f t="shared" si="10"/>
        <v>-59.31615153145232</v>
      </c>
      <c r="K38" s="7">
        <f t="shared" si="8"/>
        <v>-69.190508067889439</v>
      </c>
    </row>
    <row r="39" spans="1:11" x14ac:dyDescent="0.25">
      <c r="A39" s="59">
        <f t="shared" si="6"/>
        <v>37776</v>
      </c>
      <c r="B39">
        <v>72</v>
      </c>
      <c r="C39" s="58">
        <f t="shared" si="9"/>
        <v>17.218441134722706</v>
      </c>
      <c r="D39" s="33">
        <f t="shared" si="5"/>
        <v>0.42012996368723404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7.7435103647965171</v>
      </c>
      <c r="J39" s="63">
        <f t="shared" si="10"/>
        <v>-69.190508067889439</v>
      </c>
      <c r="K39" s="7">
        <f t="shared" si="8"/>
        <v>-78.665438837815643</v>
      </c>
    </row>
    <row r="40" spans="1:11" x14ac:dyDescent="0.25">
      <c r="A40" s="59">
        <f t="shared" si="6"/>
        <v>37959</v>
      </c>
      <c r="B40">
        <v>78</v>
      </c>
      <c r="C40" s="58">
        <f t="shared" si="9"/>
        <v>7.7435103647965171</v>
      </c>
      <c r="D40" s="33">
        <f t="shared" si="5"/>
        <v>0.18894165290103504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25.353875284084129</v>
      </c>
      <c r="J40" s="63">
        <f t="shared" si="10"/>
        <v>-78.665438837815643</v>
      </c>
      <c r="K40" s="7">
        <f t="shared" si="8"/>
        <v>-88.37155791852804</v>
      </c>
    </row>
    <row r="41" spans="1:11" x14ac:dyDescent="0.25">
      <c r="A41" s="59">
        <f t="shared" si="6"/>
        <v>38142</v>
      </c>
      <c r="B41">
        <v>84</v>
      </c>
      <c r="C41" s="58">
        <f t="shared" si="9"/>
        <v>25.353875284084129</v>
      </c>
      <c r="D41" s="33">
        <f t="shared" si="5"/>
        <v>0.61863455693165281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16.077449107402359</v>
      </c>
      <c r="J41" s="63">
        <f t="shared" si="10"/>
        <v>-88.37155791852804</v>
      </c>
      <c r="K41" s="7">
        <f t="shared" si="8"/>
        <v>-97.647984095209821</v>
      </c>
    </row>
    <row r="42" spans="1:11" x14ac:dyDescent="0.25">
      <c r="A42" s="59">
        <f t="shared" si="6"/>
        <v>38325</v>
      </c>
      <c r="B42">
        <v>90</v>
      </c>
      <c r="C42" s="58">
        <f t="shared" si="9"/>
        <v>16.077449107402359</v>
      </c>
      <c r="D42" s="33">
        <f t="shared" si="5"/>
        <v>0.39228975822061757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35.007190132009555</v>
      </c>
      <c r="J42" s="63">
        <f t="shared" si="10"/>
        <v>-97.647984095209821</v>
      </c>
      <c r="K42" s="7">
        <f t="shared" si="8"/>
        <v>-107.15075507060264</v>
      </c>
    </row>
    <row r="43" spans="1:11" x14ac:dyDescent="0.25">
      <c r="A43" s="59">
        <f t="shared" si="6"/>
        <v>38508</v>
      </c>
      <c r="B43">
        <v>96</v>
      </c>
      <c r="C43" s="58">
        <f t="shared" si="9"/>
        <v>35.007190132009555</v>
      </c>
      <c r="D43" s="33">
        <f t="shared" si="5"/>
        <v>0.85417543922103323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25.966304837617162</v>
      </c>
      <c r="J43" s="63">
        <f t="shared" si="10"/>
        <v>-107.15075507060264</v>
      </c>
      <c r="K43" s="7">
        <f t="shared" si="8"/>
        <v>-116.19164036499504</v>
      </c>
    </row>
    <row r="44" spans="1:11" x14ac:dyDescent="0.25">
      <c r="A44" s="59">
        <f t="shared" si="6"/>
        <v>38691</v>
      </c>
      <c r="B44">
        <v>102</v>
      </c>
      <c r="C44" s="58">
        <f t="shared" si="9"/>
        <v>25.966304837617162</v>
      </c>
      <c r="D44" s="33">
        <f t="shared" si="5"/>
        <v>0.63357783803785883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46.298960942041603</v>
      </c>
      <c r="J44" s="63">
        <f t="shared" si="10"/>
        <v>-116.19164036499504</v>
      </c>
      <c r="K44" s="7">
        <f t="shared" si="8"/>
        <v>-125.45312326057061</v>
      </c>
    </row>
    <row r="45" spans="1:11" x14ac:dyDescent="0.25">
      <c r="A45" s="59">
        <f t="shared" si="6"/>
        <v>38874</v>
      </c>
      <c r="B45">
        <v>108</v>
      </c>
      <c r="C45" s="58">
        <f t="shared" si="9"/>
        <v>46.298960942041603</v>
      </c>
      <c r="D45" s="33">
        <f t="shared" si="5"/>
        <v>1.1296946469858151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37.533594855413995</v>
      </c>
      <c r="J45" s="63">
        <f t="shared" si="10"/>
        <v>-125.45312326057061</v>
      </c>
      <c r="K45" s="7">
        <f t="shared" si="8"/>
        <v>-134.21848934719822</v>
      </c>
    </row>
    <row r="46" spans="1:11" x14ac:dyDescent="0.25">
      <c r="A46" s="59">
        <f t="shared" si="6"/>
        <v>39057</v>
      </c>
      <c r="B46">
        <v>114</v>
      </c>
      <c r="C46" s="58">
        <f t="shared" si="9"/>
        <v>37.533594855413995</v>
      </c>
      <c r="D46" s="33">
        <f t="shared" si="5"/>
        <v>0.91581971447210153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59.357582836272655</v>
      </c>
      <c r="J46" s="63">
        <f t="shared" si="10"/>
        <v>-134.21848934719822</v>
      </c>
      <c r="K46" s="7">
        <f t="shared" si="8"/>
        <v>-143.19773036633956</v>
      </c>
    </row>
    <row r="47" spans="1:11" x14ac:dyDescent="0.25">
      <c r="A47" s="59">
        <f t="shared" si="6"/>
        <v>39240</v>
      </c>
      <c r="B47">
        <v>120</v>
      </c>
      <c r="C47" s="58">
        <f t="shared" si="9"/>
        <v>59.357582836272655</v>
      </c>
      <c r="D47" s="33">
        <f t="shared" si="5"/>
        <v>1.4483250212050529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50.910847123864286</v>
      </c>
      <c r="J47" s="63">
        <f t="shared" si="10"/>
        <v>-143.19773036633956</v>
      </c>
      <c r="K47" s="7">
        <f t="shared" si="8"/>
        <v>-151.64446607874794</v>
      </c>
    </row>
    <row r="48" spans="1:11" x14ac:dyDescent="0.25">
      <c r="A48" s="59">
        <f t="shared" si="6"/>
        <v>39423</v>
      </c>
      <c r="B48">
        <v>126</v>
      </c>
      <c r="C48" s="58">
        <f t="shared" si="9"/>
        <v>50.910847123864286</v>
      </c>
      <c r="D48" s="33">
        <f t="shared" si="5"/>
        <v>1.2422246698222887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74.319731060073138</v>
      </c>
      <c r="J48" s="63">
        <f t="shared" si="10"/>
        <v>-151.64446607874794</v>
      </c>
      <c r="K48" s="7">
        <f t="shared" si="8"/>
        <v>-160.29730214253908</v>
      </c>
    </row>
    <row r="49" spans="1:11" x14ac:dyDescent="0.25">
      <c r="A49" s="59">
        <f t="shared" si="6"/>
        <v>39606</v>
      </c>
      <c r="B49">
        <v>132</v>
      </c>
      <c r="C49" s="58">
        <f t="shared" si="9"/>
        <v>74.319731060073138</v>
      </c>
      <c r="D49" s="33">
        <f t="shared" si="5"/>
        <v>1.8134014378657848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66.238071764325483</v>
      </c>
      <c r="J49" s="63">
        <f t="shared" si="10"/>
        <v>-160.29730214253908</v>
      </c>
      <c r="K49" s="7">
        <f t="shared" si="8"/>
        <v>-168.37896143828672</v>
      </c>
    </row>
    <row r="50" spans="1:11" x14ac:dyDescent="0.25">
      <c r="A50" s="59">
        <f t="shared" si="6"/>
        <v>39789</v>
      </c>
      <c r="B50">
        <v>138</v>
      </c>
      <c r="C50" s="58">
        <f t="shared" si="9"/>
        <v>66.238071764325483</v>
      </c>
      <c r="D50" s="33">
        <f t="shared" si="5"/>
        <v>1.6162089510495419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91.330852981761595</v>
      </c>
      <c r="J50" s="63">
        <f t="shared" si="10"/>
        <v>-168.37896143828672</v>
      </c>
      <c r="K50" s="7">
        <f t="shared" si="8"/>
        <v>-176.65781322085061</v>
      </c>
    </row>
    <row r="51" spans="1:11" x14ac:dyDescent="0.25">
      <c r="A51" s="59">
        <f t="shared" si="6"/>
        <v>39972</v>
      </c>
      <c r="B51">
        <v>144</v>
      </c>
      <c r="C51" s="58">
        <f t="shared" si="9"/>
        <v>91.330852981761595</v>
      </c>
      <c r="D51" s="33">
        <f t="shared" si="5"/>
        <v>2.2284728127549829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83.664265060903148</v>
      </c>
      <c r="J51" s="63">
        <f t="shared" si="10"/>
        <v>-176.65781322085061</v>
      </c>
      <c r="K51" s="7">
        <f t="shared" si="8"/>
        <v>-184.32440114170907</v>
      </c>
    </row>
    <row r="52" spans="1:11" x14ac:dyDescent="0.25">
      <c r="A52" s="59">
        <f t="shared" si="6"/>
        <v>40155</v>
      </c>
      <c r="B52">
        <v>150</v>
      </c>
      <c r="C52" s="58">
        <f t="shared" si="9"/>
        <v>83.664265060903148</v>
      </c>
      <c r="D52" s="33">
        <f t="shared" si="5"/>
        <v>2.0414080674860369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110.54567839477575</v>
      </c>
      <c r="J52" s="63">
        <f t="shared" si="10"/>
        <v>-184.32440114170907</v>
      </c>
      <c r="K52" s="7">
        <f t="shared" si="8"/>
        <v>-192.17805380783648</v>
      </c>
    </row>
    <row r="53" spans="1:11" x14ac:dyDescent="0.25">
      <c r="A53" s="59">
        <f t="shared" si="6"/>
        <v>40338</v>
      </c>
      <c r="B53">
        <v>156</v>
      </c>
      <c r="C53" s="58">
        <f t="shared" si="9"/>
        <v>110.54567839477575</v>
      </c>
      <c r="D53" s="33">
        <f t="shared" si="5"/>
        <v>2.6973145528325286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103.34793221399484</v>
      </c>
      <c r="J53" s="63">
        <f t="shared" si="10"/>
        <v>-192.17805380783648</v>
      </c>
      <c r="K53" s="7">
        <f t="shared" si="8"/>
        <v>-199.37579998861739</v>
      </c>
    </row>
    <row r="54" spans="1:11" x14ac:dyDescent="0.25">
      <c r="A54" s="59">
        <f t="shared" si="6"/>
        <v>40521</v>
      </c>
      <c r="B54">
        <v>162</v>
      </c>
      <c r="C54" s="58">
        <f t="shared" si="9"/>
        <v>103.34793221399484</v>
      </c>
      <c r="D54" s="33">
        <f t="shared" si="5"/>
        <v>2.5216895460214741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132.12877002640289</v>
      </c>
      <c r="J54" s="63">
        <f t="shared" si="10"/>
        <v>-199.37579998861739</v>
      </c>
      <c r="K54" s="7">
        <f t="shared" si="8"/>
        <v>-206.74917117620936</v>
      </c>
    </row>
    <row r="55" spans="1:11" x14ac:dyDescent="0.25">
      <c r="A55" s="59">
        <f t="shared" si="6"/>
        <v>40704</v>
      </c>
      <c r="B55">
        <v>168</v>
      </c>
      <c r="C55" s="58">
        <f t="shared" si="9"/>
        <v>132.12877002640289</v>
      </c>
      <c r="D55" s="33">
        <f t="shared" si="5"/>
        <v>3.2239419886442309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125.4576512814337</v>
      </c>
      <c r="J55" s="63">
        <f t="shared" si="10"/>
        <v>-206.74917117620936</v>
      </c>
      <c r="K55" s="7">
        <f t="shared" si="8"/>
        <v>-213.42028992117855</v>
      </c>
    </row>
    <row r="56" spans="1:11" x14ac:dyDescent="0.25">
      <c r="A56" s="59">
        <f t="shared" si="6"/>
        <v>40887</v>
      </c>
      <c r="B56">
        <v>174</v>
      </c>
      <c r="C56" s="58">
        <f t="shared" si="9"/>
        <v>125.4576512814337</v>
      </c>
      <c r="D56" s="33">
        <f t="shared" si="5"/>
        <v>3.0611666912669824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156.25509323908724</v>
      </c>
      <c r="J56" s="63">
        <f t="shared" si="10"/>
        <v>-213.42028992117855</v>
      </c>
      <c r="K56" s="7">
        <f t="shared" si="8"/>
        <v>-220.25418396352501</v>
      </c>
    </row>
    <row r="57" spans="1:11" x14ac:dyDescent="0.25">
      <c r="A57" s="59">
        <f t="shared" si="6"/>
        <v>41070</v>
      </c>
      <c r="B57">
        <v>180</v>
      </c>
      <c r="C57" s="58">
        <f t="shared" si="9"/>
        <v>156.25509323908724</v>
      </c>
      <c r="D57" s="33">
        <f t="shared" si="5"/>
        <v>3.8126242750337291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150.17265678050754</v>
      </c>
      <c r="J57" s="63">
        <f t="shared" si="10"/>
        <v>-220.25418396352501</v>
      </c>
      <c r="K57" s="7">
        <f t="shared" si="8"/>
        <v>-226.33662042210472</v>
      </c>
    </row>
    <row r="58" spans="1:11" x14ac:dyDescent="0.25">
      <c r="A58" s="59">
        <f t="shared" si="6"/>
        <v>41253</v>
      </c>
      <c r="B58">
        <v>186</v>
      </c>
      <c r="C58" s="58">
        <f t="shared" si="9"/>
        <v>150.17265678050754</v>
      </c>
      <c r="D58" s="33">
        <f t="shared" si="5"/>
        <v>3.664212825444384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183.11062687233851</v>
      </c>
      <c r="J58" s="63">
        <f t="shared" si="10"/>
        <v>-226.33662042210472</v>
      </c>
      <c r="K58" s="7">
        <f t="shared" si="8"/>
        <v>-232.56746833027375</v>
      </c>
    </row>
    <row r="59" spans="1:11" x14ac:dyDescent="0.25">
      <c r="A59" s="59">
        <f t="shared" si="6"/>
        <v>41436</v>
      </c>
      <c r="B59">
        <v>192</v>
      </c>
      <c r="C59" s="58">
        <f t="shared" si="9"/>
        <v>183.11062687233851</v>
      </c>
      <c r="D59" s="33">
        <f t="shared" si="5"/>
        <v>4.4678992956850596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177.68346543441015</v>
      </c>
      <c r="J59" s="63">
        <f t="shared" si="10"/>
        <v>-232.56746833027375</v>
      </c>
      <c r="K59" s="7">
        <f t="shared" si="8"/>
        <v>-237.99462976820212</v>
      </c>
    </row>
    <row r="60" spans="1:11" x14ac:dyDescent="0.25">
      <c r="A60" s="59">
        <f t="shared" si="6"/>
        <v>41619</v>
      </c>
      <c r="B60">
        <v>198</v>
      </c>
      <c r="C60" s="58">
        <f t="shared" si="9"/>
        <v>177.68346543441015</v>
      </c>
      <c r="D60" s="33">
        <f t="shared" si="5"/>
        <v>4.3354765565996081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212.89300225739635</v>
      </c>
      <c r="J60" s="63">
        <f t="shared" si="10"/>
        <v>-237.99462976820212</v>
      </c>
      <c r="K60" s="7">
        <f t="shared" si="8"/>
        <v>-243.55421394521593</v>
      </c>
    </row>
    <row r="61" spans="1:11" x14ac:dyDescent="0.25">
      <c r="A61" s="59">
        <f t="shared" si="6"/>
        <v>41802</v>
      </c>
      <c r="B61">
        <v>204</v>
      </c>
      <c r="C61" s="58">
        <f t="shared" si="9"/>
        <v>212.89300225739635</v>
      </c>
      <c r="D61" s="33">
        <f t="shared" si="5"/>
        <v>5.1945892550804711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208.19253077886339</v>
      </c>
      <c r="J61" s="63">
        <f t="shared" si="10"/>
        <v>-243.55421394521593</v>
      </c>
      <c r="K61" s="7">
        <f t="shared" si="8"/>
        <v>-248.2546854237489</v>
      </c>
    </row>
    <row r="62" spans="1:11" x14ac:dyDescent="0.25">
      <c r="A62" s="59">
        <f t="shared" si="6"/>
        <v>41985</v>
      </c>
      <c r="B62">
        <v>210</v>
      </c>
      <c r="C62" s="58">
        <f t="shared" si="9"/>
        <v>208.19253077886339</v>
      </c>
      <c r="D62" s="33">
        <f t="shared" si="5"/>
        <v>5.0798977510042667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245.81217879625424</v>
      </c>
      <c r="J62" s="63">
        <f t="shared" si="10"/>
        <v>-248.2546854237489</v>
      </c>
      <c r="K62" s="7">
        <f t="shared" si="8"/>
        <v>-253.06984840635806</v>
      </c>
    </row>
    <row r="63" spans="1:11" x14ac:dyDescent="0.25">
      <c r="A63" s="59">
        <f t="shared" si="6"/>
        <v>42168</v>
      </c>
      <c r="B63">
        <v>216</v>
      </c>
      <c r="C63" s="58">
        <f t="shared" si="9"/>
        <v>245.81217879625424</v>
      </c>
      <c r="D63" s="33">
        <f t="shared" si="5"/>
        <v>5.9978171626286043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241.9149352252694</v>
      </c>
      <c r="J63" s="63">
        <f t="shared" si="10"/>
        <v>-253.06984840635806</v>
      </c>
      <c r="K63" s="7">
        <f t="shared" si="8"/>
        <v>-256.96709197734287</v>
      </c>
    </row>
    <row r="64" spans="1:11" x14ac:dyDescent="0.25">
      <c r="A64" s="59">
        <f t="shared" si="6"/>
        <v>42351</v>
      </c>
      <c r="B64">
        <v>222</v>
      </c>
      <c r="C64" s="58">
        <f t="shared" si="9"/>
        <v>241.9149352252694</v>
      </c>
      <c r="D64" s="33">
        <f t="shared" si="5"/>
        <v>5.9027244194965736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282.0911599111526</v>
      </c>
      <c r="J64" s="63">
        <f t="shared" si="10"/>
        <v>-256.96709197734287</v>
      </c>
      <c r="K64" s="7">
        <f t="shared" si="8"/>
        <v>-260.95942829145974</v>
      </c>
    </row>
    <row r="65" spans="1:11" x14ac:dyDescent="0.25">
      <c r="A65" s="59">
        <f t="shared" si="6"/>
        <v>42534</v>
      </c>
      <c r="B65">
        <v>228</v>
      </c>
      <c r="C65" s="58">
        <f t="shared" si="9"/>
        <v>282.0911599111526</v>
      </c>
      <c r="D65" s="33">
        <f t="shared" si="5"/>
        <v>6.8830243018321235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279.07912347937133</v>
      </c>
      <c r="J65" s="63">
        <f t="shared" si="10"/>
        <v>-260.95942829145974</v>
      </c>
      <c r="K65" s="7">
        <f t="shared" si="8"/>
        <v>-263.97146472324101</v>
      </c>
    </row>
    <row r="66" spans="1:11" x14ac:dyDescent="0.25">
      <c r="A66" s="59">
        <f t="shared" si="6"/>
        <v>42717</v>
      </c>
      <c r="B66">
        <v>234</v>
      </c>
      <c r="C66" s="58">
        <f t="shared" si="9"/>
        <v>279.07912347937133</v>
      </c>
      <c r="D66" s="33">
        <f t="shared" si="5"/>
        <v>6.8095306128966611</v>
      </c>
      <c r="E66" s="33"/>
      <c r="F66" s="33">
        <v>0.35</v>
      </c>
      <c r="G66" s="33"/>
      <c r="H66" s="34">
        <v>9.31</v>
      </c>
      <c r="I66" s="7">
        <f t="shared" si="7"/>
        <v>276.928654092268</v>
      </c>
      <c r="J66" s="63">
        <f t="shared" si="10"/>
        <v>-263.97146472324101</v>
      </c>
      <c r="K66" s="7">
        <f t="shared" si="8"/>
        <v>-266.12193411034434</v>
      </c>
    </row>
    <row r="67" spans="1:11" x14ac:dyDescent="0.25">
      <c r="A67" s="59">
        <f t="shared" si="6"/>
        <v>42900</v>
      </c>
      <c r="B67">
        <v>240</v>
      </c>
      <c r="C67" s="58">
        <f t="shared" si="9"/>
        <v>276.928654092268</v>
      </c>
      <c r="D67" s="33">
        <f t="shared" si="5"/>
        <v>6.7570591598513401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-42.950588565351154</v>
      </c>
      <c r="J67" s="63">
        <f t="shared" si="10"/>
        <v>-266.12193411034434</v>
      </c>
      <c r="K67" s="7">
        <f>J67+D67+F67-G67-H67</f>
        <v>-586.00117676796344</v>
      </c>
    </row>
    <row r="68" spans="1:11" x14ac:dyDescent="0.25">
      <c r="A68" s="59">
        <f t="shared" si="6"/>
        <v>43083</v>
      </c>
      <c r="B68">
        <v>246</v>
      </c>
      <c r="C68" s="58">
        <f t="shared" si="9"/>
        <v>-42.950588565351154</v>
      </c>
      <c r="D68" s="33">
        <f t="shared" si="5"/>
        <v>-1.0479943609945683</v>
      </c>
      <c r="E68" s="33"/>
      <c r="F68" s="33">
        <v>0.35</v>
      </c>
      <c r="G68" s="34"/>
      <c r="H68" s="54"/>
      <c r="I68" s="7">
        <f>C68+D68+E68+F68-G68-H68</f>
        <v>-43.648582926345718</v>
      </c>
      <c r="J68" s="63">
        <f t="shared" si="10"/>
        <v>-586.00117676796344</v>
      </c>
      <c r="K68" s="7">
        <f>J68+D68+F68-G68-H68</f>
        <v>-586.69917112895803</v>
      </c>
    </row>
    <row r="69" spans="1:11" x14ac:dyDescent="0.25">
      <c r="A69" s="59">
        <f t="shared" si="6"/>
        <v>43266</v>
      </c>
      <c r="B69">
        <v>252</v>
      </c>
      <c r="C69" s="58">
        <f t="shared" si="9"/>
        <v>-43.648582926345718</v>
      </c>
      <c r="D69" s="33">
        <f t="shared" si="5"/>
        <v>-1.0650254234028356</v>
      </c>
      <c r="E69" s="33"/>
      <c r="F69" s="33">
        <v>0.35</v>
      </c>
      <c r="G69" s="34"/>
      <c r="H69" s="54"/>
      <c r="I69" s="7">
        <f>C69+D69+E69+F69-G69-H69</f>
        <v>-44.363608349748553</v>
      </c>
      <c r="J69" s="63">
        <f t="shared" si="10"/>
        <v>-586.69917112895803</v>
      </c>
      <c r="K69" s="7">
        <f>J69+D69+F69-G69-H69</f>
        <v>-587.41419655236086</v>
      </c>
    </row>
    <row r="70" spans="1:11" x14ac:dyDescent="0.25">
      <c r="A70" s="59">
        <f t="shared" si="6"/>
        <v>43449</v>
      </c>
      <c r="B70">
        <v>258</v>
      </c>
      <c r="C70" s="58">
        <f t="shared" si="9"/>
        <v>-44.363608349748553</v>
      </c>
      <c r="D70" s="33">
        <f t="shared" si="5"/>
        <v>-1.0824720437338649</v>
      </c>
      <c r="E70" s="33"/>
      <c r="F70" s="33">
        <v>0.35</v>
      </c>
      <c r="G70" s="34"/>
      <c r="H70" s="54"/>
      <c r="I70" s="7">
        <f>C70+D70+E70+F70-G70-H70</f>
        <v>-45.096080393482417</v>
      </c>
      <c r="J70" s="63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3.2" x14ac:dyDescent="0.25"/>
  <cols>
    <col min="1" max="1" width="3" style="26" bestFit="1" customWidth="1"/>
    <col min="2" max="2" width="6.33203125" style="26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32" t="s">
        <v>57</v>
      </c>
    </row>
    <row r="2" spans="1:11" x14ac:dyDescent="0.25">
      <c r="A2" s="32"/>
      <c r="F2" s="60">
        <f>DiscRate</f>
        <v>4.8800000000000003E-2</v>
      </c>
      <c r="G2" s="60">
        <f>discrate2</f>
        <v>4.6300000000000001E-2</v>
      </c>
      <c r="H2" s="60">
        <f>DiscRate3</f>
        <v>4.3800000000000006E-2</v>
      </c>
      <c r="I2" s="60">
        <f>DiscRate4</f>
        <v>5.1300000000000005E-2</v>
      </c>
      <c r="J2" s="60">
        <f>DiscRate5</f>
        <v>5.3800000000000001E-2</v>
      </c>
      <c r="K2" s="60">
        <f>DiscRate6</f>
        <v>5.6300000000000003E-2</v>
      </c>
    </row>
    <row r="3" spans="1:11" s="19" customFormat="1" x14ac:dyDescent="0.25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5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38442403.682738505</v>
      </c>
      <c r="G4" s="16">
        <f>$E4/POWER(1+discrate2,1+attendance!$A4)</f>
        <v>38626329.565781742</v>
      </c>
      <c r="H4" s="16">
        <f>$E4/POWER(1+DiscRate3,1+attendance!$A4)</f>
        <v>38811578.590629451</v>
      </c>
      <c r="I4" s="16">
        <f>$E4/POWER(1+DiscRate4,1+attendance!$A4)</f>
        <v>38259788.370708056</v>
      </c>
      <c r="J4" s="16">
        <f>$E4/POWER(1+DiscRate5,1+attendance!$A4)</f>
        <v>38078471.207834229</v>
      </c>
      <c r="K4" s="16">
        <f>$E4/POWER(1+DiscRate6,1+attendance!$A4)</f>
        <v>37898439.91908402</v>
      </c>
    </row>
    <row r="5" spans="1:11" x14ac:dyDescent="0.25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34866713.088510886</v>
      </c>
      <c r="G5" s="16">
        <f>$E5/POWER(1+discrate2,1+attendance!$A5)</f>
        <v>35117239.388268702</v>
      </c>
      <c r="H5" s="16">
        <f>$E5/POWER(1+DiscRate3,1+attendance!$A5)</f>
        <v>35370171.575879566</v>
      </c>
      <c r="I5" s="16">
        <f>$E5/POWER(1+DiscRate4,1+attendance!$A5)</f>
        <v>34618564.138526902</v>
      </c>
      <c r="J5" s="16">
        <f>$E5/POWER(1+DiscRate5,1+attendance!$A5)</f>
        <v>34372764.40549013</v>
      </c>
      <c r="K5" s="16">
        <f>$E5/POWER(1+DiscRate6,1+attendance!$A5)</f>
        <v>34129286.155128658</v>
      </c>
    </row>
    <row r="6" spans="1:11" x14ac:dyDescent="0.25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31413920.249892883</v>
      </c>
      <c r="G6" s="16">
        <f>$E6/POWER(1+discrate2,1+attendance!$A6)</f>
        <v>31715236.211068679</v>
      </c>
      <c r="H6" s="16">
        <f>$E6/POWER(1+DiscRate3,1+attendance!$A6)</f>
        <v>32020173.553011324</v>
      </c>
      <c r="I6" s="16">
        <f>$E6/POWER(1+DiscRate4,1+attendance!$A6)</f>
        <v>31116174.183607478</v>
      </c>
      <c r="J6" s="16">
        <f>$E6/POWER(1+DiscRate5,1+attendance!$A6)</f>
        <v>30821947.378298294</v>
      </c>
      <c r="K6" s="16">
        <f>$E6/POWER(1+DiscRate6,1+attendance!$A6)</f>
        <v>30531190.035939626</v>
      </c>
    </row>
    <row r="7" spans="1:11" x14ac:dyDescent="0.25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31141818.169765994</v>
      </c>
      <c r="G7" s="16">
        <f>$E7/POWER(1+discrate2,1+attendance!$A7)</f>
        <v>31515647.293338273</v>
      </c>
      <c r="H7" s="16">
        <f>$E7/POWER(1+DiscRate3,1+attendance!$A7)</f>
        <v>31894874.33914512</v>
      </c>
      <c r="I7" s="16">
        <f>$E7/POWER(1+DiscRate4,1+attendance!$A7)</f>
        <v>30773297.540977444</v>
      </c>
      <c r="J7" s="16">
        <f>$E7/POWER(1+DiscRate5,1+attendance!$A7)</f>
        <v>30409997.668716025</v>
      </c>
      <c r="K7" s="16">
        <f>$E7/POWER(1+DiscRate6,1+attendance!$A7)</f>
        <v>30051832.468108393</v>
      </c>
    </row>
    <row r="8" spans="1:11" x14ac:dyDescent="0.25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30911670.120683461</v>
      </c>
      <c r="G8" s="16">
        <f>$E8/POWER(1+discrate2,1+attendance!$A8)</f>
        <v>31357482.623862758</v>
      </c>
      <c r="H8" s="16">
        <f>$E8/POWER(1+DiscRate3,1+attendance!$A8)</f>
        <v>31810814.349332199</v>
      </c>
      <c r="I8" s="16">
        <f>$E8/POWER(1+DiscRate4,1+attendance!$A8)</f>
        <v>30473234.642012335</v>
      </c>
      <c r="J8" s="16">
        <f>$E8/POWER(1+DiscRate5,1+attendance!$A8)</f>
        <v>30042037.008203506</v>
      </c>
      <c r="K8" s="16">
        <f>$E8/POWER(1+DiscRate6,1+attendance!$A8)</f>
        <v>29617940.986737411</v>
      </c>
    </row>
    <row r="9" spans="1:11" x14ac:dyDescent="0.25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30683940.724108867</v>
      </c>
      <c r="G9" s="16">
        <f>$E9/POWER(1+discrate2,1+attendance!$A9)</f>
        <v>31200841.597017091</v>
      </c>
      <c r="H9" s="16">
        <f>$E9/POWER(1+DiscRate3,1+attendance!$A9)</f>
        <v>31727718.103727341</v>
      </c>
      <c r="I9" s="16">
        <f>$E9/POWER(1+DiscRate4,1+attendance!$A9)</f>
        <v>30176803.504046082</v>
      </c>
      <c r="J9" s="16">
        <f>$E9/POWER(1+DiscRate5,1+attendance!$A9)</f>
        <v>29679222.949144799</v>
      </c>
      <c r="K9" s="16">
        <f>$E9/POWER(1+DiscRate6,1+attendance!$A9)</f>
        <v>29190996.935918428</v>
      </c>
    </row>
    <row r="10" spans="1:11" x14ac:dyDescent="0.25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30456650.085512146</v>
      </c>
      <c r="G10" s="16">
        <f>$E10/POWER(1+discrate2,1+attendance!$A10)</f>
        <v>31043720.215111759</v>
      </c>
      <c r="H10" s="16">
        <f>$E10/POWER(1+DiscRate3,1+attendance!$A10)</f>
        <v>31643551.692711618</v>
      </c>
      <c r="I10" s="16">
        <f>$E10/POWER(1+DiscRate4,1+attendance!$A10)</f>
        <v>29882040.353789162</v>
      </c>
      <c r="J10" s="16">
        <f>$E10/POWER(1+DiscRate5,1+attendance!$A10)</f>
        <v>29319597.858444292</v>
      </c>
      <c r="K10" s="16">
        <f>$E10/POWER(1+DiscRate6,1+attendance!$A10)</f>
        <v>28769037.00722573</v>
      </c>
    </row>
    <row r="11" spans="1:11" x14ac:dyDescent="0.25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30228102.155082129</v>
      </c>
      <c r="G11" s="16">
        <f>$E11/POWER(1+discrate2,1+attendance!$A11)</f>
        <v>30884385.272702683</v>
      </c>
      <c r="H11" s="16">
        <f>$E11/POWER(1+DiscRate3,1+attendance!$A11)</f>
        <v>31556538.367839284</v>
      </c>
      <c r="I11" s="16">
        <f>$E11/POWER(1+DiscRate4,1+attendance!$A11)</f>
        <v>29587277.816678319</v>
      </c>
      <c r="J11" s="16">
        <f>$E11/POWER(1+DiscRate5,1+attendance!$A11)</f>
        <v>28961512.654745791</v>
      </c>
      <c r="K11" s="16">
        <f>$E11/POWER(1+DiscRate6,1+attendance!$A11)</f>
        <v>28350418.308687784</v>
      </c>
    </row>
    <row r="12" spans="1:11" x14ac:dyDescent="0.25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30010848.793744478</v>
      </c>
      <c r="G12" s="16">
        <f>$E12/POWER(1+discrate2,1+attendance!$A12)</f>
        <v>30735679.036320888</v>
      </c>
      <c r="H12" s="16">
        <f>$E12/POWER(1+DiscRate3,1+attendance!$A12)</f>
        <v>31479812.744981114</v>
      </c>
      <c r="I12" s="16">
        <f>$E12/POWER(1+DiscRate4,1+attendance!$A12)</f>
        <v>29304777.033693369</v>
      </c>
      <c r="J12" s="16">
        <f>$E12/POWER(1+DiscRate5,1+attendance!$A12)</f>
        <v>28616935.40180508</v>
      </c>
      <c r="K12" s="16">
        <f>$E12/POWER(1+DiscRate6,1+attendance!$A12)</f>
        <v>27946811.627753258</v>
      </c>
    </row>
    <row r="13" spans="1:11" x14ac:dyDescent="0.25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29775049.610538442</v>
      </c>
      <c r="G13" s="16">
        <f>$E13/POWER(1+discrate2,1+attendance!$A13)</f>
        <v>30567046.720107611</v>
      </c>
      <c r="H13" s="16">
        <f>$E13/POWER(1+DiscRate3,1+attendance!$A13)</f>
        <v>31382081.18301734</v>
      </c>
      <c r="I13" s="16">
        <f>$E13/POWER(1+DiscRate4,1+attendance!$A13)</f>
        <v>29005386.089507394</v>
      </c>
      <c r="J13" s="16">
        <f>$E13/POWER(1+DiscRate5,1+attendance!$A13)</f>
        <v>28257375.490821734</v>
      </c>
      <c r="K13" s="16">
        <f>$E13/POWER(1+DiscRate6,1+attendance!$A13)</f>
        <v>27530359.436518986</v>
      </c>
    </row>
    <row r="14" spans="1:11" x14ac:dyDescent="0.25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29559817.507297698</v>
      </c>
      <c r="G14" s="16">
        <f>$E14/POWER(1+discrate2,1+attendance!$A14)</f>
        <v>30418597.680754744</v>
      </c>
      <c r="H14" s="16">
        <f>$E14/POWER(1+DiscRate3,1+attendance!$A14)</f>
        <v>31304471.955127202</v>
      </c>
      <c r="I14" s="16">
        <f>$E14/POWER(1+DiscRate4,1+attendance!$A14)</f>
        <v>28727241.128672216</v>
      </c>
      <c r="J14" s="16">
        <f>$E14/POWER(1+DiscRate5,1+attendance!$A14)</f>
        <v>27920009.510158874</v>
      </c>
      <c r="K14" s="16">
        <f>$E14/POWER(1+DiscRate6,1+attendance!$A14)</f>
        <v>27137293.719535541</v>
      </c>
    </row>
    <row r="15" spans="1:11" x14ac:dyDescent="0.25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29336534.824387923</v>
      </c>
      <c r="G15" s="16">
        <f>$E15/POWER(1+discrate2,1+attendance!$A15)</f>
        <v>30260960.469071053</v>
      </c>
      <c r="H15" s="16">
        <f>$E15/POWER(1+DiscRate3,1+attendance!$A15)</f>
        <v>31216832.536721509</v>
      </c>
      <c r="I15" s="16">
        <f>$E15/POWER(1+DiscRate4,1+attendance!$A15)</f>
        <v>28442449.783203464</v>
      </c>
      <c r="J15" s="16">
        <f>$E15/POWER(1+DiscRate5,1+attendance!$A15)</f>
        <v>27577640.90758596</v>
      </c>
      <c r="K15" s="16">
        <f>$E15/POWER(1+DiscRate6,1+attendance!$A15)</f>
        <v>26741083.49964001</v>
      </c>
    </row>
    <row r="16" spans="1:11" x14ac:dyDescent="0.25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29116287.11038911</v>
      </c>
      <c r="G16" s="16">
        <f>$E16/POWER(1+discrate2,1+attendance!$A16)</f>
        <v>30105534.370913163</v>
      </c>
      <c r="H16" s="16">
        <f>$E16/POWER(1+DiscRate3,1+attendance!$A16)</f>
        <v>31130880.151895445</v>
      </c>
      <c r="I16" s="16">
        <f>$E16/POWER(1+DiscRate4,1+attendance!$A16)</f>
        <v>28161785.935107462</v>
      </c>
      <c r="J16" s="16">
        <f>$E16/POWER(1+DiscRate5,1+attendance!$A16)</f>
        <v>27240732.119730882</v>
      </c>
      <c r="K16" s="16">
        <f>$E16/POWER(1+DiscRate6,1+attendance!$A16)</f>
        <v>26351878.395601522</v>
      </c>
    </row>
    <row r="17" spans="1:14" x14ac:dyDescent="0.25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28908148.441609524</v>
      </c>
      <c r="G17" s="16">
        <f>$E17/POWER(1+discrate2,1+attendance!$A17)</f>
        <v>29961743.143350217</v>
      </c>
      <c r="H17" s="16">
        <f>$E17/POWER(1+DiscRate3,1+attendance!$A17)</f>
        <v>31056396.915296603</v>
      </c>
      <c r="I17" s="16">
        <f>$E17/POWER(1+DiscRate4,1+attendance!$A17)</f>
        <v>27893980.319480307</v>
      </c>
      <c r="J17" s="16">
        <f>$E17/POWER(1+DiscRate5,1+attendance!$A17)</f>
        <v>26917674.850747932</v>
      </c>
      <c r="K17" s="16">
        <f>$E17/POWER(1+DiscRate6,1+attendance!$A17)</f>
        <v>25977733.640994985</v>
      </c>
    </row>
    <row r="18" spans="1:14" x14ac:dyDescent="0.25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28687879.350819737</v>
      </c>
      <c r="G18" s="16">
        <f>$E18/POWER(1+discrate2,1+attendance!$A18)</f>
        <v>29804490.32750937</v>
      </c>
      <c r="H18" s="16">
        <f>$E18/POWER(1+DiscRate3,1+attendance!$A18)</f>
        <v>30967391.480406269</v>
      </c>
      <c r="I18" s="16">
        <f>$E18/POWER(1+DiscRate4,1+attendance!$A18)</f>
        <v>27615612.115943246</v>
      </c>
      <c r="J18" s="16">
        <f>$E18/POWER(1+DiscRate5,1+attendance!$A18)</f>
        <v>26585828.378214352</v>
      </c>
      <c r="K18" s="16">
        <f>$E18/POWER(1+DiscRate6,1+attendance!$A18)</f>
        <v>25596750.074640349</v>
      </c>
    </row>
    <row r="19" spans="1:14" x14ac:dyDescent="0.25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28485661.22543082</v>
      </c>
      <c r="G19" s="16">
        <f>$E19/POWER(1+discrate2,1+attendance!$A19)</f>
        <v>29665113.353871007</v>
      </c>
      <c r="H19" s="16">
        <f>$E19/POWER(1+DiscRate3,1+attendance!$A19)</f>
        <v>30896399.338618428</v>
      </c>
      <c r="I19" s="16">
        <f>$E19/POWER(1+DiscRate4,1+attendance!$A19)</f>
        <v>27355745.051141281</v>
      </c>
      <c r="J19" s="16">
        <f>$E19/POWER(1+DiscRate5,1+attendance!$A19)</f>
        <v>26273173.910832528</v>
      </c>
      <c r="K19" s="16">
        <f>$E19/POWER(1+DiscRate6,1+attendance!$A19)</f>
        <v>25235858.648776654</v>
      </c>
    </row>
    <row r="20" spans="1:14" x14ac:dyDescent="0.25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28268822.726400077</v>
      </c>
      <c r="G20" s="16">
        <f>$E20/POWER(1+discrate2,1+attendance!$A20)</f>
        <v>29509638.064694855</v>
      </c>
      <c r="H20" s="16">
        <f>$E20/POWER(1+DiscRate3,1+attendance!$A20)</f>
        <v>30808082.834492873</v>
      </c>
      <c r="I20" s="16">
        <f>$E20/POWER(1+DiscRate4,1+attendance!$A20)</f>
        <v>27082950.702593781</v>
      </c>
      <c r="J20" s="16">
        <f>$E20/POWER(1+DiscRate5,1+attendance!$A20)</f>
        <v>25949467.02996074</v>
      </c>
      <c r="K20" s="16">
        <f>$E20/POWER(1+DiscRate6,1+attendance!$A20)</f>
        <v>24865941.20578007</v>
      </c>
    </row>
    <row r="21" spans="1:14" x14ac:dyDescent="0.25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26953492.302059572</v>
      </c>
      <c r="G21" s="16">
        <f>$E21/POWER(1+discrate2,1+attendance!$A21)</f>
        <v>28203802.030674621</v>
      </c>
      <c r="H21" s="16">
        <f>$E21/POWER(1+DiscRate3,1+attendance!$A21)</f>
        <v>29515312.161805782</v>
      </c>
      <c r="I21" s="16">
        <f>$E21/POWER(1+DiscRate4,1+attendance!$A21)</f>
        <v>25761391.32749337</v>
      </c>
      <c r="J21" s="16">
        <f>$E21/POWER(1+DiscRate5,1+attendance!$A21)</f>
        <v>24624660.305523571</v>
      </c>
      <c r="K21" s="16">
        <f>$E21/POWER(1+DiscRate6,1+attendance!$A21)</f>
        <v>23540605.136590052</v>
      </c>
    </row>
    <row r="22" spans="1:14" x14ac:dyDescent="0.25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25699363.369622022</v>
      </c>
      <c r="G22" s="16">
        <f>$E22/POWER(1+discrate2,1+attendance!$A22)</f>
        <v>26955750.770022571</v>
      </c>
      <c r="H22" s="16">
        <f>$E22/POWER(1+DiscRate3,1+attendance!$A22)</f>
        <v>28276788.811846882</v>
      </c>
      <c r="I22" s="16">
        <f>$E22/POWER(1+DiscRate4,1+attendance!$A22)</f>
        <v>24504319.72557155</v>
      </c>
      <c r="J22" s="16">
        <f>$E22/POWER(1+DiscRate5,1+attendance!$A22)</f>
        <v>23367489.377038881</v>
      </c>
      <c r="K22" s="16">
        <f>$E22/POWER(1+DiscRate6,1+attendance!$A22)</f>
        <v>22285908.488677509</v>
      </c>
    </row>
    <row r="23" spans="1:14" x14ac:dyDescent="0.25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24503588.262416121</v>
      </c>
      <c r="G23" s="29">
        <f>$E23/POWER(1+discrate2,1+attendance!$A23)</f>
        <v>25762927.238863207</v>
      </c>
      <c r="H23" s="29">
        <f>$E23/POWER(1+DiscRate3,1+attendance!$A23)</f>
        <v>27090236.455112934</v>
      </c>
      <c r="I23" s="29">
        <f>$E23/POWER(1+DiscRate4,1+attendance!$A23)</f>
        <v>23308589.104510181</v>
      </c>
      <c r="J23" s="29">
        <f>$E23/POWER(1+DiscRate5,1+attendance!$A23)</f>
        <v>22174501.211841788</v>
      </c>
      <c r="K23" s="29">
        <f>$E23/POWER(1+DiscRate6,1+attendance!$A23)</f>
        <v>21098086.233719122</v>
      </c>
    </row>
    <row r="24" spans="1:14" x14ac:dyDescent="0.25">
      <c r="E24" s="16">
        <f t="shared" ref="E24:K24" si="1">SUM(E4:E23)</f>
        <v>1048408249.61</v>
      </c>
      <c r="F24" s="49">
        <f t="shared" si="1"/>
        <v>597450711.80101037</v>
      </c>
      <c r="G24" s="16">
        <f t="shared" si="1"/>
        <v>613412165.37330484</v>
      </c>
      <c r="H24" s="49">
        <f t="shared" si="1"/>
        <v>629960107.14159834</v>
      </c>
      <c r="I24" s="16">
        <f t="shared" si="1"/>
        <v>582051408.86726344</v>
      </c>
      <c r="J24" s="49">
        <f t="shared" si="1"/>
        <v>567191039.62513947</v>
      </c>
      <c r="K24" s="16">
        <f t="shared" si="1"/>
        <v>552847451.92505801</v>
      </c>
    </row>
    <row r="26" spans="1:14" x14ac:dyDescent="0.25">
      <c r="A26" s="32" t="s">
        <v>77</v>
      </c>
      <c r="I26" s="44"/>
    </row>
    <row r="27" spans="1:14" x14ac:dyDescent="0.25">
      <c r="A27" s="32"/>
      <c r="F27" s="60">
        <f>DiscRate</f>
        <v>4.8800000000000003E-2</v>
      </c>
      <c r="G27" s="70"/>
      <c r="H27" s="70"/>
      <c r="I27" s="70"/>
      <c r="J27" s="60">
        <f>DiscRate3</f>
        <v>4.3800000000000006E-2</v>
      </c>
      <c r="K27" s="70"/>
      <c r="L27" s="70"/>
      <c r="M27" s="67"/>
      <c r="N27" s="60">
        <f>DiscRate5</f>
        <v>5.3800000000000001E-2</v>
      </c>
    </row>
    <row r="28" spans="1:14" s="19" customFormat="1" x14ac:dyDescent="0.25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5">
      <c r="A29" s="26">
        <v>1</v>
      </c>
      <c r="B29" s="26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6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6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6">
        <f>$M29/POWER(1+DiscRate5,1+attendance!$A29)</f>
        <v>34806214.69251211</v>
      </c>
    </row>
    <row r="30" spans="1:14" x14ac:dyDescent="0.25">
      <c r="A30" s="26">
        <v>2</v>
      </c>
      <c r="B30" s="26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6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6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6">
        <f>$M30/POWER(1+DiscRate5,1+attendance!$A30)</f>
        <v>31418956.158788335</v>
      </c>
    </row>
    <row r="31" spans="1:14" x14ac:dyDescent="0.25">
      <c r="A31" s="26">
        <v>3</v>
      </c>
      <c r="B31" s="26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6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6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6">
        <f>$M31/POWER(1+DiscRate5,1+attendance!$A31)</f>
        <v>28173277.016164582</v>
      </c>
    </row>
    <row r="32" spans="1:14" x14ac:dyDescent="0.25">
      <c r="A32" s="26">
        <v>4</v>
      </c>
      <c r="B32" s="26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6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6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6">
        <f>$M32/POWER(1+DiscRate5,1+attendance!$A32)</f>
        <v>27796728.021957893</v>
      </c>
    </row>
    <row r="33" spans="1:14" x14ac:dyDescent="0.25">
      <c r="A33" s="26">
        <v>5</v>
      </c>
      <c r="B33" s="26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6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6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6">
        <f>$M33/POWER(1+DiscRate5,1+attendance!$A33)</f>
        <v>27460387.897421528</v>
      </c>
    </row>
    <row r="34" spans="1:14" x14ac:dyDescent="0.25">
      <c r="A34" s="26">
        <v>6</v>
      </c>
      <c r="B34" s="26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6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6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6">
        <f>$M34/POWER(1+DiscRate5,1+attendance!$A34)</f>
        <v>27128752.103428278</v>
      </c>
    </row>
    <row r="35" spans="1:14" x14ac:dyDescent="0.25">
      <c r="A35" s="26">
        <v>7</v>
      </c>
      <c r="B35" s="26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6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6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6">
        <f>$M35/POWER(1+DiscRate5,1+attendance!$A35)</f>
        <v>26800031.235213362</v>
      </c>
    </row>
    <row r="36" spans="1:14" x14ac:dyDescent="0.25">
      <c r="A36" s="26">
        <v>8</v>
      </c>
      <c r="B36" s="26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6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6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6">
        <f>$M36/POWER(1+DiscRate5,1+attendance!$A36)</f>
        <v>26472717.924494691</v>
      </c>
    </row>
    <row r="37" spans="1:14" x14ac:dyDescent="0.25">
      <c r="A37" s="26">
        <v>9</v>
      </c>
      <c r="B37" s="26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6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6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6">
        <f>$M37/POWER(1+DiscRate5,1+attendance!$A37)</f>
        <v>26157751.764783345</v>
      </c>
    </row>
    <row r="38" spans="1:14" x14ac:dyDescent="0.25">
      <c r="A38" s="26">
        <v>10</v>
      </c>
      <c r="B38" s="26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6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6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6">
        <f>$M38/POWER(1+DiscRate5,1+attendance!$A38)</f>
        <v>25829090.475095537</v>
      </c>
    </row>
    <row r="39" spans="1:14" x14ac:dyDescent="0.25">
      <c r="A39" s="26">
        <v>11</v>
      </c>
      <c r="B39" s="26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6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6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6">
        <f>$M39/POWER(1+DiscRate5,1+attendance!$A39)</f>
        <v>25520715.89018086</v>
      </c>
    </row>
    <row r="40" spans="1:14" x14ac:dyDescent="0.25">
      <c r="A40" s="26">
        <v>12</v>
      </c>
      <c r="B40" s="26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6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6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6">
        <f>$M40/POWER(1+DiscRate5,1+attendance!$A40)</f>
        <v>25207768.581448663</v>
      </c>
    </row>
    <row r="41" spans="1:14" x14ac:dyDescent="0.25">
      <c r="A41" s="26">
        <v>13</v>
      </c>
      <c r="B41" s="26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6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6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6">
        <f>$M41/POWER(1+DiscRate5,1+attendance!$A41)</f>
        <v>24899811.900680836</v>
      </c>
    </row>
    <row r="42" spans="1:14" x14ac:dyDescent="0.25">
      <c r="A42" s="26">
        <v>14</v>
      </c>
      <c r="B42" s="26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6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6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6">
        <f>$M42/POWER(1+DiscRate5,1+attendance!$A42)</f>
        <v>24604516.414661333</v>
      </c>
    </row>
    <row r="43" spans="1:14" x14ac:dyDescent="0.25">
      <c r="A43" s="26">
        <v>15</v>
      </c>
      <c r="B43" s="26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6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6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6">
        <f>$M43/POWER(1+DiscRate5,1+attendance!$A43)</f>
        <v>24301187.021395661</v>
      </c>
    </row>
    <row r="44" spans="1:14" x14ac:dyDescent="0.25">
      <c r="A44" s="26">
        <v>16</v>
      </c>
      <c r="B44" s="26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6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6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6">
        <f>$M44/POWER(1+DiscRate5,1+attendance!$A44)</f>
        <v>24015400.37684083</v>
      </c>
    </row>
    <row r="45" spans="1:14" x14ac:dyDescent="0.25">
      <c r="A45" s="26">
        <v>17</v>
      </c>
      <c r="B45" s="26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6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6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6">
        <f>$M45/POWER(1+DiscRate5,1+attendance!$A45)</f>
        <v>23719511.103041705</v>
      </c>
    </row>
    <row r="46" spans="1:14" x14ac:dyDescent="0.25">
      <c r="A46" s="26">
        <v>18</v>
      </c>
      <c r="B46" s="26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6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6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6">
        <f>$M46/POWER(1+DiscRate5,1+attendance!$A46)</f>
        <v>22508551.05621722</v>
      </c>
    </row>
    <row r="47" spans="1:14" x14ac:dyDescent="0.25">
      <c r="A47" s="26">
        <v>19</v>
      </c>
      <c r="B47" s="26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6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6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6">
        <f>$M47/POWER(1+DiscRate5,1+attendance!$A47)</f>
        <v>21359414.55325225</v>
      </c>
    </row>
    <row r="48" spans="1:14" x14ac:dyDescent="0.25">
      <c r="A48" s="26">
        <v>20</v>
      </c>
      <c r="B48" s="26">
        <v>2018</v>
      </c>
      <c r="C48" s="12">
        <f>elasticity!$E$21</f>
        <v>1375964.3598063763</v>
      </c>
      <c r="D48" s="7">
        <f>D23*(1+elasticity!$D$18)</f>
        <v>44.933909033759264</v>
      </c>
      <c r="E48" s="25">
        <f t="shared" si="2"/>
        <v>61827457.377234511</v>
      </c>
      <c r="F48" s="29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5">
        <f t="shared" si="3"/>
        <v>62653934.876643717</v>
      </c>
      <c r="J48" s="29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5">
        <f t="shared" si="4"/>
        <v>60919065.067615807</v>
      </c>
      <c r="N48" s="29">
        <f>$M48/POWER(1+DiscRate5,1+attendance!$A48)</f>
        <v>20268945.29631073</v>
      </c>
    </row>
    <row r="49" spans="5:14" x14ac:dyDescent="0.25">
      <c r="E49" s="16">
        <f>SUM(E29:E48)</f>
        <v>972603611.07928729</v>
      </c>
      <c r="F49" s="49">
        <f>SUM(F29:F48)</f>
        <v>554252334.38950121</v>
      </c>
      <c r="I49" s="16">
        <f>SUM(I29:I48)</f>
        <v>985604873.5361383</v>
      </c>
      <c r="J49" s="49">
        <f>SUM(J29:J48)</f>
        <v>592223260.32161069</v>
      </c>
      <c r="M49" s="16">
        <f>SUM(M29:M48)</f>
        <v>958313752.20281506</v>
      </c>
      <c r="N49" s="49">
        <f>SUM(N29:N48)</f>
        <v>518449729.48388976</v>
      </c>
    </row>
    <row r="51" spans="5:14" x14ac:dyDescent="0.25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28</v>
      </c>
      <c r="B1" s="43">
        <v>0.03</v>
      </c>
    </row>
    <row r="2" spans="1:11" s="19" customFormat="1" x14ac:dyDescent="0.25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5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5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5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5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5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5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5">
      <c r="B12" s="15"/>
      <c r="I12" s="4"/>
      <c r="J12" s="4"/>
    </row>
    <row r="13" spans="1:11" x14ac:dyDescent="0.25">
      <c r="B13" s="15" t="s">
        <v>29</v>
      </c>
      <c r="F13" s="12"/>
      <c r="I13" s="4"/>
    </row>
    <row r="14" spans="1:11" x14ac:dyDescent="0.25">
      <c r="B14" s="15" t="s">
        <v>30</v>
      </c>
      <c r="I14" s="6"/>
    </row>
    <row r="15" spans="1:11" x14ac:dyDescent="0.25">
      <c r="B15" s="15"/>
    </row>
    <row r="16" spans="1:11" s="27" customFormat="1" x14ac:dyDescent="0.25">
      <c r="A16" s="27" t="s">
        <v>34</v>
      </c>
      <c r="B16" s="30"/>
      <c r="D16" s="48">
        <f>DiscRate</f>
        <v>4.8800000000000003E-2</v>
      </c>
    </row>
    <row r="17" spans="1:10" s="27" customFormat="1" x14ac:dyDescent="0.25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5">
      <c r="A18" s="27" t="s">
        <v>22</v>
      </c>
      <c r="B18" s="27" t="s">
        <v>21</v>
      </c>
      <c r="C18" s="27" t="s">
        <v>59</v>
      </c>
      <c r="D18" s="71">
        <f>facts!C33</f>
        <v>0.51906386185798725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5">
      <c r="A21" s="3" t="s">
        <v>60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5">
      <c r="A23" s="27" t="s">
        <v>34</v>
      </c>
      <c r="B23" s="30"/>
      <c r="D23" s="48">
        <f>DiscRate3</f>
        <v>4.3800000000000006E-2</v>
      </c>
    </row>
    <row r="24" spans="1:10" s="27" customFormat="1" x14ac:dyDescent="0.25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5">
      <c r="A25" s="27" t="s">
        <v>22</v>
      </c>
      <c r="B25" s="27" t="s">
        <v>21</v>
      </c>
      <c r="C25" s="27" t="s">
        <v>59</v>
      </c>
      <c r="D25" s="72">
        <f>facts!E33</f>
        <v>0.49476600813283944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5">
      <c r="A28" s="3" t="s">
        <v>60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5">
      <c r="A30" s="27" t="s">
        <v>34</v>
      </c>
      <c r="B30" s="30"/>
      <c r="D30" s="48">
        <f>DiscRate5</f>
        <v>5.3800000000000001E-2</v>
      </c>
    </row>
    <row r="31" spans="1:10" s="27" customFormat="1" x14ac:dyDescent="0.25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5">
      <c r="A32" s="27" t="s">
        <v>22</v>
      </c>
      <c r="B32" s="27" t="s">
        <v>21</v>
      </c>
      <c r="C32" s="27" t="s">
        <v>59</v>
      </c>
      <c r="D32" s="72">
        <f>facts!G33</f>
        <v>0.54396917890306162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5">
      <c r="A35" s="3" t="s">
        <v>60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4"/>
      <c r="D4" s="44"/>
      <c r="E4" s="44"/>
    </row>
    <row r="5" spans="2:10" x14ac:dyDescent="0.25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5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5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5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5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5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5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5">
      <c r="C12" s="46"/>
      <c r="D12" s="46"/>
      <c r="E12" s="46"/>
    </row>
    <row r="13" spans="2:10" s="19" customFormat="1" x14ac:dyDescent="0.25">
      <c r="B13" s="45"/>
    </row>
    <row r="14" spans="2:10" s="19" customFormat="1" x14ac:dyDescent="0.25"/>
    <row r="15" spans="2:10" x14ac:dyDescent="0.25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5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5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5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5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5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5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5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5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2000-12-03T23:22:17Z</cp:lastPrinted>
  <dcterms:created xsi:type="dcterms:W3CDTF">2000-11-08T00:18:13Z</dcterms:created>
  <dcterms:modified xsi:type="dcterms:W3CDTF">2023-09-10T13:48:47Z</dcterms:modified>
</cp:coreProperties>
</file>