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JHAVLI~1\AppData\Local\Temp\"/>
    </mc:Choice>
  </mc:AlternateContent>
  <bookViews>
    <workbookView xWindow="-12" yWindow="3060" windowWidth="11976" windowHeight="31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<sst xmlns="http://schemas.openxmlformats.org/spreadsheetml/2006/main" count="152" uniqueCount="101">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</sst>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266700</xdr:colOff>
      <xdr:row>1</xdr:row>
      <xdr:rowOff>83820</xdr:rowOff>
    </xdr:from>
    <xdr:to>
      <xdr:col>13</xdr:col>
      <xdr:colOff>0</xdr:colOff>
      <xdr:row>20</xdr:row>
      <xdr:rowOff>129540</xdr:rowOff>
    </xdr:to>
    <xdr:sp macro="" textlink="">
      <xdr:nvSpPr>
        <xdr:cNvPr id="6145" name="AutoShape 1"/>
        <xdr:cNvSpPr>
          <a:spLocks noChangeArrowheads="1"/>
        </xdr:cNvSpPr>
      </xdr:nvSpPr>
      <xdr:spPr bwMode="auto">
        <a:xfrm>
          <a:off x="266700" y="243840"/>
          <a:ext cx="6865620" cy="30861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36576" tIns="32004" rIns="0" bIns="0" anchor="t" upright="1"/>
        <a:lstStyle/>
        <a:p>
          <a:pPr algn="l" rtl="0">
            <a:lnSpc>
              <a:spcPts val="11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91440</xdr:colOff>
      <xdr:row>19</xdr:row>
      <xdr:rowOff>38100</xdr:rowOff>
    </xdr:from>
    <xdr:ext cx="1900713" cy="141001"/>
    <xdr:sp macro="" textlink="">
      <xdr:nvSpPr>
        <xdr:cNvPr id="6148" name="Text Box 4"/>
        <xdr:cNvSpPr txBox="1">
          <a:spLocks noChangeArrowheads="1"/>
        </xdr:cNvSpPr>
      </xdr:nvSpPr>
      <xdr:spPr bwMode="auto">
        <a:xfrm>
          <a:off x="5029200" y="3078480"/>
          <a:ext cx="1900713"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6"/>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ColWidth="9.375" defaultRowHeight="13.2"/>
  <cols>
    <col min="1" max="1" width="38.5" style="3" customWidth="1"/>
    <col min="2" max="3" width="10.375" style="3" bestFit="1" customWidth="1"/>
    <col min="4" max="4" width="30.125" style="16" customWidth="1"/>
    <col min="5" max="14" width="11.875" style="3" customWidth="1"/>
    <col min="15" max="16384" width="9.375" style="3"/>
  </cols>
  <sheetData>
    <row r="1" spans="1:25" ht="17.399999999999999">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5667.6502963973335</v>
      </c>
      <c r="F18" s="13">
        <f>(('Balance Sheet'!E20+'Balance Sheet'!E15+'Balance Sheet'!F20+'Balance Sheet'!F15)/2)*0.094</f>
        <v>8051.6306784099997</v>
      </c>
      <c r="G18" s="13">
        <f>(('Balance Sheet'!F20+'Balance Sheet'!F15+'Balance Sheet'!G20+'Balance Sheet'!G15)/2)*0.094</f>
        <v>11381.512370797067</v>
      </c>
      <c r="H18" s="13">
        <f>(('Balance Sheet'!G20+'Balance Sheet'!G15+'Balance Sheet'!H20+'Balance Sheet'!H15)/2)*0.094</f>
        <v>15106.783240687451</v>
      </c>
      <c r="I18" s="13">
        <f>(('Balance Sheet'!H20+'Balance Sheet'!H15+'Balance Sheet'!I20+'Balance Sheet'!I15)/2)*0.094</f>
        <v>18252.656892774899</v>
      </c>
      <c r="J18" s="13">
        <f>(('Balance Sheet'!I20+'Balance Sheet'!I15+'Balance Sheet'!J20+'Balance Sheet'!J15)/2)*0.094</f>
        <v>20437.278625247538</v>
      </c>
      <c r="K18" s="13">
        <f>(('Balance Sheet'!J20+'Balance Sheet'!J15+'Balance Sheet'!K20+'Balance Sheet'!K15)/2)*0.094</f>
        <v>22426.775798622293</v>
      </c>
      <c r="L18" s="13">
        <f>(('Balance Sheet'!K20+'Balance Sheet'!K15+'Balance Sheet'!L20+'Balance Sheet'!L15)/2)*0.094</f>
        <v>24616.794593367864</v>
      </c>
      <c r="M18" s="13">
        <f>(('Balance Sheet'!L20+'Balance Sheet'!L15+'Balance Sheet'!M20+'Balance Sheet'!M15)/2)*0.094</f>
        <v>27027.387171621314</v>
      </c>
      <c r="N18" s="13">
        <f>(('Balance Sheet'!M20+'Balance Sheet'!M15+'Balance Sheet'!N20+'Balance Sheet'!N15)/2)*0.094</f>
        <v>29680.610911733456</v>
      </c>
      <c r="O18" s="13"/>
      <c r="P18" s="13"/>
      <c r="Q18" s="13"/>
      <c r="R18" s="13"/>
      <c r="S18" s="13"/>
      <c r="T18" s="13"/>
      <c r="U18" s="13"/>
      <c r="V18" s="13"/>
      <c r="W18" s="13"/>
      <c r="X18" s="13"/>
      <c r="Y18" s="13"/>
    </row>
    <row r="19" spans="1:25">
      <c r="A19" s="22" t="s">
        <v>51</v>
      </c>
      <c r="B19" s="23">
        <f>B16-B18</f>
        <v>11717</v>
      </c>
      <c r="C19" s="23">
        <f>C16-C18</f>
        <v>18999</v>
      </c>
      <c r="D19" s="50"/>
      <c r="E19" s="13">
        <f>E16-E18</f>
        <v>35313.258903602626</v>
      </c>
      <c r="F19" s="13">
        <f t="shared" ref="F19:N19" si="8">F16-F18</f>
        <v>56588.360121589954</v>
      </c>
      <c r="G19" s="13">
        <f t="shared" si="8"/>
        <v>79114.474749202884</v>
      </c>
      <c r="H19" s="13">
        <f t="shared" si="8"/>
        <v>102538.00001531256</v>
      </c>
      <c r="I19" s="13">
        <f t="shared" si="8"/>
        <v>117038.84385162503</v>
      </c>
      <c r="J19" s="13">
        <f t="shared" si="8"/>
        <v>128383.37219359246</v>
      </c>
      <c r="K19" s="13">
        <f t="shared" si="8"/>
        <v>141275.94010210162</v>
      </c>
      <c r="L19" s="13">
        <f t="shared" si="8"/>
        <v>155456.19289742861</v>
      </c>
      <c r="M19" s="13">
        <f t="shared" si="8"/>
        <v>171052.89906825474</v>
      </c>
      <c r="N19" s="13">
        <f t="shared" si="8"/>
        <v>188207.70395213028</v>
      </c>
      <c r="O19" s="13"/>
      <c r="P19" s="13"/>
      <c r="Q19" s="13"/>
      <c r="R19" s="13"/>
      <c r="S19" s="13"/>
      <c r="T19" s="13"/>
      <c r="U19" s="13"/>
      <c r="V19" s="13"/>
      <c r="W19" s="13"/>
      <c r="X19" s="13"/>
      <c r="Y19" s="13"/>
    </row>
    <row r="20" spans="1:25">
      <c r="A20" s="79" t="s">
        <v>52</v>
      </c>
      <c r="B20" s="80">
        <v>3632</v>
      </c>
      <c r="C20" s="80">
        <v>6080</v>
      </c>
      <c r="D20" s="59">
        <v>0.32</v>
      </c>
      <c r="E20" s="7">
        <f>$D$20*E19</f>
        <v>11300.242849152841</v>
      </c>
      <c r="F20" s="7">
        <f t="shared" ref="F20:N20" si="9">$D$20*F19</f>
        <v>18108.275238908787</v>
      </c>
      <c r="G20" s="7">
        <f t="shared" si="9"/>
        <v>25316.631919744923</v>
      </c>
      <c r="H20" s="7">
        <f t="shared" si="9"/>
        <v>32812.160004900019</v>
      </c>
      <c r="I20" s="7">
        <f t="shared" si="9"/>
        <v>37452.430032520009</v>
      </c>
      <c r="J20" s="7">
        <f t="shared" si="9"/>
        <v>41082.679101949587</v>
      </c>
      <c r="K20" s="7">
        <f t="shared" si="9"/>
        <v>45208.300832672518</v>
      </c>
      <c r="L20" s="7">
        <f t="shared" si="9"/>
        <v>49745.981727177161</v>
      </c>
      <c r="M20" s="7">
        <f t="shared" si="9"/>
        <v>54736.927701841516</v>
      </c>
      <c r="N20" s="7">
        <f t="shared" si="9"/>
        <v>60226.46526468169</v>
      </c>
      <c r="O20" s="13"/>
      <c r="P20" s="13"/>
      <c r="Q20" s="13"/>
      <c r="R20" s="13"/>
      <c r="S20" s="13"/>
      <c r="T20" s="13"/>
      <c r="U20" s="13"/>
      <c r="V20" s="13"/>
      <c r="W20" s="13"/>
      <c r="X20" s="13"/>
      <c r="Y20" s="13"/>
    </row>
    <row r="21" spans="1:25" s="20" customFormat="1">
      <c r="A21" s="27" t="s">
        <v>37</v>
      </c>
      <c r="B21" s="28">
        <f>B19-B20</f>
        <v>8085</v>
      </c>
      <c r="C21" s="28">
        <f>C19-C20</f>
        <v>12919</v>
      </c>
      <c r="D21" s="87"/>
      <c r="E21" s="29">
        <f>E19-E20</f>
        <v>24013.016054449785</v>
      </c>
      <c r="F21" s="29">
        <f t="shared" ref="F21:N21" si="10">F19-F20</f>
        <v>38480.084882681171</v>
      </c>
      <c r="G21" s="29">
        <f t="shared" si="10"/>
        <v>53797.842829457964</v>
      </c>
      <c r="H21" s="29">
        <f t="shared" si="10"/>
        <v>69725.840010412532</v>
      </c>
      <c r="I21" s="29">
        <f t="shared" si="10"/>
        <v>79586.413819105015</v>
      </c>
      <c r="J21" s="29">
        <f t="shared" si="10"/>
        <v>87300.693091642868</v>
      </c>
      <c r="K21" s="29">
        <f t="shared" si="10"/>
        <v>96067.639269429113</v>
      </c>
      <c r="L21" s="29">
        <f t="shared" si="10"/>
        <v>105710.21117025145</v>
      </c>
      <c r="M21" s="29">
        <f t="shared" si="10"/>
        <v>116315.97136641323</v>
      </c>
      <c r="N21" s="29">
        <f t="shared" si="10"/>
        <v>127981.23868744858</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2.1361992753713892</v>
      </c>
      <c r="F25" s="106">
        <f>F21/F23</f>
        <v>3.4231905420052637</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election activeCell="D8" sqref="D8"/>
    </sheetView>
  </sheetViews>
  <sheetFormatPr defaultColWidth="9.375" defaultRowHeight="13.2"/>
  <cols>
    <col min="1" max="1" width="33.125" style="3" customWidth="1"/>
    <col min="2" max="3" width="10.375" style="3" bestFit="1" customWidth="1"/>
    <col min="4" max="4" width="34.625" style="18" bestFit="1" customWidth="1"/>
    <col min="5" max="14" width="11.875" style="3" customWidth="1"/>
    <col min="15" max="16384" width="9.375" style="3"/>
  </cols>
  <sheetData>
    <row r="1" spans="1:14" ht="17.399999999999999">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0.21</v>
      </c>
      <c r="E7" s="3">
        <f>$D$7*'Income Statement'!E5</f>
        <v>88721.555999999997</v>
      </c>
      <c r="F7" s="3">
        <f>$D$7*'Income Statement'!F5</f>
        <v>133082.33399999997</v>
      </c>
      <c r="G7" s="3">
        <f>$D$7*'Income Statement'!G5</f>
        <v>186315.26759999996</v>
      </c>
      <c r="H7" s="3">
        <f>$D$7*'Income Statement'!H5</f>
        <v>242209.84787999996</v>
      </c>
      <c r="I7" s="3">
        <f>$D$7*'Income Statement'!I5</f>
        <v>278541.32506199996</v>
      </c>
      <c r="J7" s="3">
        <f>$D$7*'Income Statement'!J5</f>
        <v>306395.45756819996</v>
      </c>
      <c r="K7" s="3">
        <f>$D$7*'Income Statement'!K5</f>
        <v>337035.00332501996</v>
      </c>
      <c r="L7" s="3">
        <f>$D$7*'Income Statement'!L5</f>
        <v>370738.50365752203</v>
      </c>
      <c r="M7" s="3">
        <f>$D$7*'Income Statement'!M5</f>
        <v>407812.35402327427</v>
      </c>
      <c r="N7" s="3">
        <f>$D$7*'Income Statement'!N5</f>
        <v>448593.58942560176</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191385.07080000002</v>
      </c>
      <c r="F9" s="6">
        <f t="shared" ref="F9:N9" si="1">SUM(F5:F8)</f>
        <v>287077.60619999998</v>
      </c>
      <c r="G9" s="6">
        <f t="shared" si="1"/>
        <v>401908.64867999998</v>
      </c>
      <c r="H9" s="6">
        <f t="shared" si="1"/>
        <v>522481.24328399991</v>
      </c>
      <c r="I9" s="6">
        <f t="shared" si="1"/>
        <v>600853.42977659986</v>
      </c>
      <c r="J9" s="6">
        <f t="shared" si="1"/>
        <v>660938.77275425987</v>
      </c>
      <c r="K9" s="6">
        <f t="shared" si="1"/>
        <v>727032.65002968605</v>
      </c>
      <c r="L9" s="6">
        <f t="shared" si="1"/>
        <v>799735.91503265465</v>
      </c>
      <c r="M9" s="6">
        <f t="shared" si="1"/>
        <v>879709.5065359202</v>
      </c>
      <c r="N9" s="6">
        <f t="shared" si="1"/>
        <v>967680.45718951232</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262495.48746666667</v>
      </c>
      <c r="F13" s="35">
        <f t="shared" si="3"/>
        <v>383962.21453333332</v>
      </c>
      <c r="G13" s="35">
        <f t="shared" si="3"/>
        <v>529848.49367999996</v>
      </c>
      <c r="H13" s="35">
        <f t="shared" si="3"/>
        <v>683060.63845066668</v>
      </c>
      <c r="I13" s="35">
        <f t="shared" si="3"/>
        <v>782427.67088493321</v>
      </c>
      <c r="J13" s="35">
        <f t="shared" si="3"/>
        <v>858461.82130675984</v>
      </c>
      <c r="K13" s="35">
        <f t="shared" si="3"/>
        <v>942162.49010410276</v>
      </c>
      <c r="L13" s="35">
        <f t="shared" si="3"/>
        <v>1034296.329114513</v>
      </c>
      <c r="M13" s="35">
        <f t="shared" si="3"/>
        <v>1135706.6553592978</v>
      </c>
      <c r="N13" s="35">
        <f t="shared" si="3"/>
        <v>1247321.1175618945</v>
      </c>
    </row>
    <row r="14" spans="1:14" s="11" customFormat="1">
      <c r="B14" s="37"/>
      <c r="C14" s="37"/>
      <c r="D14" s="38"/>
    </row>
    <row r="15" spans="1:14" s="11" customFormat="1">
      <c r="A15" s="11" t="s">
        <v>21</v>
      </c>
      <c r="B15" s="37">
        <v>759</v>
      </c>
      <c r="C15" s="37">
        <v>6851</v>
      </c>
      <c r="D15" s="47">
        <v>3.5000000000000003E-2</v>
      </c>
      <c r="E15" s="11">
        <f>$D$15*E13</f>
        <v>9187.3420613333346</v>
      </c>
      <c r="F15" s="11">
        <f t="shared" ref="F15:N15" si="4">$D$15*F13</f>
        <v>13438.677508666668</v>
      </c>
      <c r="G15" s="11">
        <f t="shared" si="4"/>
        <v>18544.697278799998</v>
      </c>
      <c r="H15" s="11">
        <f t="shared" si="4"/>
        <v>23907.122345773336</v>
      </c>
      <c r="I15" s="11">
        <f t="shared" si="4"/>
        <v>27384.968480972664</v>
      </c>
      <c r="J15" s="11">
        <f t="shared" si="4"/>
        <v>30046.163745736598</v>
      </c>
      <c r="K15" s="11">
        <f t="shared" si="4"/>
        <v>32975.687153643601</v>
      </c>
      <c r="L15" s="11">
        <f t="shared" si="4"/>
        <v>36200.37151900796</v>
      </c>
      <c r="M15" s="11">
        <f t="shared" si="4"/>
        <v>39749.732937575427</v>
      </c>
      <c r="N15" s="11">
        <f t="shared" si="4"/>
        <v>43656.239114666314</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56505.505261333332</v>
      </c>
      <c r="F18" s="37">
        <f t="shared" si="5"/>
        <v>84415.922308666661</v>
      </c>
      <c r="G18" s="37">
        <f t="shared" si="5"/>
        <v>117912.83999879999</v>
      </c>
      <c r="H18" s="37">
        <f t="shared" si="5"/>
        <v>153085.7078817733</v>
      </c>
      <c r="I18" s="37">
        <f t="shared" si="5"/>
        <v>175940.34184737265</v>
      </c>
      <c r="J18" s="37">
        <f t="shared" si="5"/>
        <v>193457.07444877658</v>
      </c>
      <c r="K18" s="37">
        <f t="shared" si="5"/>
        <v>212727.68892698758</v>
      </c>
      <c r="L18" s="37">
        <f t="shared" si="5"/>
        <v>233927.57346968638</v>
      </c>
      <c r="M18" s="37">
        <f t="shared" si="5"/>
        <v>257249.6550833217</v>
      </c>
      <c r="N18" s="37">
        <f t="shared" si="5"/>
        <v>282906.15347498725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0.23</v>
      </c>
      <c r="E20" s="12">
        <f>$D$20*E13</f>
        <v>60373.962117333336</v>
      </c>
      <c r="F20" s="12">
        <f t="shared" ref="F20:N20" si="6">$D$20*F13</f>
        <v>88311.30934266666</v>
      </c>
      <c r="G20" s="12">
        <f t="shared" si="6"/>
        <v>121865.15354639999</v>
      </c>
      <c r="H20" s="12">
        <f t="shared" si="6"/>
        <v>157103.94684365334</v>
      </c>
      <c r="I20" s="12">
        <f t="shared" si="6"/>
        <v>179958.36430353465</v>
      </c>
      <c r="J20" s="12">
        <f t="shared" si="6"/>
        <v>197446.21890055478</v>
      </c>
      <c r="K20" s="12">
        <f t="shared" si="6"/>
        <v>216697.37272394364</v>
      </c>
      <c r="L20" s="12">
        <f t="shared" si="6"/>
        <v>237888.15569633801</v>
      </c>
      <c r="M20" s="12">
        <f t="shared" si="6"/>
        <v>261212.53073263849</v>
      </c>
      <c r="N20" s="12">
        <f t="shared" si="6"/>
        <v>286883.85703923577</v>
      </c>
    </row>
    <row r="21" spans="1:14" s="20" customFormat="1">
      <c r="A21" s="20" t="s">
        <v>27</v>
      </c>
      <c r="B21" s="40">
        <f>SUM(B18:B20)</f>
        <v>84058</v>
      </c>
      <c r="C21" s="40">
        <f>SUM(C18:C20)</f>
        <v>89517</v>
      </c>
      <c r="D21" s="41"/>
      <c r="E21" s="40">
        <f t="shared" ref="E21:N21" si="7">SUM(E18:E20)</f>
        <v>125329.13937866667</v>
      </c>
      <c r="F21" s="40">
        <f t="shared" si="7"/>
        <v>185401.73965133331</v>
      </c>
      <c r="G21" s="40">
        <f t="shared" si="7"/>
        <v>257522.30474519997</v>
      </c>
      <c r="H21" s="40">
        <f t="shared" si="7"/>
        <v>333257.25928542664</v>
      </c>
      <c r="I21" s="40">
        <f t="shared" si="7"/>
        <v>382426.45139490732</v>
      </c>
      <c r="J21" s="40">
        <f t="shared" si="7"/>
        <v>420083.81311773136</v>
      </c>
      <c r="K21" s="40">
        <f t="shared" si="7"/>
        <v>461523.63339617127</v>
      </c>
      <c r="L21" s="40">
        <f t="shared" si="7"/>
        <v>507124.15808578837</v>
      </c>
      <c r="M21" s="40">
        <f t="shared" si="7"/>
        <v>557301.45762770064</v>
      </c>
      <c r="N21" s="40">
        <f t="shared" si="7"/>
        <v>612513.20950713754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137166.348088</v>
      </c>
      <c r="F26" s="24">
        <f t="shared" ref="F26:N26" si="8">F27-F21</f>
        <v>198560.47488200001</v>
      </c>
      <c r="G26" s="24">
        <f t="shared" si="8"/>
        <v>272326.18893479998</v>
      </c>
      <c r="H26" s="24">
        <f t="shared" si="8"/>
        <v>349803.37916524004</v>
      </c>
      <c r="I26" s="24">
        <f t="shared" si="8"/>
        <v>400001.21949002589</v>
      </c>
      <c r="J26" s="24">
        <f t="shared" si="8"/>
        <v>438378.00818902848</v>
      </c>
      <c r="K26" s="24">
        <f t="shared" si="8"/>
        <v>480638.8567079315</v>
      </c>
      <c r="L26" s="24">
        <f t="shared" si="8"/>
        <v>527172.17102872464</v>
      </c>
      <c r="M26" s="24">
        <f t="shared" si="8"/>
        <v>578405.19773159712</v>
      </c>
      <c r="N26" s="24">
        <f t="shared" si="8"/>
        <v>634807.90805475693</v>
      </c>
    </row>
    <row r="27" spans="1:14" s="20" customFormat="1">
      <c r="A27" s="42" t="s">
        <v>29</v>
      </c>
      <c r="B27" s="43">
        <f>B26+B21</f>
        <v>177470</v>
      </c>
      <c r="C27" s="43">
        <f>C26+C21</f>
        <v>194117</v>
      </c>
      <c r="D27" s="44"/>
      <c r="E27" s="95">
        <f>E13</f>
        <v>262495.48746666667</v>
      </c>
      <c r="F27" s="95">
        <f t="shared" ref="F27:N27" si="9">F13</f>
        <v>383962.21453333332</v>
      </c>
      <c r="G27" s="95">
        <f t="shared" si="9"/>
        <v>529848.49367999996</v>
      </c>
      <c r="H27" s="95">
        <f t="shared" si="9"/>
        <v>683060.63845066668</v>
      </c>
      <c r="I27" s="95">
        <f t="shared" si="9"/>
        <v>782427.67088493321</v>
      </c>
      <c r="J27" s="95">
        <f t="shared" si="9"/>
        <v>858461.82130675984</v>
      </c>
      <c r="K27" s="95">
        <f t="shared" si="9"/>
        <v>942162.49010410276</v>
      </c>
      <c r="L27" s="95">
        <f t="shared" si="9"/>
        <v>1034296.329114513</v>
      </c>
      <c r="M27" s="95">
        <f t="shared" si="9"/>
        <v>1135706.6553592978</v>
      </c>
      <c r="N27" s="95">
        <f t="shared" si="9"/>
        <v>1247321.1175618945</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-21073.765210666694</v>
      </c>
      <c r="F31" s="11">
        <f>'Cash Flow, DCF, Ratios'!F20</f>
        <v>-47937.681322666664</v>
      </c>
      <c r="G31" s="11">
        <f>'Cash Flow, DCF, Ratios'!G20</f>
        <v>-48860.385505066661</v>
      </c>
      <c r="H31" s="11">
        <f>'Cash Flow, DCF, Ratios'!H20</f>
        <v>-35950.638636586664</v>
      </c>
      <c r="I31" s="11">
        <f>'Cash Flow, DCF, Ratios'!I20</f>
        <v>16852.172859925311</v>
      </c>
      <c r="J31" s="11">
        <f>'Cash Flow, DCF, Ratios'!J20</f>
        <v>43733.313805784521</v>
      </c>
      <c r="K31" s="11">
        <f>'Cash Flow, DCF, Ratios'!K20</f>
        <v>48043.541853029557</v>
      </c>
      <c r="L31" s="11">
        <f>'Cash Flow, DCF, Ratios'!L20</f>
        <v>52784.79270499925</v>
      </c>
      <c r="M31" s="11">
        <f>'Cash Flow, DCF, Ratios'!M20</f>
        <v>58000.168642165772</v>
      </c>
      <c r="N31" s="11">
        <f>'Cash Flow, DCF, Ratios'!N20</f>
        <v>63737.082173049035</v>
      </c>
    </row>
    <row r="32" spans="1:14" s="11" customFormat="1">
      <c r="A32" s="11" t="s">
        <v>31</v>
      </c>
      <c r="D32" s="117" t="s">
        <v>82</v>
      </c>
      <c r="E32" s="11">
        <f>-('Income Statement'!E18*(1-'Income Statement'!$D$20))</f>
        <v>-3854.0022015501863</v>
      </c>
      <c r="F32" s="11">
        <f>-('Income Statement'!F18*(1-'Income Statement'!$D$20))</f>
        <v>-5475.1088613187994</v>
      </c>
      <c r="G32" s="11">
        <f>-('Income Statement'!G18*(1-'Income Statement'!$D$20))</f>
        <v>-7739.4284121420051</v>
      </c>
      <c r="H32" s="11">
        <f>-('Income Statement'!H18*(1-'Income Statement'!$D$20))</f>
        <v>-10272.612603667467</v>
      </c>
      <c r="I32" s="11">
        <f>-('Income Statement'!I18*(1-'Income Statement'!$D$20))</f>
        <v>-12411.80668708693</v>
      </c>
      <c r="J32" s="11">
        <f>-('Income Statement'!J18*(1-'Income Statement'!$D$20))</f>
        <v>-13897.349465168325</v>
      </c>
      <c r="K32" s="11">
        <f>-('Income Statement'!K18*(1-'Income Statement'!$D$20))</f>
        <v>-15250.207543063158</v>
      </c>
      <c r="L32" s="11">
        <f>-('Income Statement'!L18*(1-'Income Statement'!$D$20))</f>
        <v>-16739.420323490147</v>
      </c>
      <c r="M32" s="11">
        <f>-('Income Statement'!M18*(1-'Income Statement'!$D$20))</f>
        <v>-18378.623276702492</v>
      </c>
      <c r="N32" s="11">
        <f>-('Income Statement'!N18*(1-'Income Statement'!$D$20))</f>
        <v>-20182.81541997875</v>
      </c>
    </row>
    <row r="33" spans="1:14" s="11" customFormat="1">
      <c r="A33" s="118" t="s">
        <v>84</v>
      </c>
      <c r="D33" s="117"/>
      <c r="E33" s="11">
        <f>E31+E32</f>
        <v>-24927.767412216879</v>
      </c>
      <c r="F33" s="11">
        <f>F31+F32</f>
        <v>-53412.79018398546</v>
      </c>
      <c r="G33" s="11">
        <f t="shared" ref="G33:N33" si="10">G31+G32</f>
        <v>-56599.813917208667</v>
      </c>
      <c r="H33" s="11">
        <f t="shared" si="10"/>
        <v>-46223.251240254132</v>
      </c>
      <c r="I33" s="11">
        <f t="shared" si="10"/>
        <v>4440.3661728383813</v>
      </c>
      <c r="J33" s="11">
        <f t="shared" si="10"/>
        <v>29835.964340616196</v>
      </c>
      <c r="K33" s="11">
        <f t="shared" si="10"/>
        <v>32793.334309966398</v>
      </c>
      <c r="L33" s="11">
        <f t="shared" si="10"/>
        <v>36045.372381509107</v>
      </c>
      <c r="M33" s="11">
        <f t="shared" si="10"/>
        <v>39621.54536546328</v>
      </c>
      <c r="N33" s="11">
        <f t="shared" si="10"/>
        <v>43554.266753070289</v>
      </c>
    </row>
    <row r="34" spans="1:14" s="11" customFormat="1">
      <c r="A34" s="11" t="s">
        <v>32</v>
      </c>
      <c r="D34" s="92" t="s">
        <v>59</v>
      </c>
      <c r="E34" s="11">
        <f>(E20+E15)-(C20+C15)</f>
        <v>18534.304178666673</v>
      </c>
      <c r="F34" s="11">
        <f>(F20+F15)-(E20+E15)</f>
        <v>32188.682672666648</v>
      </c>
      <c r="G34" s="11">
        <f t="shared" ref="G34:N34" si="11">(G20+G15)-(F20+F15)</f>
        <v>38659.863973866653</v>
      </c>
      <c r="H34" s="11">
        <f t="shared" si="11"/>
        <v>40601.21836422669</v>
      </c>
      <c r="I34" s="11">
        <f t="shared" si="11"/>
        <v>26332.263595080643</v>
      </c>
      <c r="J34" s="11">
        <f t="shared" si="11"/>
        <v>20149.049861784064</v>
      </c>
      <c r="K34" s="11">
        <f t="shared" si="11"/>
        <v>22180.677231295878</v>
      </c>
      <c r="L34" s="11">
        <f t="shared" si="11"/>
        <v>24415.467337758746</v>
      </c>
      <c r="M34" s="11">
        <f t="shared" si="11"/>
        <v>26873.736454867932</v>
      </c>
      <c r="N34" s="11">
        <f t="shared" si="11"/>
        <v>29577.832483688137</v>
      </c>
    </row>
    <row r="35" spans="1:14" s="11" customFormat="1">
      <c r="A35" s="11" t="s">
        <v>85</v>
      </c>
      <c r="D35" s="92" t="s">
        <v>100</v>
      </c>
      <c r="E35" s="11">
        <f>(E26-C26)-'Income Statement'!E21</f>
        <v>8553.332033550214</v>
      </c>
      <c r="F35" s="11">
        <f>(F26-E26)-'Income Statement'!F21</f>
        <v>22914.04191131884</v>
      </c>
      <c r="G35" s="11">
        <f>(G26-F26)-'Income Statement'!G21</f>
        <v>19967.871223342008</v>
      </c>
      <c r="H35" s="11">
        <f>(H26-G26)-'Income Statement'!H21</f>
        <v>7751.3502200275252</v>
      </c>
      <c r="I35" s="11">
        <f>(I26-H26)-'Income Statement'!I21</f>
        <v>-29388.573494319164</v>
      </c>
      <c r="J35" s="11">
        <f>(J26-I26)-'Income Statement'!J21</f>
        <v>-48923.904392640281</v>
      </c>
      <c r="K35" s="11">
        <f>(K26-J26)-'Income Statement'!K21</f>
        <v>-53806.790750526096</v>
      </c>
      <c r="L35" s="11">
        <f>(L26-K26)-'Income Statement'!L21</f>
        <v>-59176.89684945831</v>
      </c>
      <c r="M35" s="11">
        <f>(M26-L26)-'Income Statement'!M21</f>
        <v>-65082.944663540751</v>
      </c>
      <c r="N35" s="11">
        <f>(N26-M26)-'Income Statement'!N21</f>
        <v>-71578.528364288766</v>
      </c>
    </row>
    <row r="36" spans="1:14" s="11" customFormat="1">
      <c r="A36" s="11" t="s">
        <v>86</v>
      </c>
      <c r="D36" s="92"/>
      <c r="E36" s="11">
        <f>E34+E35</f>
        <v>27087.636212216887</v>
      </c>
      <c r="F36" s="11">
        <f>F34+F35</f>
        <v>55102.724583985488</v>
      </c>
      <c r="G36" s="11">
        <f t="shared" ref="G36:N36" si="12">G34+G35</f>
        <v>58627.735197208662</v>
      </c>
      <c r="H36" s="11">
        <f t="shared" si="12"/>
        <v>48352.568584254215</v>
      </c>
      <c r="I36" s="11">
        <f t="shared" si="12"/>
        <v>-3056.3098992385203</v>
      </c>
      <c r="J36" s="11">
        <f t="shared" si="12"/>
        <v>-28774.854530856217</v>
      </c>
      <c r="K36" s="11">
        <f t="shared" si="12"/>
        <v>-31626.113519230217</v>
      </c>
      <c r="L36" s="11">
        <f t="shared" si="12"/>
        <v>-34761.429511699564</v>
      </c>
      <c r="M36" s="11">
        <f t="shared" si="12"/>
        <v>-38209.208208672819</v>
      </c>
      <c r="N36" s="11">
        <f t="shared" si="12"/>
        <v>-42000.69588060063</v>
      </c>
    </row>
    <row r="37" spans="1:14" s="11" customFormat="1">
      <c r="A37" s="11" t="s">
        <v>88</v>
      </c>
      <c r="D37" s="92"/>
      <c r="E37" s="11">
        <f>E33+E36</f>
        <v>2159.8688000000075</v>
      </c>
      <c r="F37" s="11">
        <f>F33+F36</f>
        <v>1689.9344000000274</v>
      </c>
      <c r="G37" s="11">
        <f t="shared" ref="G37:N37" si="13">G33+G36</f>
        <v>2027.921279999995</v>
      </c>
      <c r="H37" s="11">
        <f t="shared" si="13"/>
        <v>2129.3173440000828</v>
      </c>
      <c r="I37" s="11">
        <f t="shared" si="13"/>
        <v>1384.056273599861</v>
      </c>
      <c r="J37" s="11">
        <f t="shared" si="13"/>
        <v>1061.1098097599788</v>
      </c>
      <c r="K37" s="11">
        <f t="shared" si="13"/>
        <v>1167.2207907361808</v>
      </c>
      <c r="L37" s="11">
        <f t="shared" si="13"/>
        <v>1283.9428698095435</v>
      </c>
      <c r="M37" s="11">
        <f t="shared" si="13"/>
        <v>1412.3371567904614</v>
      </c>
      <c r="N37" s="11">
        <f t="shared" si="13"/>
        <v>1553.5708724696597</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7.73070496506989E-12</v>
      </c>
      <c r="F39" s="68">
        <f>F37-F38</f>
        <v>2.7739588404074311E-11</v>
      </c>
      <c r="G39" s="68">
        <f t="shared" ref="G39:N39" si="15">G37-G38</f>
        <v>-4.5474735088646412E-12</v>
      </c>
      <c r="H39" s="68">
        <f t="shared" si="15"/>
        <v>8.1854523159563541E-11</v>
      </c>
      <c r="I39" s="68">
        <f t="shared" si="15"/>
        <v>-1.3824319466948509E-10</v>
      </c>
      <c r="J39" s="68">
        <f t="shared" si="15"/>
        <v>-2.1827872842550278E-11</v>
      </c>
      <c r="K39" s="68">
        <f t="shared" si="15"/>
        <v>1.8007995095103979E-10</v>
      </c>
      <c r="L39" s="68">
        <f t="shared" si="15"/>
        <v>-5.8207660913467407E-11</v>
      </c>
      <c r="M39" s="68">
        <f t="shared" si="15"/>
        <v>-1.0004441719502211E-10</v>
      </c>
      <c r="N39" s="68">
        <f t="shared" si="15"/>
        <v>4.0017766878008842E-11</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topLeftCell="A8" zoomScale="90" workbookViewId="0"/>
  </sheetViews>
  <sheetFormatPr defaultColWidth="9.375" defaultRowHeight="13.2"/>
  <cols>
    <col min="1" max="1" width="34.875" style="3" customWidth="1"/>
    <col min="2" max="3" width="10.875" style="3" customWidth="1"/>
    <col min="4" max="4" width="40.5" style="48" bestFit="1" customWidth="1"/>
    <col min="5" max="14" width="11.875" style="3" customWidth="1"/>
    <col min="15" max="15" width="10.875" style="3" customWidth="1"/>
    <col min="16" max="16384" width="9.375" style="3"/>
  </cols>
  <sheetData>
    <row r="1" spans="1:15" ht="17.399999999999999">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-18179.555999999997</v>
      </c>
      <c r="F13" s="3">
        <f>-('Balance Sheet'!F7-'Balance Sheet'!E7)</f>
        <v>-44360.777999999977</v>
      </c>
      <c r="G13" s="3">
        <f>-('Balance Sheet'!G7-'Balance Sheet'!F7)</f>
        <v>-53232.933599999989</v>
      </c>
      <c r="H13" s="3">
        <f>-('Balance Sheet'!H7-'Balance Sheet'!G7)</f>
        <v>-55894.580279999995</v>
      </c>
      <c r="I13" s="3">
        <f>-('Balance Sheet'!I7-'Balance Sheet'!H7)</f>
        <v>-36331.477182000002</v>
      </c>
      <c r="J13" s="3">
        <f>-('Balance Sheet'!J7-'Balance Sheet'!I7)</f>
        <v>-27854.132506199996</v>
      </c>
      <c r="K13" s="3">
        <f>-('Balance Sheet'!K7-'Balance Sheet'!J7)</f>
        <v>-30639.545756820007</v>
      </c>
      <c r="L13" s="3">
        <f>-('Balance Sheet'!L7-'Balance Sheet'!K7)</f>
        <v>-33703.500332502066</v>
      </c>
      <c r="M13" s="3">
        <f>-('Balance Sheet'!M7-'Balance Sheet'!L7)</f>
        <v>-37073.850365752238</v>
      </c>
      <c r="N13" s="3">
        <f>-('Balance Sheet'!N7-'Balance Sheet'!M7)</f>
        <v>-40781.235402327497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-735.76921066669638</v>
      </c>
      <c r="F17" s="3">
        <f t="shared" ref="F17:N17" si="3">SUM(F7:F16)</f>
        <v>-15406.444122666668</v>
      </c>
      <c r="G17" s="3">
        <f t="shared" si="3"/>
        <v>-7034.5091050666742</v>
      </c>
      <c r="H17" s="3">
        <f t="shared" si="3"/>
        <v>12846.217163413352</v>
      </c>
      <c r="I17" s="3">
        <f t="shared" si="3"/>
        <v>61257.31163792529</v>
      </c>
      <c r="J17" s="3">
        <f t="shared" si="3"/>
        <v>87504.093458384523</v>
      </c>
      <c r="K17" s="3">
        <f t="shared" si="3"/>
        <v>96191.399470889563</v>
      </c>
      <c r="L17" s="3">
        <f t="shared" si="3"/>
        <v>105747.43608464528</v>
      </c>
      <c r="M17" s="3">
        <f t="shared" si="3"/>
        <v>116259.07635977642</v>
      </c>
      <c r="N17" s="3">
        <f t="shared" si="3"/>
        <v>127821.88066242075</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-21073.765210666694</v>
      </c>
      <c r="F20" s="3">
        <f t="shared" ref="F20:N20" si="4">F17-F19</f>
        <v>-47937.681322666664</v>
      </c>
      <c r="G20" s="3">
        <f t="shared" si="4"/>
        <v>-48860.385505066661</v>
      </c>
      <c r="H20" s="3">
        <f t="shared" si="4"/>
        <v>-35950.638636586664</v>
      </c>
      <c r="I20" s="3">
        <f t="shared" si="4"/>
        <v>16852.172859925311</v>
      </c>
      <c r="J20" s="3">
        <f t="shared" si="4"/>
        <v>43733.313805784521</v>
      </c>
      <c r="K20" s="3">
        <f t="shared" si="4"/>
        <v>48043.541853029557</v>
      </c>
      <c r="L20" s="3">
        <f t="shared" si="4"/>
        <v>52784.79270499925</v>
      </c>
      <c r="M20" s="3">
        <f t="shared" si="4"/>
        <v>58000.168642165772</v>
      </c>
      <c r="N20" s="3">
        <f t="shared" si="4"/>
        <v>63737.082173049035</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-21073.765210666694</v>
      </c>
      <c r="F23" s="3">
        <f t="shared" ref="F23:N23" si="5">F20+F22</f>
        <v>-47937.681322666664</v>
      </c>
      <c r="G23" s="3">
        <f t="shared" si="5"/>
        <v>-48860.385505066661</v>
      </c>
      <c r="H23" s="3">
        <f t="shared" si="5"/>
        <v>-35950.638636586664</v>
      </c>
      <c r="I23" s="3">
        <f t="shared" si="5"/>
        <v>16852.172859925311</v>
      </c>
      <c r="J23" s="3">
        <f t="shared" si="5"/>
        <v>43733.313805784521</v>
      </c>
      <c r="K23" s="3">
        <f t="shared" si="5"/>
        <v>48043.541853029557</v>
      </c>
      <c r="L23" s="3">
        <f t="shared" si="5"/>
        <v>52784.79270499925</v>
      </c>
      <c r="M23" s="3">
        <f t="shared" si="5"/>
        <v>58000.168642165772</v>
      </c>
      <c r="N23" s="3">
        <f t="shared" si="5"/>
        <v>1203460.5753071054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-18649.349743952826</v>
      </c>
      <c r="F26" s="3">
        <f t="shared" ref="F26:N26" si="7">F23*F25</f>
        <v>-37542.236136476371</v>
      </c>
      <c r="G26" s="3">
        <f t="shared" si="7"/>
        <v>-33862.69810323722</v>
      </c>
      <c r="H26" s="3">
        <f t="shared" si="7"/>
        <v>-22049.199947852376</v>
      </c>
      <c r="I26" s="3">
        <f t="shared" si="7"/>
        <v>9146.684262904706</v>
      </c>
      <c r="J26" s="3">
        <f t="shared" si="7"/>
        <v>21005.920886965854</v>
      </c>
      <c r="K26" s="3">
        <f t="shared" si="7"/>
        <v>20421.41882789346</v>
      </c>
      <c r="L26" s="3">
        <f t="shared" si="7"/>
        <v>19855.520324950125</v>
      </c>
      <c r="M26" s="3">
        <f t="shared" si="7"/>
        <v>19307.376474605517</v>
      </c>
      <c r="N26" s="3">
        <f t="shared" si="7"/>
        <v>354525.46291463682</v>
      </c>
    </row>
    <row r="27" spans="1:14">
      <c r="A27" s="15"/>
      <c r="D27" s="18"/>
    </row>
    <row r="28" spans="1:14">
      <c r="A28" s="63" t="s">
        <v>35</v>
      </c>
      <c r="B28" s="71">
        <f>SUM(E26:N26)</f>
        <v>332158.89976043766</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281131.89976043766</v>
      </c>
      <c r="C31" s="24"/>
      <c r="D31" s="3"/>
    </row>
    <row r="32" spans="1:14">
      <c r="A32" s="65" t="s">
        <v>9</v>
      </c>
      <c r="B32" s="72">
        <v>11241</v>
      </c>
      <c r="C32" s="24"/>
      <c r="D32" s="3"/>
    </row>
    <row r="33" spans="1:14">
      <c r="A33" s="66" t="s">
        <v>10</v>
      </c>
      <c r="B33" s="73">
        <f>B31/B32</f>
        <v>25.009509808774812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1.8505126845916227</v>
      </c>
      <c r="F38" s="62">
        <f>'Income Statement'!F5/(('Balance Sheet'!E13+'Balance Sheet'!F13)/2)</f>
        <v>1.9606090175409492</v>
      </c>
      <c r="G38" s="62">
        <f>'Income Statement'!G5/(('Balance Sheet'!F13+'Balance Sheet'!G13)/2)</f>
        <v>1.9417928724750189</v>
      </c>
      <c r="H38" s="62">
        <f>'Income Statement'!H5/(('Balance Sheet'!G13+'Balance Sheet'!H13)/2)</f>
        <v>1.901841114797949</v>
      </c>
      <c r="I38" s="62">
        <f>'Income Statement'!I5/(('Balance Sheet'!H13+'Balance Sheet'!I13)/2)</f>
        <v>1.8101642350205256</v>
      </c>
      <c r="J38" s="62">
        <f>'Income Statement'!J5/(('Balance Sheet'!I13+'Balance Sheet'!J13)/2)</f>
        <v>1.7783354642258293</v>
      </c>
      <c r="K38" s="62">
        <f>'Income Statement'!K5/(('Balance Sheet'!J13+'Balance Sheet'!K13)/2)</f>
        <v>1.7826356970649508</v>
      </c>
      <c r="L38" s="62">
        <f>'Income Statement'!L5/(('Balance Sheet'!K13+'Balance Sheet'!L13)/2)</f>
        <v>1.7864490054856308</v>
      </c>
      <c r="M38" s="62">
        <f>'Income Statement'!M5/(('Balance Sheet'!L13+'Balance Sheet'!M13)/2)</f>
        <v>1.7898257324820355</v>
      </c>
      <c r="N38" s="62">
        <f>'Income Statement'!N5/(('Balance Sheet'!M13+'Balance Sheet'!N13)/2)</f>
        <v>1.7928116272242591</v>
      </c>
    </row>
    <row r="39" spans="1:14">
      <c r="A39" s="3" t="s">
        <v>39</v>
      </c>
      <c r="B39" s="75"/>
      <c r="C39" s="75">
        <f>C37*C38</f>
        <v>8.9766040749227963E-2</v>
      </c>
      <c r="D39" s="90" t="s">
        <v>97</v>
      </c>
      <c r="E39" s="119">
        <f>E37*E38</f>
        <v>0.1220598166756633</v>
      </c>
      <c r="F39" s="119">
        <f>F37*F38</f>
        <v>0.13598784145664017</v>
      </c>
      <c r="G39" s="119">
        <f t="shared" ref="G39:N39" si="9">G37*G38</f>
        <v>0.13468275363486726</v>
      </c>
      <c r="H39" s="119">
        <f t="shared" si="9"/>
        <v>0.13191169972238578</v>
      </c>
      <c r="I39" s="119">
        <f t="shared" si="9"/>
        <v>0.1255529913410236</v>
      </c>
      <c r="J39" s="119">
        <f t="shared" si="9"/>
        <v>0.1233453477987035</v>
      </c>
      <c r="K39" s="119">
        <f t="shared" si="9"/>
        <v>0.12364361194842492</v>
      </c>
      <c r="L39" s="119">
        <f t="shared" si="9"/>
        <v>0.12390810302048341</v>
      </c>
      <c r="M39" s="119">
        <f t="shared" si="9"/>
        <v>0.12414231280495397</v>
      </c>
      <c r="N39" s="119">
        <f t="shared" si="9"/>
        <v>0.12434941446427462</v>
      </c>
    </row>
    <row r="40" spans="1:14">
      <c r="A40" s="3" t="s">
        <v>93</v>
      </c>
      <c r="B40" s="120"/>
      <c r="C40" s="120">
        <f>'Income Statement'!C21/'Cash Flow, DCF, Ratios'!C7</f>
        <v>0.77461572960410963</v>
      </c>
      <c r="D40" s="103" t="s">
        <v>92</v>
      </c>
      <c r="E40" s="120">
        <f>'Income Statement'!E21/'Cash Flow, DCF, Ratios'!E7</f>
        <v>0.86170023049665911</v>
      </c>
      <c r="F40" s="120">
        <f>'Income Statement'!F21/'Cash Flow, DCF, Ratios'!F7</f>
        <v>0.87543886410314886</v>
      </c>
      <c r="G40" s="120">
        <f>'Income Statement'!G21/'Cash Flow, DCF, Ratios'!G7</f>
        <v>0.87423185565449568</v>
      </c>
      <c r="H40" s="120">
        <f>'Income Statement'!H21/'Cash Flow, DCF, Ratios'!H7</f>
        <v>0.87158985870359862</v>
      </c>
      <c r="I40" s="120">
        <f>'Income Statement'!I21/'Cash Flow, DCF, Ratios'!I7</f>
        <v>0.8650864482074242</v>
      </c>
      <c r="J40" s="120">
        <f>'Income Statement'!J21/'Cash Flow, DCF, Ratios'!J7</f>
        <v>0.86267175615213576</v>
      </c>
      <c r="K40" s="120">
        <f>'Income Statement'!K21/'Cash Flow, DCF, Ratios'!K7</f>
        <v>0.86300303159159064</v>
      </c>
      <c r="L40" s="120">
        <f>'Income Statement'!L21/'Cash Flow, DCF, Ratios'!L7</f>
        <v>0.86329546182141259</v>
      </c>
      <c r="M40" s="120">
        <f>'Income Statement'!M21/'Cash Flow, DCF, Ratios'!M7</f>
        <v>0.86355337179344027</v>
      </c>
      <c r="N40" s="120">
        <f>'Income Statement'!N21/'Cash Flow, DCF, Ratios'!N7</f>
        <v>0.86378062113942244</v>
      </c>
    </row>
    <row r="41" spans="1:14">
      <c r="A41" s="3" t="s">
        <v>94</v>
      </c>
      <c r="B41" s="62"/>
      <c r="C41" s="62">
        <f>(('Balance Sheet'!B13+'Balance Sheet'!C13)/2)/(('Balance Sheet'!B26+'Balance Sheet'!C26)/2)</f>
        <v>1.8765882875785307</v>
      </c>
      <c r="D41" s="103" t="s">
        <v>96</v>
      </c>
      <c r="E41" s="62">
        <f>(('Balance Sheet'!C13+'Balance Sheet'!E13)/2)/(('Balance Sheet'!C26+'Balance Sheet'!E26)/2)</f>
        <v>1.8886519611921562</v>
      </c>
      <c r="F41" s="62">
        <f>(('Balance Sheet'!E13+'Balance Sheet'!F13)/2)/(('Balance Sheet'!E26+'Balance Sheet'!F26)/2)</f>
        <v>1.9255467772313399</v>
      </c>
      <c r="G41" s="62">
        <f>(('Balance Sheet'!F13+'Balance Sheet'!G13)/2)/(('Balance Sheet'!F26+'Balance Sheet'!G26)/2)</f>
        <v>1.9406170920331147</v>
      </c>
      <c r="H41" s="62">
        <f>(('Balance Sheet'!G13+'Balance Sheet'!H13)/2)/(('Balance Sheet'!G26+'Balance Sheet'!H26)/2)</f>
        <v>1.9496085611793774</v>
      </c>
      <c r="I41" s="62">
        <f>(('Balance Sheet'!H13+'Balance Sheet'!I13)/2)/(('Balance Sheet'!H26+'Balance Sheet'!I26)/2)</f>
        <v>1.9544936266913726</v>
      </c>
      <c r="J41" s="62">
        <f>(('Balance Sheet'!I13+'Balance Sheet'!J13)/2)/(('Balance Sheet'!I26+'Balance Sheet'!J26)/2)</f>
        <v>1.9572163026203377</v>
      </c>
      <c r="K41" s="62">
        <f>(('Balance Sheet'!J13+'Balance Sheet'!K13)/2)/(('Balance Sheet'!J26+'Balance Sheet'!K26)/2)</f>
        <v>1.9592940893557467</v>
      </c>
      <c r="L41" s="62">
        <f>(('Balance Sheet'!K13+'Balance Sheet'!L13)/2)/(('Balance Sheet'!K26+'Balance Sheet'!L26)/2)</f>
        <v>1.9611402979558088</v>
      </c>
      <c r="M41" s="62">
        <f>(('Balance Sheet'!L13+'Balance Sheet'!M13)/2)/(('Balance Sheet'!L26+'Balance Sheet'!M26)/2)</f>
        <v>1.9627780432110542</v>
      </c>
      <c r="N41" s="62">
        <f>(('Balance Sheet'!M13+'Balance Sheet'!N13)/2)/(('Balance Sheet'!M26+'Balance Sheet'!N26)/2)</f>
        <v>1.9642285115083828</v>
      </c>
    </row>
    <row r="42" spans="1:14">
      <c r="A42" s="3" t="s">
        <v>76</v>
      </c>
      <c r="B42" s="119"/>
      <c r="C42" s="119">
        <f>C39*C40*C41</f>
        <v>0.13048704118942286</v>
      </c>
      <c r="D42" s="90" t="s">
        <v>95</v>
      </c>
      <c r="E42" s="119">
        <f>E39*E40*E41</f>
        <v>0.19864647205333424</v>
      </c>
      <c r="F42" s="119">
        <f>F39*F40*F41</f>
        <v>0.22923449810931365</v>
      </c>
      <c r="G42" s="119">
        <f t="shared" ref="G42:N42" si="10">G39*G40*G41</f>
        <v>0.22849592890737802</v>
      </c>
      <c r="H42" s="119">
        <f t="shared" si="10"/>
        <v>0.22415214960238133</v>
      </c>
      <c r="I42" s="119">
        <f t="shared" si="10"/>
        <v>0.2122857447442679</v>
      </c>
      <c r="J42" s="119">
        <f t="shared" si="10"/>
        <v>0.20826063005717274</v>
      </c>
      <c r="K42" s="119">
        <f t="shared" si="10"/>
        <v>0.20906610735636544</v>
      </c>
      <c r="L42" s="119">
        <f t="shared" si="10"/>
        <v>0.20978181079771599</v>
      </c>
      <c r="M42" s="119">
        <f t="shared" si="10"/>
        <v>0.21041670108865876</v>
      </c>
      <c r="N42" s="119">
        <f t="shared" si="10"/>
        <v>0.21097899136936291</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Havlíček Jan</cp:lastModifiedBy>
  <cp:lastPrinted>1999-02-17T02:45:34Z</cp:lastPrinted>
  <dcterms:created xsi:type="dcterms:W3CDTF">1998-02-10T17:41:39Z</dcterms:created>
  <dcterms:modified xsi:type="dcterms:W3CDTF">2023-09-10T13:49:54Z</dcterms:modified>
</cp:coreProperties>
</file>