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9696" windowHeight="7296"/>
  </bookViews>
  <sheets>
    <sheet name="Scheduling" sheetId="1" r:id="rId1"/>
  </sheets>
  <definedNames>
    <definedName name="_xlnm.Print_Area" localSheetId="0">Scheduling!$A$1:$AA$41</definedName>
  </definedNames>
  <calcPr calcId="0"/>
</workbook>
</file>

<file path=xl/calcChain.xml><?xml version="1.0" encoding="utf-8"?>
<calcChain xmlns="http://schemas.openxmlformats.org/spreadsheetml/2006/main">
  <c r="B12" i="1" l="1"/>
  <c r="AA12" i="1"/>
  <c r="B13" i="1"/>
  <c r="B14" i="1"/>
  <c r="AA14" i="1"/>
  <c r="B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C28" i="1"/>
</calcChain>
</file>

<file path=xl/sharedStrings.xml><?xml version="1.0" encoding="utf-8"?>
<sst xmlns="http://schemas.openxmlformats.org/spreadsheetml/2006/main" count="74" uniqueCount="49">
  <si>
    <t xml:space="preserve"> </t>
  </si>
  <si>
    <t>CALIFORNIA SCHEDULING COORDINATION AND</t>
  </si>
  <si>
    <t>ENERGY PURCHASES AND SALES AGREEMENT</t>
  </si>
  <si>
    <t>HE</t>
  </si>
  <si>
    <t>Contact Persons</t>
  </si>
  <si>
    <t>EPMI</t>
  </si>
  <si>
    <t>Hanson</t>
  </si>
  <si>
    <t>Lisa Gang</t>
  </si>
  <si>
    <t>Chris Foster</t>
  </si>
  <si>
    <t>Les Rawson</t>
  </si>
  <si>
    <t>Stan Cocke</t>
  </si>
  <si>
    <t>Telephone</t>
  </si>
  <si>
    <t>E-Mail</t>
  </si>
  <si>
    <t>scocke@enron.com</t>
  </si>
  <si>
    <t>503/464-3829</t>
  </si>
  <si>
    <t>503/464-3822</t>
  </si>
  <si>
    <t>503/464-3824</t>
  </si>
  <si>
    <t>chris.h.foster@enron.com</t>
  </si>
  <si>
    <t>lrawson@enron.com</t>
  </si>
  <si>
    <t>Peter Russo - Production Manager</t>
  </si>
  <si>
    <t>408 996 4235</t>
  </si>
  <si>
    <t>peter.russo@hansonamerica.com</t>
  </si>
  <si>
    <t>Alan Strong - Electrical Engineer</t>
  </si>
  <si>
    <t>408 996 4267</t>
  </si>
  <si>
    <t>alan.strong@hansonamerica.com</t>
  </si>
  <si>
    <t>Stewart Smith  - VP Operations</t>
  </si>
  <si>
    <t>408 996 4271</t>
  </si>
  <si>
    <t>stewart.smith@hansonamerica.com</t>
  </si>
  <si>
    <t>Craig Adams - Accounts</t>
  </si>
  <si>
    <t>408 996 4240</t>
  </si>
  <si>
    <t>craig.adams@hansonamerica.com</t>
  </si>
  <si>
    <t>Day Ahead Incremental Quantity (Hanson needs to purchase)</t>
  </si>
  <si>
    <t>Day Ahead Decremental Quantity (Hanson needs to sell)</t>
  </si>
  <si>
    <t>HANSON PERMANENTE CEMENT</t>
  </si>
  <si>
    <t>Power Usage Forecast</t>
  </si>
  <si>
    <t>503/464-5053</t>
  </si>
  <si>
    <t>lgang@enron.com</t>
  </si>
  <si>
    <t>Serena Bishop</t>
  </si>
  <si>
    <t>503 464 3911</t>
  </si>
  <si>
    <t>serena.bishop@enron.com</t>
  </si>
  <si>
    <t>Total</t>
  </si>
  <si>
    <t>Day of Scheduling</t>
  </si>
  <si>
    <t>Monday: Tuesday Scheduling</t>
  </si>
  <si>
    <t>Tuesday: Wednesday Scheduling</t>
  </si>
  <si>
    <t>Wednesday: Thursday Scheduling</t>
  </si>
  <si>
    <t>Thursday: Friday &amp; Saturday Scheduling</t>
  </si>
  <si>
    <t>Holiday</t>
  </si>
  <si>
    <t>Friday: Sunday and Monday LLH Scheduling</t>
  </si>
  <si>
    <t>Friday: Monday HLH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</si>
</sst>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0" formatCode="0.000"/>
    <numFmt numFmtId="175" formatCode="00000"/>
    <numFmt numFmtId="176" formatCode="mm/dd/yy"/>
  </numFmts>
  <fonts count="13" x14ac:knownFonts="1">
    <font>
      <sz val="10"/>
      <name val="Arial"/>
    </font>
    <font>
      <b/>
      <sz val="10"/>
      <name val="Times New Roman"/>
      <family val="1"/>
    </font>
    <font>
      <b/>
      <sz val="10"/>
      <name val="Arial"/>
      <family val="2"/>
    </font>
    <font>
      <u/>
      <sz val="10"/>
      <color indexed="12"/>
      <name val="Arial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0" fillId="0" borderId="0" xfId="0" applyAlignment="1">
      <alignment horizontal="center"/>
    </xf>
    <xf numFmtId="1" fontId="5" fillId="0" borderId="0" xfId="0" applyNumberFormat="1" applyFont="1" applyBorder="1"/>
    <xf numFmtId="1" fontId="7" fillId="0" borderId="1" xfId="0" applyNumberFormat="1" applyFont="1" applyBorder="1"/>
    <xf numFmtId="1" fontId="7" fillId="0" borderId="0" xfId="0" applyNumberFormat="1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1" fontId="7" fillId="0" borderId="6" xfId="0" applyNumberFormat="1" applyFont="1" applyBorder="1"/>
    <xf numFmtId="0" fontId="2" fillId="0" borderId="5" xfId="0" applyFont="1" applyBorder="1"/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5" xfId="0" applyFont="1" applyBorder="1" applyAlignment="1">
      <alignment horizontal="left" wrapText="1"/>
    </xf>
    <xf numFmtId="175" fontId="0" fillId="0" borderId="0" xfId="0" quotePrefix="1" applyNumberFormat="1"/>
    <xf numFmtId="0" fontId="10" fillId="0" borderId="3" xfId="0" applyFont="1" applyBorder="1"/>
    <xf numFmtId="176" fontId="11" fillId="0" borderId="11" xfId="0" applyNumberFormat="1" applyFont="1" applyBorder="1" applyAlignment="1">
      <alignment horizontal="right" wrapText="1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0" fillId="3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170" fontId="12" fillId="3" borderId="14" xfId="0" applyNumberFormat="1" applyFont="1" applyFill="1" applyBorder="1"/>
    <xf numFmtId="170" fontId="12" fillId="4" borderId="14" xfId="0" applyNumberFormat="1" applyFont="1" applyFill="1" applyBorder="1"/>
    <xf numFmtId="0" fontId="10" fillId="5" borderId="14" xfId="0" applyFont="1" applyFill="1" applyBorder="1" applyAlignment="1">
      <alignment horizontal="left" wrapText="1"/>
    </xf>
    <xf numFmtId="170" fontId="12" fillId="5" borderId="14" xfId="0" applyNumberFormat="1" applyFont="1" applyFill="1" applyBorder="1"/>
    <xf numFmtId="0" fontId="0" fillId="0" borderId="0" xfId="0" applyBorder="1" applyAlignment="1"/>
    <xf numFmtId="0" fontId="3" fillId="0" borderId="0" xfId="1" applyFont="1" applyBorder="1" applyAlignment="1" applyProtection="1"/>
    <xf numFmtId="1" fontId="0" fillId="0" borderId="0" xfId="0" applyNumberFormat="1"/>
    <xf numFmtId="0" fontId="0" fillId="0" borderId="16" xfId="0" applyBorder="1" applyAlignment="1">
      <alignment horizontal="center"/>
    </xf>
    <xf numFmtId="170" fontId="12" fillId="3" borderId="17" xfId="0" applyNumberFormat="1" applyFont="1" applyFill="1" applyBorder="1"/>
    <xf numFmtId="170" fontId="12" fillId="4" borderId="16" xfId="0" applyNumberFormat="1" applyFont="1" applyFill="1" applyBorder="1"/>
    <xf numFmtId="170" fontId="12" fillId="5" borderId="16" xfId="0" applyNumberFormat="1" applyFont="1" applyFill="1" applyBorder="1"/>
    <xf numFmtId="0" fontId="8" fillId="0" borderId="3" xfId="0" applyFont="1" applyFill="1" applyBorder="1" applyAlignment="1"/>
    <xf numFmtId="0" fontId="2" fillId="0" borderId="3" xfId="0" applyFont="1" applyFill="1" applyBorder="1" applyAlignment="1"/>
    <xf numFmtId="0" fontId="10" fillId="0" borderId="1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" fontId="5" fillId="0" borderId="12" xfId="0" applyNumberFormat="1" applyFont="1" applyBorder="1"/>
    <xf numFmtId="1" fontId="5" fillId="0" borderId="13" xfId="0" applyNumberFormat="1" applyFont="1" applyBorder="1"/>
    <xf numFmtId="1" fontId="5" fillId="0" borderId="19" xfId="0" applyNumberFormat="1" applyFont="1" applyBorder="1"/>
    <xf numFmtId="1" fontId="7" fillId="0" borderId="19" xfId="0" applyNumberFormat="1" applyFont="1" applyBorder="1"/>
    <xf numFmtId="1" fontId="7" fillId="0" borderId="17" xfId="0" applyNumberFormat="1" applyFont="1" applyBorder="1"/>
    <xf numFmtId="0" fontId="4" fillId="0" borderId="20" xfId="0" applyFont="1" applyBorder="1" applyAlignment="1">
      <alignment horizontal="left" wrapText="1"/>
    </xf>
    <xf numFmtId="0" fontId="4" fillId="0" borderId="21" xfId="0" applyFont="1" applyBorder="1" applyAlignment="1">
      <alignment horizontal="left" wrapText="1"/>
    </xf>
    <xf numFmtId="0" fontId="6" fillId="0" borderId="21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1" fontId="5" fillId="0" borderId="20" xfId="0" applyNumberFormat="1" applyFont="1" applyBorder="1"/>
    <xf numFmtId="1" fontId="5" fillId="0" borderId="21" xfId="0" applyNumberFormat="1" applyFont="1" applyBorder="1"/>
    <xf numFmtId="1" fontId="7" fillId="0" borderId="21" xfId="0" applyNumberFormat="1" applyFont="1" applyBorder="1"/>
    <xf numFmtId="1" fontId="7" fillId="0" borderId="22" xfId="0" applyNumberFormat="1" applyFont="1" applyBorder="1"/>
    <xf numFmtId="170" fontId="12" fillId="5" borderId="11" xfId="0" applyNumberFormat="1" applyFont="1" applyFill="1" applyBorder="1"/>
    <xf numFmtId="0" fontId="2" fillId="0" borderId="0" xfId="0" applyFont="1" applyBorder="1" applyAlignment="1"/>
    <xf numFmtId="0" fontId="0" fillId="0" borderId="0" xfId="0" applyBorder="1" applyAlignment="1"/>
    <xf numFmtId="0" fontId="3" fillId="0" borderId="0" xfId="1" applyBorder="1" applyAlignment="1" applyProtection="1"/>
    <xf numFmtId="0" fontId="3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7" dropStyle="combo" dx="26" fmlaLink="$AJ$5" fmlaRange="$AJ$6:$AJ$12" sel="4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7</xdr:row>
          <xdr:rowOff>7620</xdr:rowOff>
        </xdr:from>
        <xdr:to>
          <xdr:col>2</xdr:col>
          <xdr:colOff>7620</xdr:colOff>
          <xdr:row>8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mailto:lgang@eneron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chris.h.foster@enron.com" TargetMode="External"/><Relationship Id="rId1" Type="http://schemas.openxmlformats.org/officeDocument/2006/relationships/hyperlink" Target="mailto:scocke@enron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rawson@enr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44"/>
  <sheetViews>
    <sheetView tabSelected="1" zoomScale="75" zoomScaleNormal="8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B10" sqref="B10"/>
    </sheetView>
  </sheetViews>
  <sheetFormatPr defaultRowHeight="13.2" x14ac:dyDescent="0.25"/>
  <cols>
    <col min="1" max="1" width="1.44140625" customWidth="1"/>
    <col min="2" max="2" width="75.109375" customWidth="1"/>
    <col min="3" max="26" width="8.6640625" customWidth="1"/>
    <col min="27" max="27" width="11.109375" bestFit="1" customWidth="1"/>
    <col min="36" max="36" width="35.33203125" bestFit="1" customWidth="1"/>
  </cols>
  <sheetData>
    <row r="1" spans="2:36" x14ac:dyDescent="0.25">
      <c r="C1" s="17"/>
      <c r="D1" s="17"/>
    </row>
    <row r="2" spans="2:36" ht="18.600000000000001" customHeight="1" x14ac:dyDescent="0.3">
      <c r="B2" s="5"/>
      <c r="C2" s="39"/>
      <c r="D2" s="40"/>
      <c r="E2" s="6"/>
      <c r="F2" s="21" t="s">
        <v>33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spans="2:36" x14ac:dyDescent="0.25">
      <c r="B3" s="8" t="s">
        <v>0</v>
      </c>
      <c r="C3" s="9"/>
      <c r="D3" s="9"/>
      <c r="E3" s="9"/>
      <c r="F3" s="9"/>
      <c r="G3" s="9" t="s">
        <v>34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</row>
    <row r="4" spans="2:36" x14ac:dyDescent="0.25">
      <c r="B4" s="11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</row>
    <row r="5" spans="2:36" x14ac:dyDescent="0.25">
      <c r="B5" s="11" t="s">
        <v>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J5">
        <v>4</v>
      </c>
    </row>
    <row r="6" spans="2:36" ht="13.8" thickBot="1" x14ac:dyDescent="0.3">
      <c r="B6" s="11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J6" t="s">
        <v>42</v>
      </c>
    </row>
    <row r="7" spans="2:36" ht="13.8" thickBot="1" x14ac:dyDescent="0.3">
      <c r="B7" s="12" t="s">
        <v>41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J7" t="s">
        <v>43</v>
      </c>
    </row>
    <row r="8" spans="2:36" ht="16.5" customHeight="1" x14ac:dyDescent="0.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J8" t="s">
        <v>44</v>
      </c>
    </row>
    <row r="9" spans="2:36" ht="13.8" thickBot="1" x14ac:dyDescent="0.3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J9" t="s">
        <v>45</v>
      </c>
    </row>
    <row r="10" spans="2:36" ht="16.2" thickBot="1" x14ac:dyDescent="0.35">
      <c r="B10" s="22">
        <v>37428</v>
      </c>
      <c r="C10" s="23" t="s">
        <v>3</v>
      </c>
      <c r="D10" s="23" t="s">
        <v>3</v>
      </c>
      <c r="E10" s="23" t="s">
        <v>3</v>
      </c>
      <c r="F10" s="23" t="s">
        <v>3</v>
      </c>
      <c r="G10" s="23" t="s">
        <v>3</v>
      </c>
      <c r="H10" s="23" t="s">
        <v>3</v>
      </c>
      <c r="I10" s="23" t="s">
        <v>3</v>
      </c>
      <c r="J10" s="23" t="s">
        <v>3</v>
      </c>
      <c r="K10" s="23" t="s">
        <v>3</v>
      </c>
      <c r="L10" s="23" t="s">
        <v>3</v>
      </c>
      <c r="M10" s="23" t="s">
        <v>3</v>
      </c>
      <c r="N10" s="23" t="s">
        <v>3</v>
      </c>
      <c r="O10" s="23" t="s">
        <v>3</v>
      </c>
      <c r="P10" s="23" t="s">
        <v>3</v>
      </c>
      <c r="Q10" s="23" t="s">
        <v>3</v>
      </c>
      <c r="R10" s="23" t="s">
        <v>3</v>
      </c>
      <c r="S10" s="23" t="s">
        <v>3</v>
      </c>
      <c r="T10" s="23" t="s">
        <v>3</v>
      </c>
      <c r="U10" s="23" t="s">
        <v>3</v>
      </c>
      <c r="V10" s="23" t="s">
        <v>3</v>
      </c>
      <c r="W10" s="23" t="s">
        <v>3</v>
      </c>
      <c r="X10" s="23" t="s">
        <v>3</v>
      </c>
      <c r="Y10" s="23" t="s">
        <v>3</v>
      </c>
      <c r="Z10" s="41" t="s">
        <v>3</v>
      </c>
      <c r="AA10" s="24" t="s">
        <v>40</v>
      </c>
      <c r="AJ10" t="s">
        <v>47</v>
      </c>
    </row>
    <row r="11" spans="2:36" ht="16.2" customHeight="1" thickBot="1" x14ac:dyDescent="0.35">
      <c r="B11" s="22">
        <v>37429</v>
      </c>
      <c r="C11" s="25">
        <v>1</v>
      </c>
      <c r="D11" s="25">
        <v>2</v>
      </c>
      <c r="E11" s="25">
        <v>3</v>
      </c>
      <c r="F11" s="25">
        <v>4</v>
      </c>
      <c r="G11" s="25">
        <v>5</v>
      </c>
      <c r="H11" s="25">
        <v>6</v>
      </c>
      <c r="I11" s="25">
        <v>7</v>
      </c>
      <c r="J11" s="25">
        <v>8</v>
      </c>
      <c r="K11" s="25">
        <v>9</v>
      </c>
      <c r="L11" s="25">
        <v>10</v>
      </c>
      <c r="M11" s="25">
        <v>11</v>
      </c>
      <c r="N11" s="25">
        <v>12</v>
      </c>
      <c r="O11" s="25">
        <v>13</v>
      </c>
      <c r="P11" s="25">
        <v>14</v>
      </c>
      <c r="Q11" s="25">
        <v>15</v>
      </c>
      <c r="R11" s="25">
        <v>16</v>
      </c>
      <c r="S11" s="25">
        <v>17</v>
      </c>
      <c r="T11" s="25">
        <v>18</v>
      </c>
      <c r="U11" s="25">
        <v>19</v>
      </c>
      <c r="V11" s="25">
        <v>20</v>
      </c>
      <c r="W11" s="25">
        <v>21</v>
      </c>
      <c r="X11" s="25">
        <v>22</v>
      </c>
      <c r="Y11" s="25">
        <v>23</v>
      </c>
      <c r="Z11" s="42">
        <v>24</v>
      </c>
      <c r="AA11" s="35"/>
      <c r="AB11" s="1"/>
      <c r="AC11" s="1"/>
      <c r="AD11" s="1"/>
      <c r="AE11" s="1"/>
      <c r="AF11" s="1"/>
      <c r="AJ11" t="s">
        <v>48</v>
      </c>
    </row>
    <row r="12" spans="2:36" ht="19.2" customHeight="1" thickBot="1" x14ac:dyDescent="0.35">
      <c r="B12" s="26" t="str">
        <f>IF(AJ5=1,"Long Term Purchase Quantity for Tuesday",IF(AJ5=2,"Long Term Purchase Quantity for Wednesday",IF(AJ5=3,"Long Term Purchase Quantity for Thursday",IF(AJ5=4,"Long Term Purchase Quantity for Friday",IF(AJ5=5,"Long Term Purchase Quantity for Sunday",IF(AJ5=7,"Long Term Purchase Quantity for a Holiday",IF(AJ5=6,"","")))))))</f>
        <v>Long Term Purchase Quantity for Friday</v>
      </c>
      <c r="C12" s="28">
        <v>30.948</v>
      </c>
      <c r="D12" s="28">
        <v>29.664000000000001</v>
      </c>
      <c r="E12" s="28">
        <v>30.42</v>
      </c>
      <c r="F12" s="28">
        <v>29.22</v>
      </c>
      <c r="G12" s="28">
        <v>29.148</v>
      </c>
      <c r="H12" s="28">
        <v>28.475999999999999</v>
      </c>
      <c r="I12" s="28">
        <v>29.292000000000002</v>
      </c>
      <c r="J12" s="28">
        <v>30.024000000000001</v>
      </c>
      <c r="K12" s="28">
        <v>30.372</v>
      </c>
      <c r="L12" s="28">
        <v>29.088000000000001</v>
      </c>
      <c r="M12" s="28">
        <v>29.748000000000001</v>
      </c>
      <c r="N12" s="28">
        <v>30.204000000000001</v>
      </c>
      <c r="O12" s="28">
        <v>26.712</v>
      </c>
      <c r="P12" s="28">
        <v>24.84</v>
      </c>
      <c r="Q12" s="28">
        <v>26.04</v>
      </c>
      <c r="R12" s="28">
        <v>28.584</v>
      </c>
      <c r="S12" s="28">
        <v>31.116</v>
      </c>
      <c r="T12" s="28">
        <v>31.5</v>
      </c>
      <c r="U12" s="28">
        <v>31.187999999999999</v>
      </c>
      <c r="V12" s="28">
        <v>29.327999999999999</v>
      </c>
      <c r="W12" s="28">
        <v>29.448</v>
      </c>
      <c r="X12" s="28">
        <v>29.664000000000001</v>
      </c>
      <c r="Y12" s="28">
        <v>29.327999999999999</v>
      </c>
      <c r="Z12" s="28">
        <v>28.992000000000001</v>
      </c>
      <c r="AA12" s="36">
        <f>SUM(C12:Z12)</f>
        <v>703.34399999999982</v>
      </c>
      <c r="AJ12" t="s">
        <v>46</v>
      </c>
    </row>
    <row r="13" spans="2:36" ht="19.2" customHeight="1" thickBot="1" x14ac:dyDescent="0.35">
      <c r="B13" s="26" t="str">
        <f>IF(AJ5=4,"Long Term Purchase Quantity for Saturday",IF(AJ5=5,"Long Term Purchase Quantity for Monday LLH",IF(AJ5=6,"Long Term Purchase Quantity for Monday HLH","")))</f>
        <v>Long Term Purchase Quantity for Saturday</v>
      </c>
      <c r="C13" s="28">
        <v>28.98</v>
      </c>
      <c r="D13" s="28">
        <v>28.92</v>
      </c>
      <c r="E13" s="28">
        <v>29.591999999999999</v>
      </c>
      <c r="F13" s="28">
        <v>30.443999999999999</v>
      </c>
      <c r="G13" s="28">
        <v>30.408000000000001</v>
      </c>
      <c r="H13" s="28">
        <v>29.675999999999998</v>
      </c>
      <c r="I13" s="28">
        <v>29.436</v>
      </c>
      <c r="J13" s="28">
        <v>30.288</v>
      </c>
      <c r="K13" s="28">
        <v>30.768000000000001</v>
      </c>
      <c r="L13" s="28">
        <v>30.635999999999999</v>
      </c>
      <c r="M13" s="28">
        <v>29.292000000000002</v>
      </c>
      <c r="N13" s="28">
        <v>28.728000000000002</v>
      </c>
      <c r="O13" s="28">
        <v>28.344000000000001</v>
      </c>
      <c r="P13" s="28">
        <v>27.827999999999999</v>
      </c>
      <c r="Q13" s="28">
        <v>27.803999999999998</v>
      </c>
      <c r="R13" s="28">
        <v>29.495999999999999</v>
      </c>
      <c r="S13" s="28">
        <v>29.7</v>
      </c>
      <c r="T13" s="28">
        <v>29.808</v>
      </c>
      <c r="U13" s="28">
        <v>28.751999999999999</v>
      </c>
      <c r="V13" s="28">
        <v>27.78</v>
      </c>
      <c r="W13" s="28">
        <v>27.792000000000002</v>
      </c>
      <c r="X13" s="28">
        <v>24.923999999999999</v>
      </c>
      <c r="Y13" s="28">
        <v>24.54</v>
      </c>
      <c r="Z13" s="28">
        <v>28.608000000000001</v>
      </c>
      <c r="AA13" s="36"/>
    </row>
    <row r="14" spans="2:36" ht="16.2" thickBot="1" x14ac:dyDescent="0.35">
      <c r="B14" s="27" t="str">
        <f>IF(AJ5=1,"Expected Usage for Tuesday",IF(AJ5=2,"Expected Usage for Wednesday",IF(AJ5=3,"Expected Usage for Thursday",IF(AJ5=4,"Expected Usage for Friday",IF(AJ5=5,"Expected Usage for Sunday",IF(AJ5=7,"Expected Usage for a Holiday",IF(AJ5=6,"","")))))))</f>
        <v>Expected Usage for Friday</v>
      </c>
      <c r="C14" s="29">
        <v>31.610235906692587</v>
      </c>
      <c r="D14" s="29">
        <v>31.610235906692587</v>
      </c>
      <c r="E14" s="29">
        <v>31.610235906692587</v>
      </c>
      <c r="F14" s="29">
        <v>31.610235906692587</v>
      </c>
      <c r="G14" s="29">
        <v>32.360235906692587</v>
      </c>
      <c r="H14" s="29">
        <v>32.360235906692587</v>
      </c>
      <c r="I14" s="29">
        <v>32.560235906692583</v>
      </c>
      <c r="J14" s="29">
        <v>32.560235906692583</v>
      </c>
      <c r="K14" s="29">
        <v>32.560235906692583</v>
      </c>
      <c r="L14" s="29">
        <v>32.560235906692583</v>
      </c>
      <c r="M14" s="29">
        <v>32.560235906692583</v>
      </c>
      <c r="N14" s="29">
        <v>32.560235906692583</v>
      </c>
      <c r="O14" s="29">
        <v>27.710235906692585</v>
      </c>
      <c r="P14" s="29">
        <v>27.710235906692585</v>
      </c>
      <c r="Q14" s="29">
        <v>28.460235906692585</v>
      </c>
      <c r="R14" s="29">
        <v>27.580235906692586</v>
      </c>
      <c r="S14" s="29">
        <v>26.805235906692584</v>
      </c>
      <c r="T14" s="29">
        <v>26.805235906692584</v>
      </c>
      <c r="U14" s="29">
        <v>30.705235906692586</v>
      </c>
      <c r="V14" s="29">
        <v>30.705235906692586</v>
      </c>
      <c r="W14" s="29">
        <v>30.705235906692586</v>
      </c>
      <c r="X14" s="29">
        <v>30.705235906692586</v>
      </c>
      <c r="Y14" s="29">
        <v>29.955235906692586</v>
      </c>
      <c r="Z14" s="29">
        <v>29.955235906692586</v>
      </c>
      <c r="AA14" s="37">
        <f>SUM(C14:Z14)</f>
        <v>734.32566176062187</v>
      </c>
    </row>
    <row r="15" spans="2:36" ht="16.5" customHeight="1" thickBot="1" x14ac:dyDescent="0.35">
      <c r="B15" s="27" t="str">
        <f>IF(AJ5=4,"Expected Usage for Saturday",IF(AJ5=5,"Expected Usage for Monday LLH",IF(AJ5=6,"Expected Usage for Monday HLH","")))</f>
        <v>Expected Usage for Saturday</v>
      </c>
      <c r="C15" s="29">
        <v>30.730235906692585</v>
      </c>
      <c r="D15" s="29">
        <v>30.730235906692585</v>
      </c>
      <c r="E15" s="29">
        <v>29.955235906692586</v>
      </c>
      <c r="F15" s="29">
        <v>29.955235906692586</v>
      </c>
      <c r="G15" s="29">
        <v>29.955235906692586</v>
      </c>
      <c r="H15" s="29">
        <v>29.955235906692586</v>
      </c>
      <c r="I15" s="29">
        <v>30.905235906692585</v>
      </c>
      <c r="J15" s="29">
        <v>30.905235906692585</v>
      </c>
      <c r="K15" s="29">
        <v>30.905235906692585</v>
      </c>
      <c r="L15" s="29">
        <v>30.905235906692585</v>
      </c>
      <c r="M15" s="29">
        <v>30.905235906692585</v>
      </c>
      <c r="N15" s="29">
        <v>30.905235906692585</v>
      </c>
      <c r="O15" s="29">
        <v>30.905235906692585</v>
      </c>
      <c r="P15" s="29">
        <v>30.905235906692585</v>
      </c>
      <c r="Q15" s="29">
        <v>30.155235906692585</v>
      </c>
      <c r="R15" s="29">
        <v>30.155235906692585</v>
      </c>
      <c r="S15" s="29">
        <v>30.155235906692585</v>
      </c>
      <c r="T15" s="29">
        <v>30.155235906692585</v>
      </c>
      <c r="U15" s="29">
        <v>29.955235906692586</v>
      </c>
      <c r="V15" s="29">
        <v>29.955235906692586</v>
      </c>
      <c r="W15" s="29">
        <v>29.955235906692586</v>
      </c>
      <c r="X15" s="29">
        <v>29.955235906692586</v>
      </c>
      <c r="Y15" s="29">
        <v>29.955235906692586</v>
      </c>
      <c r="Z15" s="29">
        <v>29.955235906692586</v>
      </c>
      <c r="AA15" s="37"/>
    </row>
    <row r="16" spans="2:36" ht="18.75" customHeight="1" thickBot="1" x14ac:dyDescent="0.35">
      <c r="B16" s="30" t="str">
        <f>IF(AJ5=1,"Preschedule Quantity for Tuesday",IF(AJ5=2,"Preschedule Quantity for Wednesday",IF(AJ5=3,"Preschedule Quantity for Thursday",IF(AJ5=4,"Preschedule Quantity for Friday",IF(AJ5=5,"Preschedule Quantity for Sunday",IF(AJ5=7,"Preschedule Quantity for a Holiday",IF(AJ5=6,"","")))))))</f>
        <v>Preschedule Quantity for Friday</v>
      </c>
      <c r="C16" s="31">
        <f>IF($AJ$5=6,"",C12+C18+C20)</f>
        <v>31.948</v>
      </c>
      <c r="D16" s="31">
        <f t="shared" ref="D16:Z16" si="0">IF($AJ$5=6,"",D12+D18+D20)</f>
        <v>31.664000000000001</v>
      </c>
      <c r="E16" s="31">
        <f t="shared" si="0"/>
        <v>31.42</v>
      </c>
      <c r="F16" s="31">
        <f t="shared" si="0"/>
        <v>31.22</v>
      </c>
      <c r="G16" s="31">
        <f t="shared" si="0"/>
        <v>32.147999999999996</v>
      </c>
      <c r="H16" s="31">
        <f t="shared" si="0"/>
        <v>32.475999999999999</v>
      </c>
      <c r="I16" s="31">
        <f t="shared" si="0"/>
        <v>32.292000000000002</v>
      </c>
      <c r="J16" s="31">
        <f t="shared" si="0"/>
        <v>33.024000000000001</v>
      </c>
      <c r="K16" s="31">
        <f t="shared" si="0"/>
        <v>32.372</v>
      </c>
      <c r="L16" s="31">
        <f t="shared" si="0"/>
        <v>32.088000000000001</v>
      </c>
      <c r="M16" s="31">
        <f t="shared" si="0"/>
        <v>32.748000000000005</v>
      </c>
      <c r="N16" s="31">
        <f t="shared" si="0"/>
        <v>32.204000000000001</v>
      </c>
      <c r="O16" s="31">
        <f t="shared" si="0"/>
        <v>27.712</v>
      </c>
      <c r="P16" s="31">
        <f t="shared" si="0"/>
        <v>27.84</v>
      </c>
      <c r="Q16" s="31">
        <f t="shared" si="0"/>
        <v>28.04</v>
      </c>
      <c r="R16" s="31">
        <f t="shared" si="0"/>
        <v>27.584</v>
      </c>
      <c r="S16" s="31">
        <f t="shared" si="0"/>
        <v>27.116</v>
      </c>
      <c r="T16" s="31">
        <f t="shared" si="0"/>
        <v>26.5</v>
      </c>
      <c r="U16" s="31">
        <f t="shared" si="0"/>
        <v>31.187999999999999</v>
      </c>
      <c r="V16" s="31">
        <f t="shared" si="0"/>
        <v>30.327999999999999</v>
      </c>
      <c r="W16" s="31">
        <f t="shared" si="0"/>
        <v>30.448</v>
      </c>
      <c r="X16" s="31">
        <f t="shared" si="0"/>
        <v>30.664000000000001</v>
      </c>
      <c r="Y16" s="31">
        <f t="shared" si="0"/>
        <v>30.327999999999999</v>
      </c>
      <c r="Z16" s="31">
        <f t="shared" si="0"/>
        <v>29.992000000000001</v>
      </c>
      <c r="AA16" s="38">
        <f>SUM(C16:Z16)</f>
        <v>733.34399999999994</v>
      </c>
    </row>
    <row r="17" spans="2:27" ht="18.75" customHeight="1" thickBot="1" x14ac:dyDescent="0.35">
      <c r="B17" s="30" t="str">
        <f>IF(AJ5=4,"Preschedule Quantity for Saturday",IF(AJ5=5,"Preschedule Quantity for Monday LLH",IF(AJ5=6,"Preschedule Quantity for Monday HLH","")))</f>
        <v>Preschedule Quantity for Saturday</v>
      </c>
      <c r="C17" s="56">
        <f t="shared" ref="C17:H17" si="1">IF($AJ$5=6,"",IF(AND($AJ$5&gt;3,$AJ$5&lt;7),C13+C19+C21,""))</f>
        <v>30.98</v>
      </c>
      <c r="D17" s="56">
        <f t="shared" si="1"/>
        <v>30.92</v>
      </c>
      <c r="E17" s="56">
        <f t="shared" si="1"/>
        <v>29.591999999999999</v>
      </c>
      <c r="F17" s="56">
        <f t="shared" si="1"/>
        <v>30.443999999999999</v>
      </c>
      <c r="G17" s="56">
        <f t="shared" si="1"/>
        <v>30.408000000000001</v>
      </c>
      <c r="H17" s="56">
        <f t="shared" si="1"/>
        <v>29.675999999999998</v>
      </c>
      <c r="I17" s="56">
        <f>IF($AJ$5=5,"",IF(AND($AJ$5&gt;3,$AJ$5&lt;7),I13+I19+I21,""))</f>
        <v>30.436</v>
      </c>
      <c r="J17" s="56">
        <f t="shared" ref="J17:X17" si="2">IF($AJ$5=5,"",IF(AND($AJ$5&gt;3,$AJ$5&lt;7),J13+J19+J21,""))</f>
        <v>31.288</v>
      </c>
      <c r="K17" s="56">
        <f t="shared" si="2"/>
        <v>30.768000000000001</v>
      </c>
      <c r="L17" s="56">
        <f t="shared" si="2"/>
        <v>30.635999999999999</v>
      </c>
      <c r="M17" s="56">
        <f t="shared" si="2"/>
        <v>31.292000000000002</v>
      </c>
      <c r="N17" s="56">
        <f t="shared" si="2"/>
        <v>30.728000000000002</v>
      </c>
      <c r="O17" s="56">
        <f t="shared" si="2"/>
        <v>31.344000000000001</v>
      </c>
      <c r="P17" s="56">
        <f t="shared" si="2"/>
        <v>30.827999999999999</v>
      </c>
      <c r="Q17" s="56">
        <f t="shared" si="2"/>
        <v>29.803999999999998</v>
      </c>
      <c r="R17" s="56">
        <f t="shared" si="2"/>
        <v>30.495999999999999</v>
      </c>
      <c r="S17" s="56">
        <f t="shared" si="2"/>
        <v>29.7</v>
      </c>
      <c r="T17" s="56">
        <f t="shared" si="2"/>
        <v>29.808</v>
      </c>
      <c r="U17" s="56">
        <f t="shared" si="2"/>
        <v>29.751999999999999</v>
      </c>
      <c r="V17" s="56">
        <f t="shared" si="2"/>
        <v>29.78</v>
      </c>
      <c r="W17" s="56">
        <f t="shared" si="2"/>
        <v>29.792000000000002</v>
      </c>
      <c r="X17" s="56">
        <f t="shared" si="2"/>
        <v>29.923999999999999</v>
      </c>
      <c r="Y17" s="56">
        <f>IF($AJ$5=6,"",IF(AND($AJ$5&gt;3,$AJ$5&lt;7),Y13+Y19+Y21,""))</f>
        <v>29.54</v>
      </c>
      <c r="Z17" s="56">
        <f>IF($AJ$5=6,"",IF(AND($AJ$5&gt;3,$AJ$5&lt;7),Z13+Z19+Z21,""))</f>
        <v>29.608000000000001</v>
      </c>
      <c r="AA17" s="38"/>
    </row>
    <row r="18" spans="2:27" ht="12.75" customHeight="1" x14ac:dyDescent="0.25">
      <c r="B18" s="48" t="str">
        <f>IF(AJ5=1,"Total Incremental Quantity (Hanson needs to purchase) for Tuesday",IF(AJ5=2,"Total Incremental Quantity (Hanson needs to purchase) for Wednesday",IF(AJ5=3,"Total Incremental Quantity (Hanson needs to purchase) for Thursday",IF(AJ5=4,"Total Incremental Quantity (Hanson needs to purchase) for Friday",IF(AJ5=5,"Total Incremental Quantity (Hanson needs to purchase) for Sunday",IF(AJ5=7,"Total Incremental Quantity (Hanson needs to purchase) for a Holiday",IF(AJ5=6,"","")))))))</f>
        <v>Total Incremental Quantity (Hanson needs to purchase) for Friday</v>
      </c>
      <c r="C18" s="52">
        <f>IF($AJ$5=6,"",ROUND((IF(C14&gt;C12,C14-C12,0)),0))</f>
        <v>1</v>
      </c>
      <c r="D18" s="43">
        <f t="shared" ref="D18:Z18" si="3">IF($AJ$5=6,"",ROUND((IF(D14&gt;D12,D14-D12,0)),0))</f>
        <v>2</v>
      </c>
      <c r="E18" s="43">
        <f t="shared" si="3"/>
        <v>1</v>
      </c>
      <c r="F18" s="43">
        <f t="shared" si="3"/>
        <v>2</v>
      </c>
      <c r="G18" s="43">
        <f t="shared" si="3"/>
        <v>3</v>
      </c>
      <c r="H18" s="43">
        <f t="shared" si="3"/>
        <v>4</v>
      </c>
      <c r="I18" s="43">
        <f t="shared" si="3"/>
        <v>3</v>
      </c>
      <c r="J18" s="43">
        <f t="shared" si="3"/>
        <v>3</v>
      </c>
      <c r="K18" s="43">
        <f t="shared" si="3"/>
        <v>2</v>
      </c>
      <c r="L18" s="43">
        <f t="shared" si="3"/>
        <v>3</v>
      </c>
      <c r="M18" s="43">
        <f t="shared" si="3"/>
        <v>3</v>
      </c>
      <c r="N18" s="43">
        <f t="shared" si="3"/>
        <v>2</v>
      </c>
      <c r="O18" s="43">
        <f t="shared" si="3"/>
        <v>1</v>
      </c>
      <c r="P18" s="43">
        <f t="shared" si="3"/>
        <v>3</v>
      </c>
      <c r="Q18" s="43">
        <f t="shared" si="3"/>
        <v>2</v>
      </c>
      <c r="R18" s="43">
        <f t="shared" si="3"/>
        <v>0</v>
      </c>
      <c r="S18" s="43">
        <f t="shared" si="3"/>
        <v>0</v>
      </c>
      <c r="T18" s="43">
        <f t="shared" si="3"/>
        <v>0</v>
      </c>
      <c r="U18" s="43">
        <f t="shared" si="3"/>
        <v>0</v>
      </c>
      <c r="V18" s="43">
        <f t="shared" si="3"/>
        <v>1</v>
      </c>
      <c r="W18" s="43">
        <f t="shared" si="3"/>
        <v>1</v>
      </c>
      <c r="X18" s="43">
        <f t="shared" si="3"/>
        <v>1</v>
      </c>
      <c r="Y18" s="43">
        <f t="shared" si="3"/>
        <v>1</v>
      </c>
      <c r="Z18" s="44">
        <f t="shared" si="3"/>
        <v>1</v>
      </c>
    </row>
    <row r="19" spans="2:27" ht="12.75" customHeight="1" x14ac:dyDescent="0.25">
      <c r="B19" s="49" t="str">
        <f>IF(AJ5=4,"Total Incremental Quantity (Hanson needs to purchase) for Saturday",IF(AJ5=5,"Total Incremental Quantity (Hanson needs to purchase) for Monday LLH",IF(AJ5=6,"Total Incremental Quantity (Hanson needs to purchase) for Monday HLH","")))</f>
        <v>Total Incremental Quantity (Hanson needs to purchase) for Saturday</v>
      </c>
      <c r="C19" s="53">
        <f t="shared" ref="C19:H19" si="4">IF($AJ$5=6,"",IF(AND($AJ$5&gt;3,$AJ$5&lt;7),ROUND((IF(C15&gt;C13,C15-C13,0)),0),""))</f>
        <v>2</v>
      </c>
      <c r="D19" s="2">
        <f t="shared" si="4"/>
        <v>2</v>
      </c>
      <c r="E19" s="2">
        <f t="shared" si="4"/>
        <v>0</v>
      </c>
      <c r="F19" s="2">
        <f t="shared" si="4"/>
        <v>0</v>
      </c>
      <c r="G19" s="2">
        <f t="shared" si="4"/>
        <v>0</v>
      </c>
      <c r="H19" s="2">
        <f t="shared" si="4"/>
        <v>0</v>
      </c>
      <c r="I19" s="2">
        <f>IF($AJ$5=5,"",IF(AND($AJ$5&gt;3,$AJ$5&lt;7),ROUND((IF(I15&gt;I13,I15-I13,0)),0),""))</f>
        <v>1</v>
      </c>
      <c r="J19" s="2">
        <f t="shared" ref="J19:X19" si="5">IF($AJ$5=5,"",IF(AND($AJ$5&gt;3,$AJ$5&lt;7),ROUND((IF(J15&gt;J13,J15-J13,0)),0),""))</f>
        <v>1</v>
      </c>
      <c r="K19" s="2">
        <f t="shared" si="5"/>
        <v>0</v>
      </c>
      <c r="L19" s="2">
        <f t="shared" si="5"/>
        <v>0</v>
      </c>
      <c r="M19" s="2">
        <f t="shared" si="5"/>
        <v>2</v>
      </c>
      <c r="N19" s="2">
        <f t="shared" si="5"/>
        <v>2</v>
      </c>
      <c r="O19" s="2">
        <f t="shared" si="5"/>
        <v>3</v>
      </c>
      <c r="P19" s="2">
        <f t="shared" si="5"/>
        <v>3</v>
      </c>
      <c r="Q19" s="2">
        <f t="shared" si="5"/>
        <v>2</v>
      </c>
      <c r="R19" s="2">
        <f t="shared" si="5"/>
        <v>1</v>
      </c>
      <c r="S19" s="2">
        <f t="shared" si="5"/>
        <v>0</v>
      </c>
      <c r="T19" s="2">
        <f t="shared" si="5"/>
        <v>0</v>
      </c>
      <c r="U19" s="2">
        <f t="shared" si="5"/>
        <v>1</v>
      </c>
      <c r="V19" s="2">
        <f t="shared" si="5"/>
        <v>2</v>
      </c>
      <c r="W19" s="2">
        <f t="shared" si="5"/>
        <v>2</v>
      </c>
      <c r="X19" s="2">
        <f t="shared" si="5"/>
        <v>5</v>
      </c>
      <c r="Y19" s="2">
        <f>IF($AJ$5=6,"",IF(AND($AJ$5&gt;3,$AJ$5&lt;7),ROUND((IF(Y15&gt;Y13,Y15-Y13,0)),0),""))</f>
        <v>5</v>
      </c>
      <c r="Z19" s="45">
        <f>IF($AJ$5=6,"",IF(AND($AJ$5&gt;3,$AJ$5&lt;7),ROUND((IF(Z15&gt;Z13,Z15-Z13,0)),0),""))</f>
        <v>1</v>
      </c>
    </row>
    <row r="20" spans="2:27" ht="12.75" customHeight="1" x14ac:dyDescent="0.25">
      <c r="B20" s="50" t="str">
        <f>IF(AJ5=1,"Total Decremental Quantity (Hanson needs to sell) for Tuesday",IF(AJ5=2,"Total Decremental Quantity (Hanson needs to sell) for Wednesday",IF(AJ5=3,"Total Decremental Quantity (Hanson needs to sell) for Thursday",IF(AJ5=4,"Total Decremental Quantity (Hanson needs to sell) for Friday",IF(AJ5=5,"Total Decremental Quantity (Hanson needs to sell) for Sunday",IF(AJ5=7,"Total Decremental Quantity (Hanson needs to sell) for a Holiday",IF(AJ5=6,"","")))))))</f>
        <v>Total Decremental Quantity (Hanson needs to sell) for Friday</v>
      </c>
      <c r="C20" s="54">
        <f t="shared" ref="C20:Z20" si="6">IF($AJ$5=6,"",ROUND(IF(C14&gt;C12,0,C14-C12),0))</f>
        <v>0</v>
      </c>
      <c r="D20" s="4">
        <f t="shared" si="6"/>
        <v>0</v>
      </c>
      <c r="E20" s="4">
        <f t="shared" si="6"/>
        <v>0</v>
      </c>
      <c r="F20" s="4">
        <f t="shared" si="6"/>
        <v>0</v>
      </c>
      <c r="G20" s="4">
        <f t="shared" si="6"/>
        <v>0</v>
      </c>
      <c r="H20" s="4">
        <f t="shared" si="6"/>
        <v>0</v>
      </c>
      <c r="I20" s="4">
        <f t="shared" si="6"/>
        <v>0</v>
      </c>
      <c r="J20" s="4">
        <f t="shared" si="6"/>
        <v>0</v>
      </c>
      <c r="K20" s="4">
        <f t="shared" si="6"/>
        <v>0</v>
      </c>
      <c r="L20" s="4">
        <f t="shared" si="6"/>
        <v>0</v>
      </c>
      <c r="M20" s="4">
        <f t="shared" si="6"/>
        <v>0</v>
      </c>
      <c r="N20" s="4">
        <f t="shared" si="6"/>
        <v>0</v>
      </c>
      <c r="O20" s="4">
        <f t="shared" si="6"/>
        <v>0</v>
      </c>
      <c r="P20" s="4">
        <f t="shared" si="6"/>
        <v>0</v>
      </c>
      <c r="Q20" s="4">
        <f t="shared" si="6"/>
        <v>0</v>
      </c>
      <c r="R20" s="4">
        <f t="shared" si="6"/>
        <v>-1</v>
      </c>
      <c r="S20" s="4">
        <f t="shared" si="6"/>
        <v>-4</v>
      </c>
      <c r="T20" s="4">
        <f t="shared" si="6"/>
        <v>-5</v>
      </c>
      <c r="U20" s="4">
        <f t="shared" si="6"/>
        <v>0</v>
      </c>
      <c r="V20" s="4">
        <f t="shared" si="6"/>
        <v>0</v>
      </c>
      <c r="W20" s="4">
        <f t="shared" si="6"/>
        <v>0</v>
      </c>
      <c r="X20" s="4">
        <f t="shared" si="6"/>
        <v>0</v>
      </c>
      <c r="Y20" s="4">
        <f t="shared" si="6"/>
        <v>0</v>
      </c>
      <c r="Z20" s="46">
        <f t="shared" si="6"/>
        <v>0</v>
      </c>
    </row>
    <row r="21" spans="2:27" ht="12.75" customHeight="1" thickBot="1" x14ac:dyDescent="0.3">
      <c r="B21" s="51" t="str">
        <f>IF(AJ5=4,"Total Decremental Quantity (Hanson needs to sell) for Saturday",IF(AJ5=5,"Total Decremental Quantity (Hanson needs to sell) for Monday LLH",IF(AJ5=6,"Total Decremental Quantity (Hanson needs to sell) for Monday HLH","")))</f>
        <v>Total Decremental Quantity (Hanson needs to sell) for Saturday</v>
      </c>
      <c r="C21" s="54">
        <f t="shared" ref="C21:H21" si="7">IF($AJ$5=6,"",IF(AND($AJ$5&gt;3,$AJ$5&lt;7),ROUND(IF(C15&gt;C13,0,C15-C13),0),""))</f>
        <v>0</v>
      </c>
      <c r="D21" s="4">
        <f t="shared" si="7"/>
        <v>0</v>
      </c>
      <c r="E21" s="4">
        <f t="shared" si="7"/>
        <v>0</v>
      </c>
      <c r="F21" s="4">
        <f t="shared" si="7"/>
        <v>0</v>
      </c>
      <c r="G21" s="4">
        <f t="shared" si="7"/>
        <v>0</v>
      </c>
      <c r="H21" s="4">
        <f t="shared" si="7"/>
        <v>0</v>
      </c>
      <c r="I21" s="4">
        <f>IF($AJ$5=5,"",IF(AND($AJ$5&gt;3,$AJ$5&lt;7),ROUND(IF(I15&gt;I13,0,I15-I13),0),""))</f>
        <v>0</v>
      </c>
      <c r="J21" s="4">
        <f t="shared" ref="J21:X21" si="8">IF($AJ$5=5,"",IF(AND($AJ$5&gt;3,$AJ$5&lt;7),ROUND(IF(J15&gt;J13,0,J15-J13),0),""))</f>
        <v>0</v>
      </c>
      <c r="K21" s="4">
        <f t="shared" si="8"/>
        <v>0</v>
      </c>
      <c r="L21" s="4">
        <f t="shared" si="8"/>
        <v>0</v>
      </c>
      <c r="M21" s="4">
        <f t="shared" si="8"/>
        <v>0</v>
      </c>
      <c r="N21" s="4">
        <f t="shared" si="8"/>
        <v>0</v>
      </c>
      <c r="O21" s="4">
        <f t="shared" si="8"/>
        <v>0</v>
      </c>
      <c r="P21" s="4">
        <f t="shared" si="8"/>
        <v>0</v>
      </c>
      <c r="Q21" s="4">
        <f t="shared" si="8"/>
        <v>0</v>
      </c>
      <c r="R21" s="4">
        <f t="shared" si="8"/>
        <v>0</v>
      </c>
      <c r="S21" s="4">
        <f t="shared" si="8"/>
        <v>0</v>
      </c>
      <c r="T21" s="4">
        <f t="shared" si="8"/>
        <v>0</v>
      </c>
      <c r="U21" s="4">
        <f t="shared" si="8"/>
        <v>0</v>
      </c>
      <c r="V21" s="4">
        <f t="shared" si="8"/>
        <v>0</v>
      </c>
      <c r="W21" s="4">
        <f t="shared" si="8"/>
        <v>0</v>
      </c>
      <c r="X21" s="4">
        <f t="shared" si="8"/>
        <v>0</v>
      </c>
      <c r="Y21" s="4">
        <f>IF($AJ$5=6,"",IF(AND($AJ$5&gt;3,$AJ$5&lt;7),ROUND(IF(Y15&gt;Y13,0,Y15-Y13),0),""))</f>
        <v>0</v>
      </c>
      <c r="Z21" s="46">
        <f>IF($AJ$5=6,"",IF(AND($AJ$5&gt;3,$AJ$5&lt;7),ROUND(IF(Z15&gt;Z13,0,Z15-Z13),0),""))</f>
        <v>0</v>
      </c>
    </row>
    <row r="22" spans="2:27" ht="12.75" customHeight="1" x14ac:dyDescent="0.25">
      <c r="B22" s="49" t="s">
        <v>31</v>
      </c>
      <c r="C22" s="52">
        <f>IF($AJ$5=6,IF(OR(C$11&lt;7,C$11&gt;22),0,MIN($I$19:$X$19)),IF($AJ$5=7,MIN($C$18:$Z$18),IF($AJ$5&lt;4,IF(OR(C$11&lt;7,C$11&gt;22),MIN($C18:$H18,$Y18:$Z18),MIN($I18:$X18)),IF($AJ$5=4,IF(OR(C$11&lt;7,C$11&gt;22),MIN($C18:$H19,$X18:$Y19),MIN($I18:$X19)),IF($AJ$5=5,MIN($C18:$Z18,$Y19:$Z19,$C19:$H19),0)))))</f>
        <v>0</v>
      </c>
      <c r="D22" s="43">
        <f t="shared" ref="D22:Z22" si="9">IF($AJ$5=6,IF(OR(D$11&lt;7,D$11&gt;22),0,MIN($I$19:$X$19)),IF($AJ$5=7,MIN($C$18:$Z$18),IF($AJ$5&lt;4,IF(OR(D$11&lt;7,D$11&gt;22),MIN($C18:$H18,$Y18:$Z18),MIN($I18:$X18)),IF($AJ$5=4,IF(OR(D$11&lt;7,D$11&gt;22),MIN($C18:$H19,$X18:$Y19),MIN($I18:$X19)),IF($AJ$5=5,MIN($C18:$Z18,$Y19:$Z19,$C19:$H19),0)))))</f>
        <v>0</v>
      </c>
      <c r="E22" s="43">
        <f t="shared" si="9"/>
        <v>0</v>
      </c>
      <c r="F22" s="43">
        <f t="shared" si="9"/>
        <v>0</v>
      </c>
      <c r="G22" s="43">
        <f t="shared" si="9"/>
        <v>0</v>
      </c>
      <c r="H22" s="43">
        <f t="shared" si="9"/>
        <v>0</v>
      </c>
      <c r="I22" s="43">
        <f t="shared" si="9"/>
        <v>0</v>
      </c>
      <c r="J22" s="43">
        <f t="shared" si="9"/>
        <v>0</v>
      </c>
      <c r="K22" s="43">
        <f t="shared" si="9"/>
        <v>0</v>
      </c>
      <c r="L22" s="43">
        <f t="shared" si="9"/>
        <v>0</v>
      </c>
      <c r="M22" s="43">
        <f t="shared" si="9"/>
        <v>0</v>
      </c>
      <c r="N22" s="43">
        <f t="shared" si="9"/>
        <v>0</v>
      </c>
      <c r="O22" s="43">
        <f t="shared" si="9"/>
        <v>0</v>
      </c>
      <c r="P22" s="43">
        <f t="shared" si="9"/>
        <v>0</v>
      </c>
      <c r="Q22" s="43">
        <f t="shared" si="9"/>
        <v>0</v>
      </c>
      <c r="R22" s="43">
        <f t="shared" si="9"/>
        <v>0</v>
      </c>
      <c r="S22" s="43">
        <f t="shared" si="9"/>
        <v>0</v>
      </c>
      <c r="T22" s="43">
        <f t="shared" si="9"/>
        <v>0</v>
      </c>
      <c r="U22" s="43">
        <f t="shared" si="9"/>
        <v>0</v>
      </c>
      <c r="V22" s="43">
        <f t="shared" si="9"/>
        <v>0</v>
      </c>
      <c r="W22" s="43">
        <f t="shared" si="9"/>
        <v>0</v>
      </c>
      <c r="X22" s="43">
        <f t="shared" si="9"/>
        <v>0</v>
      </c>
      <c r="Y22" s="43">
        <f t="shared" si="9"/>
        <v>0</v>
      </c>
      <c r="Z22" s="44">
        <f t="shared" si="9"/>
        <v>0</v>
      </c>
      <c r="AA22" s="20"/>
    </row>
    <row r="23" spans="2:27" ht="12.75" customHeight="1" thickBot="1" x14ac:dyDescent="0.3">
      <c r="B23" s="50" t="s">
        <v>32</v>
      </c>
      <c r="C23" s="54">
        <f>IF($AJ$5=6,IF(OR(C11&lt;7,C$11&gt;22),0,MAX($I$21:$X$21)),IF($AJ$5&lt;4,IF(OR(C$11&lt;7,C$11&gt;22),MAX($C$20:$H$20,$Y$20:$Z$20),MAX($I$20:$X$20)),IF($AJ$5=4,IF(OR(C$11&lt;7,C$11&gt;22),MAX($C$20:$H$21,$Y$20:$Z$21),MAX($I$20:$X$21)),IF($AJ$5=5,MAX($C$20:$Z$20,$Y$21:$Z$21,$C$21:$H$21),IF($AJ$5=7,MAX($C$20:$Z$20),0)))))</f>
        <v>0</v>
      </c>
      <c r="D23" s="4">
        <f t="shared" ref="D23:Z23" si="10">IF($AJ$5=6,IF(OR(D11&lt;7,D$11&gt;22),0,MAX($I$21:$X$21)),IF($AJ$5&lt;4,IF(OR(D$11&lt;7,D$11&gt;22),MAX($C$20:$H$20,$Y$20:$Z$20),MAX($I$20:$X$20)),IF($AJ$5=4,IF(OR(D$11&lt;7,D$11&gt;22),MAX($C$20:$H$21,$Y$20:$Z$21),MAX($I$20:$X$21)),IF($AJ$5=5,MAX($C$20:$Z$20,$Y$21:$Z$21,$C$21:$H$21),IF($AJ$5=7,MAX($C$20:$Z$20),0)))))</f>
        <v>0</v>
      </c>
      <c r="E23" s="4">
        <f t="shared" si="10"/>
        <v>0</v>
      </c>
      <c r="F23" s="4">
        <f t="shared" si="10"/>
        <v>0</v>
      </c>
      <c r="G23" s="4">
        <f t="shared" si="10"/>
        <v>0</v>
      </c>
      <c r="H23" s="4">
        <f t="shared" si="10"/>
        <v>0</v>
      </c>
      <c r="I23" s="4">
        <f t="shared" si="10"/>
        <v>0</v>
      </c>
      <c r="J23" s="4">
        <f t="shared" si="10"/>
        <v>0</v>
      </c>
      <c r="K23" s="4">
        <f t="shared" si="10"/>
        <v>0</v>
      </c>
      <c r="L23" s="4">
        <f t="shared" si="10"/>
        <v>0</v>
      </c>
      <c r="M23" s="4">
        <f t="shared" si="10"/>
        <v>0</v>
      </c>
      <c r="N23" s="4">
        <f t="shared" si="10"/>
        <v>0</v>
      </c>
      <c r="O23" s="4">
        <f t="shared" si="10"/>
        <v>0</v>
      </c>
      <c r="P23" s="4">
        <f t="shared" si="10"/>
        <v>0</v>
      </c>
      <c r="Q23" s="4">
        <f t="shared" si="10"/>
        <v>0</v>
      </c>
      <c r="R23" s="4">
        <f t="shared" si="10"/>
        <v>0</v>
      </c>
      <c r="S23" s="4">
        <f t="shared" si="10"/>
        <v>0</v>
      </c>
      <c r="T23" s="4">
        <f t="shared" si="10"/>
        <v>0</v>
      </c>
      <c r="U23" s="4">
        <f t="shared" si="10"/>
        <v>0</v>
      </c>
      <c r="V23" s="4">
        <f t="shared" si="10"/>
        <v>0</v>
      </c>
      <c r="W23" s="4">
        <f t="shared" si="10"/>
        <v>0</v>
      </c>
      <c r="X23" s="4">
        <f t="shared" si="10"/>
        <v>0</v>
      </c>
      <c r="Y23" s="4">
        <f t="shared" si="10"/>
        <v>0</v>
      </c>
      <c r="Z23" s="46">
        <f t="shared" si="10"/>
        <v>0</v>
      </c>
    </row>
    <row r="24" spans="2:27" x14ac:dyDescent="0.25">
      <c r="B24" s="48" t="str">
        <f>IF(AJ5=1,"Real Time Incremental Quantity (Hanson needs to purchase) for Tuesday",IF(AJ5=2,"Real Time Incremental Quantity (Hanson needs to purchase) for Wednesday",IF(AJ5=3,"Real Time Incremental Quantity (Hanson needs to purchase) for Thursday",IF(AJ5=4,"Real Time Incremental Quantity (Hanson needs to purchase) for Friday",IF(AJ5=5,"Real Time Incremental Quantity (Hanson needs to purchase) for Sunday",IF(AJ5=7,"Real Time Incremental Quantity (Hanson needs to purchase) for a Holiday",IF(AJ5=6,"","")))))))</f>
        <v>Real Time Incremental Quantity (Hanson needs to purchase) for Friday</v>
      </c>
      <c r="C24" s="52">
        <f t="shared" ref="C24:X24" si="11">IF($AJ$5=6,"",(C18-C22))</f>
        <v>1</v>
      </c>
      <c r="D24" s="43">
        <f t="shared" si="11"/>
        <v>2</v>
      </c>
      <c r="E24" s="43">
        <f t="shared" si="11"/>
        <v>1</v>
      </c>
      <c r="F24" s="43">
        <f t="shared" si="11"/>
        <v>2</v>
      </c>
      <c r="G24" s="43">
        <f t="shared" si="11"/>
        <v>3</v>
      </c>
      <c r="H24" s="43">
        <f t="shared" si="11"/>
        <v>4</v>
      </c>
      <c r="I24" s="43">
        <f t="shared" si="11"/>
        <v>3</v>
      </c>
      <c r="J24" s="43">
        <f t="shared" si="11"/>
        <v>3</v>
      </c>
      <c r="K24" s="43">
        <f t="shared" si="11"/>
        <v>2</v>
      </c>
      <c r="L24" s="43">
        <f t="shared" si="11"/>
        <v>3</v>
      </c>
      <c r="M24" s="43">
        <f t="shared" si="11"/>
        <v>3</v>
      </c>
      <c r="N24" s="43">
        <f t="shared" si="11"/>
        <v>2</v>
      </c>
      <c r="O24" s="43">
        <f t="shared" si="11"/>
        <v>1</v>
      </c>
      <c r="P24" s="43">
        <f t="shared" si="11"/>
        <v>3</v>
      </c>
      <c r="Q24" s="43">
        <f t="shared" si="11"/>
        <v>2</v>
      </c>
      <c r="R24" s="43">
        <f t="shared" si="11"/>
        <v>0</v>
      </c>
      <c r="S24" s="43">
        <f t="shared" si="11"/>
        <v>0</v>
      </c>
      <c r="T24" s="43">
        <f t="shared" si="11"/>
        <v>0</v>
      </c>
      <c r="U24" s="43">
        <f t="shared" si="11"/>
        <v>0</v>
      </c>
      <c r="V24" s="43">
        <f t="shared" si="11"/>
        <v>1</v>
      </c>
      <c r="W24" s="43">
        <f t="shared" si="11"/>
        <v>1</v>
      </c>
      <c r="X24" s="43">
        <f t="shared" si="11"/>
        <v>1</v>
      </c>
      <c r="Y24" s="43">
        <f>IF($AJ$5=6,"",(Y18-Y22))</f>
        <v>1</v>
      </c>
      <c r="Z24" s="44">
        <f>IF($AJ$5=6,"",(Z18-Z22))</f>
        <v>1</v>
      </c>
      <c r="AA24" s="34"/>
    </row>
    <row r="25" spans="2:27" x14ac:dyDescent="0.25">
      <c r="B25" s="49" t="str">
        <f>IF(AJ5=4,"Real Time Incremental Quantity (Hanson needs to purchase) for Saturday",IF(AJ5=5,"Real Time Incremental Quantity (Hanson needs to purchase) for Monday LLH",IF(AJ5=6,"Real Time Incremental Quantity (Hanson needs to purchase) for Monday HLH","")))</f>
        <v>Real Time Incremental Quantity (Hanson needs to purchase) for Saturday</v>
      </c>
      <c r="C25" s="53">
        <f t="shared" ref="C25:H25" si="12">IF($AJ$5=6,"",IF(OR($AJ$5&lt;4,$AJ$5=7),"",C19-C22))</f>
        <v>2</v>
      </c>
      <c r="D25" s="2">
        <f t="shared" si="12"/>
        <v>2</v>
      </c>
      <c r="E25" s="2">
        <f t="shared" si="12"/>
        <v>0</v>
      </c>
      <c r="F25" s="2">
        <f t="shared" si="12"/>
        <v>0</v>
      </c>
      <c r="G25" s="2">
        <f t="shared" si="12"/>
        <v>0</v>
      </c>
      <c r="H25" s="2">
        <f t="shared" si="12"/>
        <v>0</v>
      </c>
      <c r="I25" s="2">
        <f>IF($AJ$5=5,"",IF(OR($AJ$5&lt;4,$AJ$5=7),"",I19-I22))</f>
        <v>1</v>
      </c>
      <c r="J25" s="2">
        <f t="shared" ref="J25:X25" si="13">IF($AJ$5=5,"",IF(OR($AJ$5&lt;4,$AJ$5=7),"",J19-J22))</f>
        <v>1</v>
      </c>
      <c r="K25" s="2">
        <f t="shared" si="13"/>
        <v>0</v>
      </c>
      <c r="L25" s="2">
        <f t="shared" si="13"/>
        <v>0</v>
      </c>
      <c r="M25" s="2">
        <f t="shared" si="13"/>
        <v>2</v>
      </c>
      <c r="N25" s="2">
        <f t="shared" si="13"/>
        <v>2</v>
      </c>
      <c r="O25" s="2">
        <f t="shared" si="13"/>
        <v>3</v>
      </c>
      <c r="P25" s="2">
        <f t="shared" si="13"/>
        <v>3</v>
      </c>
      <c r="Q25" s="2">
        <f t="shared" si="13"/>
        <v>2</v>
      </c>
      <c r="R25" s="2">
        <f t="shared" si="13"/>
        <v>1</v>
      </c>
      <c r="S25" s="2">
        <f t="shared" si="13"/>
        <v>0</v>
      </c>
      <c r="T25" s="2">
        <f t="shared" si="13"/>
        <v>0</v>
      </c>
      <c r="U25" s="2">
        <f t="shared" si="13"/>
        <v>1</v>
      </c>
      <c r="V25" s="2">
        <f t="shared" si="13"/>
        <v>2</v>
      </c>
      <c r="W25" s="2">
        <f t="shared" si="13"/>
        <v>2</v>
      </c>
      <c r="X25" s="2">
        <f t="shared" si="13"/>
        <v>5</v>
      </c>
      <c r="Y25" s="2">
        <f>IF($AJ$5=6,"",IF(OR($AJ$5&lt;4,$AJ$5=7),"",Y19-Y22))</f>
        <v>5</v>
      </c>
      <c r="Z25" s="45">
        <f>IF($AJ$5=6,"",IF(OR($AJ$5&lt;4,$AJ$5=7),"",Z19-Z22))</f>
        <v>1</v>
      </c>
      <c r="AA25" s="34"/>
    </row>
    <row r="26" spans="2:27" x14ac:dyDescent="0.25">
      <c r="B26" s="50" t="str">
        <f>IF(AJ5=1,"Real Time Decremental Quantity (Hanson needs to sell) for Tuesday",IF(AJ5=2,"Real Time Decremental Quantity (Hanson needs to sell) for Wednesday",IF(AJ5=3,"Real Time Decremental Quantity (Hanson needs to sell) for Thursday",IF(AJ5=4,"Real Time Decremental Quantity (Hanson needs to sell) for Friday",IF(AJ5=5,"Real Time Decremental Quantity (Hanson needs to sell) for Sunday",IF(AJ5=7,"Real Time Decremental Quantity (Hanson needs to sell) for a Holiday",IF(AJ5=6,"","")))))))</f>
        <v>Real Time Decremental Quantity (Hanson needs to sell) for Friday</v>
      </c>
      <c r="C26" s="54">
        <f t="shared" ref="C26:X26" si="14">IF($AJ$5=6,"",(C20-C23))</f>
        <v>0</v>
      </c>
      <c r="D26" s="4">
        <f t="shared" si="14"/>
        <v>0</v>
      </c>
      <c r="E26" s="4">
        <f t="shared" si="14"/>
        <v>0</v>
      </c>
      <c r="F26" s="4">
        <f t="shared" si="14"/>
        <v>0</v>
      </c>
      <c r="G26" s="4">
        <f t="shared" si="14"/>
        <v>0</v>
      </c>
      <c r="H26" s="4">
        <f t="shared" si="14"/>
        <v>0</v>
      </c>
      <c r="I26" s="4">
        <f t="shared" si="14"/>
        <v>0</v>
      </c>
      <c r="J26" s="4">
        <f t="shared" si="14"/>
        <v>0</v>
      </c>
      <c r="K26" s="4">
        <f t="shared" si="14"/>
        <v>0</v>
      </c>
      <c r="L26" s="4">
        <f t="shared" si="14"/>
        <v>0</v>
      </c>
      <c r="M26" s="4">
        <f t="shared" si="14"/>
        <v>0</v>
      </c>
      <c r="N26" s="4">
        <f t="shared" si="14"/>
        <v>0</v>
      </c>
      <c r="O26" s="4">
        <f t="shared" si="14"/>
        <v>0</v>
      </c>
      <c r="P26" s="4">
        <f t="shared" si="14"/>
        <v>0</v>
      </c>
      <c r="Q26" s="4">
        <f t="shared" si="14"/>
        <v>0</v>
      </c>
      <c r="R26" s="4">
        <f t="shared" si="14"/>
        <v>-1</v>
      </c>
      <c r="S26" s="4">
        <f t="shared" si="14"/>
        <v>-4</v>
      </c>
      <c r="T26" s="4">
        <f t="shared" si="14"/>
        <v>-5</v>
      </c>
      <c r="U26" s="4">
        <f t="shared" si="14"/>
        <v>0</v>
      </c>
      <c r="V26" s="4">
        <f t="shared" si="14"/>
        <v>0</v>
      </c>
      <c r="W26" s="4">
        <f t="shared" si="14"/>
        <v>0</v>
      </c>
      <c r="X26" s="4">
        <f t="shared" si="14"/>
        <v>0</v>
      </c>
      <c r="Y26" s="4">
        <f>IF($AJ$5=6,"",(Y20-Y23))</f>
        <v>0</v>
      </c>
      <c r="Z26" s="46">
        <f>IF($AJ$5=6,"",(Z20-Z23))</f>
        <v>0</v>
      </c>
      <c r="AA26" s="34"/>
    </row>
    <row r="27" spans="2:27" ht="13.8" thickBot="1" x14ac:dyDescent="0.3">
      <c r="B27" s="51" t="str">
        <f>IF(AJ5=4,"Real Time Decremental Quantity (Hanson needs to sell) for Saturday",IF(AJ5=5,"Real Time Decremental Quantity (Hanson needs to sell) for Monday LLH",IF(AJ5=6,"Real Time Decremental Quantity (Hanson needs to sell) for Monday HLH","")))</f>
        <v>Real Time Decremental Quantity (Hanson needs to sell) for Saturday</v>
      </c>
      <c r="C27" s="55">
        <f t="shared" ref="C27:H27" si="15">IF($AJ$5=6,"",IF(OR($AJ$5&lt;4,$AJ$5=7,),"",C21-C23))</f>
        <v>0</v>
      </c>
      <c r="D27" s="3">
        <f t="shared" si="15"/>
        <v>0</v>
      </c>
      <c r="E27" s="3">
        <f t="shared" si="15"/>
        <v>0</v>
      </c>
      <c r="F27" s="3">
        <f t="shared" si="15"/>
        <v>0</v>
      </c>
      <c r="G27" s="3">
        <f t="shared" si="15"/>
        <v>0</v>
      </c>
      <c r="H27" s="3">
        <f t="shared" si="15"/>
        <v>0</v>
      </c>
      <c r="I27" s="3">
        <f>IF($AJ$5=5,"",IF(OR($AJ$5&lt;4,$AJ$5=7,),"",I21-I23))</f>
        <v>0</v>
      </c>
      <c r="J27" s="3">
        <f t="shared" ref="J27:X27" si="16">IF($AJ$5=5,"",IF(OR($AJ$5&lt;4,$AJ$5=7,),"",J21-J23))</f>
        <v>0</v>
      </c>
      <c r="K27" s="3">
        <f t="shared" si="16"/>
        <v>0</v>
      </c>
      <c r="L27" s="3">
        <f t="shared" si="16"/>
        <v>0</v>
      </c>
      <c r="M27" s="3">
        <f t="shared" si="16"/>
        <v>0</v>
      </c>
      <c r="N27" s="3">
        <f t="shared" si="16"/>
        <v>0</v>
      </c>
      <c r="O27" s="3">
        <f t="shared" si="16"/>
        <v>0</v>
      </c>
      <c r="P27" s="3">
        <f t="shared" si="16"/>
        <v>0</v>
      </c>
      <c r="Q27" s="3">
        <f t="shared" si="16"/>
        <v>0</v>
      </c>
      <c r="R27" s="3">
        <f t="shared" si="16"/>
        <v>0</v>
      </c>
      <c r="S27" s="3">
        <f t="shared" si="16"/>
        <v>0</v>
      </c>
      <c r="T27" s="3">
        <f t="shared" si="16"/>
        <v>0</v>
      </c>
      <c r="U27" s="3">
        <f t="shared" si="16"/>
        <v>0</v>
      </c>
      <c r="V27" s="3">
        <f t="shared" si="16"/>
        <v>0</v>
      </c>
      <c r="W27" s="3">
        <f t="shared" si="16"/>
        <v>0</v>
      </c>
      <c r="X27" s="3">
        <f t="shared" si="16"/>
        <v>0</v>
      </c>
      <c r="Y27" s="3">
        <f>IF($AJ$5=6,"",IF(OR($AJ$5&lt;4,$AJ$5=7,),"",Y21-Y23))</f>
        <v>0</v>
      </c>
      <c r="Z27" s="47">
        <f>IF($AJ$5=6,"",IF(OR($AJ$5&lt;4,$AJ$5=7,),"",Z21-Z23))</f>
        <v>0</v>
      </c>
      <c r="AA27" s="34"/>
    </row>
    <row r="28" spans="2:27" x14ac:dyDescent="0.25">
      <c r="B28" s="19"/>
      <c r="C28" s="4" t="str">
        <f>IF($AF$5=6,IF(OR(C11&gt;6,C11&lt;23),MIN($I18:$X18),""),"")</f>
        <v/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3"/>
    </row>
    <row r="29" spans="2:27" x14ac:dyDescent="0.25">
      <c r="B29" s="14" t="s">
        <v>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2:27" x14ac:dyDescent="0.25">
      <c r="B30" s="14" t="s">
        <v>5</v>
      </c>
      <c r="C30" s="15" t="s">
        <v>11</v>
      </c>
      <c r="D30" s="15"/>
      <c r="E30" s="15"/>
      <c r="F30" s="15" t="s">
        <v>12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2:27" x14ac:dyDescent="0.25">
      <c r="B31" s="8" t="s">
        <v>10</v>
      </c>
      <c r="C31" s="58" t="s">
        <v>14</v>
      </c>
      <c r="D31" s="58"/>
      <c r="E31" s="58"/>
      <c r="F31" s="59" t="s">
        <v>13</v>
      </c>
      <c r="G31" s="58"/>
      <c r="H31" s="58"/>
      <c r="I31" s="58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2:27" x14ac:dyDescent="0.25">
      <c r="B32" s="8" t="s">
        <v>7</v>
      </c>
      <c r="C32" s="58" t="s">
        <v>35</v>
      </c>
      <c r="D32" s="58"/>
      <c r="E32" s="58"/>
      <c r="F32" s="60" t="s">
        <v>36</v>
      </c>
      <c r="G32" s="58"/>
      <c r="H32" s="58"/>
      <c r="I32" s="58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2:26" x14ac:dyDescent="0.25">
      <c r="B33" s="8" t="s">
        <v>8</v>
      </c>
      <c r="C33" s="58" t="s">
        <v>15</v>
      </c>
      <c r="D33" s="58"/>
      <c r="E33" s="58"/>
      <c r="F33" s="59" t="s">
        <v>17</v>
      </c>
      <c r="G33" s="58"/>
      <c r="H33" s="58"/>
      <c r="I33" s="58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2:26" x14ac:dyDescent="0.25">
      <c r="B34" s="8" t="s">
        <v>9</v>
      </c>
      <c r="C34" s="58" t="s">
        <v>16</v>
      </c>
      <c r="D34" s="58"/>
      <c r="E34" s="58"/>
      <c r="F34" s="59" t="s">
        <v>18</v>
      </c>
      <c r="G34" s="58"/>
      <c r="H34" s="58"/>
      <c r="I34" s="58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2:26" x14ac:dyDescent="0.25">
      <c r="B35" s="8" t="s">
        <v>37</v>
      </c>
      <c r="C35" s="32" t="s">
        <v>38</v>
      </c>
      <c r="D35" s="32"/>
      <c r="E35" s="32"/>
      <c r="F35" s="33" t="s">
        <v>39</v>
      </c>
      <c r="G35" s="32"/>
      <c r="H35" s="32"/>
      <c r="I35" s="32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2:26" x14ac:dyDescent="0.25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2:26" x14ac:dyDescent="0.25">
      <c r="B37" s="14" t="s">
        <v>6</v>
      </c>
      <c r="C37" s="57" t="s">
        <v>11</v>
      </c>
      <c r="D37" s="57"/>
      <c r="E37" s="57"/>
      <c r="F37" s="57" t="s">
        <v>12</v>
      </c>
      <c r="G37" s="58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2:26" x14ac:dyDescent="0.25">
      <c r="B38" s="8" t="s">
        <v>19</v>
      </c>
      <c r="C38" s="9" t="s">
        <v>20</v>
      </c>
      <c r="D38" s="9"/>
      <c r="E38" s="9"/>
      <c r="F38" s="9" t="s">
        <v>21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2:26" x14ac:dyDescent="0.25">
      <c r="B39" s="8" t="s">
        <v>22</v>
      </c>
      <c r="C39" s="9" t="s">
        <v>23</v>
      </c>
      <c r="D39" s="9"/>
      <c r="E39" s="9"/>
      <c r="F39" s="9" t="s">
        <v>24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2:26" x14ac:dyDescent="0.25">
      <c r="B40" s="8" t="s">
        <v>25</v>
      </c>
      <c r="C40" s="9" t="s">
        <v>26</v>
      </c>
      <c r="D40" s="9"/>
      <c r="E40" s="9"/>
      <c r="F40" s="9" t="s">
        <v>27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2:26" x14ac:dyDescent="0.25">
      <c r="B41" s="8" t="s">
        <v>28</v>
      </c>
      <c r="C41" s="9" t="s">
        <v>29</v>
      </c>
      <c r="D41" s="9"/>
      <c r="E41" s="9"/>
      <c r="F41" s="9" t="s">
        <v>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2:26" x14ac:dyDescent="0.25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2:26" x14ac:dyDescent="0.25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2:26" x14ac:dyDescent="0.25"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8"/>
    </row>
  </sheetData>
  <mergeCells count="10">
    <mergeCell ref="C37:E37"/>
    <mergeCell ref="F37:G37"/>
    <mergeCell ref="F34:I34"/>
    <mergeCell ref="F31:I31"/>
    <mergeCell ref="F32:I32"/>
    <mergeCell ref="F33:I33"/>
    <mergeCell ref="C34:E34"/>
    <mergeCell ref="C31:E31"/>
    <mergeCell ref="C32:E32"/>
    <mergeCell ref="C33:E33"/>
  </mergeCells>
  <hyperlinks>
    <hyperlink ref="F31" r:id="rId1"/>
    <hyperlink ref="F33" r:id="rId2"/>
    <hyperlink ref="F32" r:id="rId3" display="lgang@eneron.com"/>
    <hyperlink ref="F34" r:id="rId4"/>
  </hyperlinks>
  <pageMargins left="0.25" right="0" top="1" bottom="1" header="0.5" footer="0.5"/>
  <pageSetup paperSize="5" scale="56" orientation="landscape" r:id="rId5"/>
  <headerFooter alignWithMargins="0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8" name="Drop Down 2">
              <controlPr defaultSize="0" autoLine="0" autoPict="0">
                <anchor moveWithCells="1">
                  <from>
                    <xdr:col>1</xdr:col>
                    <xdr:colOff>7620</xdr:colOff>
                    <xdr:row>7</xdr:row>
                    <xdr:rowOff>7620</xdr:rowOff>
                  </from>
                  <to>
                    <xdr:col>2</xdr:col>
                    <xdr:colOff>7620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Scheduling</vt:lpstr>
      <vt:lpstr>Scheduling!Print_Area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cmumm</dc:creator>
  <cp:lastModifiedBy>Havlíček Jan</cp:lastModifiedBy>
  <cp:lastPrinted>2001-11-09T23:48:35Z</cp:lastPrinted>
  <dcterms:created xsi:type="dcterms:W3CDTF">2001-10-08T15:37:30Z</dcterms:created>
  <dcterms:modified xsi:type="dcterms:W3CDTF">2023-09-10T14:53:36Z</dcterms:modified>
</cp:coreProperties>
</file>