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832" activeTab="12"/>
  </bookViews>
  <sheets>
    <sheet name="May1" sheetId="15" r:id="rId1"/>
    <sheet name="May2" sheetId="17" r:id="rId2"/>
    <sheet name="May3" sheetId="4" r:id="rId3"/>
    <sheet name="May4" sheetId="16" r:id="rId4"/>
    <sheet name="May5" sheetId="11" r:id="rId5"/>
    <sheet name="May6" sheetId="3584" r:id="rId6"/>
    <sheet name="May7" sheetId="40944" r:id="rId7"/>
    <sheet name="May8" sheetId="3040" r:id="rId8"/>
    <sheet name="May9" sheetId="101" r:id="rId9"/>
    <sheet name="May10" sheetId="116" r:id="rId10"/>
    <sheet name="May11" sheetId="32" r:id="rId11"/>
    <sheet name="May12" sheetId="83" r:id="rId12"/>
    <sheet name="May13" sheetId="104" r:id="rId13"/>
    <sheet name="May14" sheetId="97" r:id="rId14"/>
  </sheets>
  <externalReferences>
    <externalReference r:id="rId15"/>
  </externalReferences>
  <definedNames>
    <definedName name="Bogey">'[1]Bogey &amp; Gas Price'!$A$3:$B$33</definedName>
    <definedName name="DaDate">'[1]P&amp;L DA purchases'!$A$7:$A$65536</definedName>
    <definedName name="DaMw">'[1]P&amp;L DA purchases'!$C$7:$C$65536</definedName>
    <definedName name="DaPrice">'[1]P&amp;L DA purchases'!$D$7:$D$65536</definedName>
    <definedName name="Gas">'[1]Bogey &amp; Gas Price'!$A$3:$E$33</definedName>
    <definedName name="RTDate">'[1]P&amp;L RT Purchases'!$A$7:$A$65536</definedName>
    <definedName name="RtMw">'[1]P&amp;L RT Purchases'!$C$7:$C$65536</definedName>
    <definedName name="RTPrice">'[1]P&amp;L RT Purchases'!$D$7:$D$65536</definedName>
  </definedNames>
  <calcPr calcId="92512"/>
</workbook>
</file>

<file path=xl/calcChain.xml><?xml version="1.0" encoding="utf-8"?>
<calcChain xmlns="http://schemas.openxmlformats.org/spreadsheetml/2006/main">
  <c r="H7" i="15" l="1"/>
  <c r="I7" i="15"/>
  <c r="J7" i="15"/>
  <c r="K7" i="15"/>
  <c r="L7" i="15"/>
  <c r="M7" i="15"/>
  <c r="N7" i="15"/>
  <c r="O7" i="15"/>
  <c r="P7" i="15"/>
  <c r="Q7" i="15"/>
  <c r="S7" i="15"/>
  <c r="T7" i="15"/>
  <c r="H8" i="15"/>
  <c r="I8" i="15"/>
  <c r="J8" i="15"/>
  <c r="K8" i="15"/>
  <c r="L8" i="15"/>
  <c r="M8" i="15"/>
  <c r="N8" i="15"/>
  <c r="O8" i="15"/>
  <c r="P8" i="15"/>
  <c r="Q8" i="15"/>
  <c r="S8" i="15"/>
  <c r="T8" i="15"/>
  <c r="H9" i="15"/>
  <c r="I9" i="15"/>
  <c r="J9" i="15"/>
  <c r="K9" i="15"/>
  <c r="L9" i="15"/>
  <c r="M9" i="15"/>
  <c r="N9" i="15"/>
  <c r="O9" i="15"/>
  <c r="P9" i="15"/>
  <c r="Q9" i="15"/>
  <c r="S9" i="15"/>
  <c r="T9" i="15"/>
  <c r="H10" i="15"/>
  <c r="I10" i="15"/>
  <c r="J10" i="15"/>
  <c r="K10" i="15"/>
  <c r="L10" i="15"/>
  <c r="M10" i="15"/>
  <c r="N10" i="15"/>
  <c r="O10" i="15"/>
  <c r="P10" i="15"/>
  <c r="Q10" i="15"/>
  <c r="S10" i="15"/>
  <c r="T10" i="15"/>
  <c r="H11" i="15"/>
  <c r="I11" i="15"/>
  <c r="J11" i="15"/>
  <c r="K11" i="15"/>
  <c r="L11" i="15"/>
  <c r="M11" i="15"/>
  <c r="N11" i="15"/>
  <c r="O11" i="15"/>
  <c r="P11" i="15"/>
  <c r="Q11" i="15"/>
  <c r="S11" i="15"/>
  <c r="T11" i="15"/>
  <c r="H12" i="15"/>
  <c r="I12" i="15"/>
  <c r="J12" i="15"/>
  <c r="K12" i="15"/>
  <c r="L12" i="15"/>
  <c r="M12" i="15"/>
  <c r="N12" i="15"/>
  <c r="O12" i="15"/>
  <c r="P12" i="15"/>
  <c r="Q12" i="15"/>
  <c r="S12" i="15"/>
  <c r="T12" i="15"/>
  <c r="H13" i="15"/>
  <c r="I13" i="15"/>
  <c r="J13" i="15"/>
  <c r="K13" i="15"/>
  <c r="L13" i="15"/>
  <c r="M13" i="15"/>
  <c r="N13" i="15"/>
  <c r="O13" i="15"/>
  <c r="P13" i="15"/>
  <c r="Q13" i="15"/>
  <c r="S13" i="15"/>
  <c r="T13" i="15"/>
  <c r="H14" i="15"/>
  <c r="I14" i="15"/>
  <c r="J14" i="15"/>
  <c r="K14" i="15"/>
  <c r="L14" i="15"/>
  <c r="M14" i="15"/>
  <c r="N14" i="15"/>
  <c r="O14" i="15"/>
  <c r="P14" i="15"/>
  <c r="Q14" i="15"/>
  <c r="S14" i="15"/>
  <c r="T14" i="15"/>
  <c r="H15" i="15"/>
  <c r="I15" i="15"/>
  <c r="J15" i="15"/>
  <c r="K15" i="15"/>
  <c r="L15" i="15"/>
  <c r="M15" i="15"/>
  <c r="N15" i="15"/>
  <c r="O15" i="15"/>
  <c r="P15" i="15"/>
  <c r="Q15" i="15"/>
  <c r="S15" i="15"/>
  <c r="T15" i="15"/>
  <c r="H16" i="15"/>
  <c r="I16" i="15"/>
  <c r="J16" i="15"/>
  <c r="K16" i="15"/>
  <c r="L16" i="15"/>
  <c r="M16" i="15"/>
  <c r="N16" i="15"/>
  <c r="O16" i="15"/>
  <c r="P16" i="15"/>
  <c r="Q16" i="15"/>
  <c r="S16" i="15"/>
  <c r="T16" i="15"/>
  <c r="H17" i="15"/>
  <c r="I17" i="15"/>
  <c r="J17" i="15"/>
  <c r="K17" i="15"/>
  <c r="L17" i="15"/>
  <c r="M17" i="15"/>
  <c r="N17" i="15"/>
  <c r="O17" i="15"/>
  <c r="P17" i="15"/>
  <c r="Q17" i="15"/>
  <c r="S17" i="15"/>
  <c r="T17" i="15"/>
  <c r="H18" i="15"/>
  <c r="I18" i="15"/>
  <c r="J18" i="15"/>
  <c r="K18" i="15"/>
  <c r="L18" i="15"/>
  <c r="M18" i="15"/>
  <c r="N18" i="15"/>
  <c r="O18" i="15"/>
  <c r="P18" i="15"/>
  <c r="Q18" i="15"/>
  <c r="S18" i="15"/>
  <c r="T18" i="15"/>
  <c r="H19" i="15"/>
  <c r="I19" i="15"/>
  <c r="J19" i="15"/>
  <c r="K19" i="15"/>
  <c r="L19" i="15"/>
  <c r="M19" i="15"/>
  <c r="N19" i="15"/>
  <c r="O19" i="15"/>
  <c r="P19" i="15"/>
  <c r="Q19" i="15"/>
  <c r="S19" i="15"/>
  <c r="T19" i="15"/>
  <c r="H20" i="15"/>
  <c r="I20" i="15"/>
  <c r="J20" i="15"/>
  <c r="K20" i="15"/>
  <c r="L20" i="15"/>
  <c r="M20" i="15"/>
  <c r="N20" i="15"/>
  <c r="O20" i="15"/>
  <c r="P20" i="15"/>
  <c r="Q20" i="15"/>
  <c r="S20" i="15"/>
  <c r="T20" i="15"/>
  <c r="H21" i="15"/>
  <c r="I21" i="15"/>
  <c r="J21" i="15"/>
  <c r="K21" i="15"/>
  <c r="L21" i="15"/>
  <c r="M21" i="15"/>
  <c r="N21" i="15"/>
  <c r="O21" i="15"/>
  <c r="P21" i="15"/>
  <c r="Q21" i="15"/>
  <c r="S21" i="15"/>
  <c r="T21" i="15"/>
  <c r="H22" i="15"/>
  <c r="I22" i="15"/>
  <c r="J22" i="15"/>
  <c r="K22" i="15"/>
  <c r="L22" i="15"/>
  <c r="M22" i="15"/>
  <c r="N22" i="15"/>
  <c r="O22" i="15"/>
  <c r="P22" i="15"/>
  <c r="Q22" i="15"/>
  <c r="S22" i="15"/>
  <c r="T22" i="15"/>
  <c r="H23" i="15"/>
  <c r="I23" i="15"/>
  <c r="J23" i="15"/>
  <c r="K23" i="15"/>
  <c r="L23" i="15"/>
  <c r="M23" i="15"/>
  <c r="N23" i="15"/>
  <c r="O23" i="15"/>
  <c r="P23" i="15"/>
  <c r="Q23" i="15"/>
  <c r="S23" i="15"/>
  <c r="T23" i="15"/>
  <c r="H24" i="15"/>
  <c r="I24" i="15"/>
  <c r="J24" i="15"/>
  <c r="K24" i="15"/>
  <c r="L24" i="15"/>
  <c r="M24" i="15"/>
  <c r="N24" i="15"/>
  <c r="O24" i="15"/>
  <c r="P24" i="15"/>
  <c r="Q24" i="15"/>
  <c r="S24" i="15"/>
  <c r="T24" i="15"/>
  <c r="H25" i="15"/>
  <c r="I25" i="15"/>
  <c r="J25" i="15"/>
  <c r="K25" i="15"/>
  <c r="L25" i="15"/>
  <c r="M25" i="15"/>
  <c r="N25" i="15"/>
  <c r="O25" i="15"/>
  <c r="P25" i="15"/>
  <c r="Q25" i="15"/>
  <c r="S25" i="15"/>
  <c r="T25" i="15"/>
  <c r="H26" i="15"/>
  <c r="I26" i="15"/>
  <c r="J26" i="15"/>
  <c r="K26" i="15"/>
  <c r="L26" i="15"/>
  <c r="M26" i="15"/>
  <c r="N26" i="15"/>
  <c r="O26" i="15"/>
  <c r="P26" i="15"/>
  <c r="Q26" i="15"/>
  <c r="S26" i="15"/>
  <c r="T26" i="15"/>
  <c r="H27" i="15"/>
  <c r="I27" i="15"/>
  <c r="J27" i="15"/>
  <c r="K27" i="15"/>
  <c r="L27" i="15"/>
  <c r="M27" i="15"/>
  <c r="N27" i="15"/>
  <c r="O27" i="15"/>
  <c r="P27" i="15"/>
  <c r="Q27" i="15"/>
  <c r="S27" i="15"/>
  <c r="T27" i="15"/>
  <c r="H28" i="15"/>
  <c r="I28" i="15"/>
  <c r="J28" i="15"/>
  <c r="K28" i="15"/>
  <c r="L28" i="15"/>
  <c r="M28" i="15"/>
  <c r="N28" i="15"/>
  <c r="O28" i="15"/>
  <c r="P28" i="15"/>
  <c r="Q28" i="15"/>
  <c r="S28" i="15"/>
  <c r="T28" i="15"/>
  <c r="H29" i="15"/>
  <c r="I29" i="15"/>
  <c r="J29" i="15"/>
  <c r="K29" i="15"/>
  <c r="L29" i="15"/>
  <c r="M29" i="15"/>
  <c r="N29" i="15"/>
  <c r="O29" i="15"/>
  <c r="P29" i="15"/>
  <c r="Q29" i="15"/>
  <c r="S29" i="15"/>
  <c r="T29" i="15"/>
  <c r="H30" i="15"/>
  <c r="I30" i="15"/>
  <c r="J30" i="15"/>
  <c r="K30" i="15"/>
  <c r="L30" i="15"/>
  <c r="M30" i="15"/>
  <c r="N30" i="15"/>
  <c r="O30" i="15"/>
  <c r="P30" i="15"/>
  <c r="Q30" i="15"/>
  <c r="S30" i="15"/>
  <c r="T30" i="15"/>
  <c r="H7" i="17"/>
  <c r="I7" i="17"/>
  <c r="J7" i="17"/>
  <c r="K7" i="17"/>
  <c r="L7" i="17"/>
  <c r="M7" i="17"/>
  <c r="N7" i="17"/>
  <c r="O7" i="17"/>
  <c r="P7" i="17"/>
  <c r="Q7" i="17"/>
  <c r="S7" i="17"/>
  <c r="T7" i="17"/>
  <c r="H8" i="17"/>
  <c r="I8" i="17"/>
  <c r="J8" i="17"/>
  <c r="K8" i="17"/>
  <c r="L8" i="17"/>
  <c r="M8" i="17"/>
  <c r="N8" i="17"/>
  <c r="O8" i="17"/>
  <c r="P8" i="17"/>
  <c r="Q8" i="17"/>
  <c r="S8" i="17"/>
  <c r="T8" i="17"/>
  <c r="H9" i="17"/>
  <c r="I9" i="17"/>
  <c r="J9" i="17"/>
  <c r="K9" i="17"/>
  <c r="L9" i="17"/>
  <c r="M9" i="17"/>
  <c r="N9" i="17"/>
  <c r="O9" i="17"/>
  <c r="P9" i="17"/>
  <c r="Q9" i="17"/>
  <c r="S9" i="17"/>
  <c r="T9" i="17"/>
  <c r="H10" i="17"/>
  <c r="I10" i="17"/>
  <c r="J10" i="17"/>
  <c r="K10" i="17"/>
  <c r="L10" i="17"/>
  <c r="M10" i="17"/>
  <c r="N10" i="17"/>
  <c r="O10" i="17"/>
  <c r="P10" i="17"/>
  <c r="Q10" i="17"/>
  <c r="S10" i="17"/>
  <c r="T10" i="17"/>
  <c r="H11" i="17"/>
  <c r="I11" i="17"/>
  <c r="J11" i="17"/>
  <c r="K11" i="17"/>
  <c r="L11" i="17"/>
  <c r="M11" i="17"/>
  <c r="N11" i="17"/>
  <c r="O11" i="17"/>
  <c r="P11" i="17"/>
  <c r="Q11" i="17"/>
  <c r="S11" i="17"/>
  <c r="T11" i="17"/>
  <c r="H12" i="17"/>
  <c r="I12" i="17"/>
  <c r="J12" i="17"/>
  <c r="K12" i="17"/>
  <c r="L12" i="17"/>
  <c r="M12" i="17"/>
  <c r="N12" i="17"/>
  <c r="O12" i="17"/>
  <c r="P12" i="17"/>
  <c r="Q12" i="17"/>
  <c r="S12" i="17"/>
  <c r="T12" i="17"/>
  <c r="H13" i="17"/>
  <c r="I13" i="17"/>
  <c r="J13" i="17"/>
  <c r="K13" i="17"/>
  <c r="L13" i="17"/>
  <c r="M13" i="17"/>
  <c r="N13" i="17"/>
  <c r="O13" i="17"/>
  <c r="P13" i="17"/>
  <c r="Q13" i="17"/>
  <c r="S13" i="17"/>
  <c r="T13" i="17"/>
  <c r="H14" i="17"/>
  <c r="I14" i="17"/>
  <c r="J14" i="17"/>
  <c r="K14" i="17"/>
  <c r="L14" i="17"/>
  <c r="M14" i="17"/>
  <c r="N14" i="17"/>
  <c r="O14" i="17"/>
  <c r="P14" i="17"/>
  <c r="Q14" i="17"/>
  <c r="S14" i="17"/>
  <c r="T14" i="17"/>
  <c r="H15" i="17"/>
  <c r="I15" i="17"/>
  <c r="J15" i="17"/>
  <c r="K15" i="17"/>
  <c r="L15" i="17"/>
  <c r="M15" i="17"/>
  <c r="N15" i="17"/>
  <c r="O15" i="17"/>
  <c r="P15" i="17"/>
  <c r="Q15" i="17"/>
  <c r="S15" i="17"/>
  <c r="T15" i="17"/>
  <c r="H16" i="17"/>
  <c r="I16" i="17"/>
  <c r="J16" i="17"/>
  <c r="K16" i="17"/>
  <c r="L16" i="17"/>
  <c r="M16" i="17"/>
  <c r="N16" i="17"/>
  <c r="O16" i="17"/>
  <c r="P16" i="17"/>
  <c r="Q16" i="17"/>
  <c r="S16" i="17"/>
  <c r="T16" i="17"/>
  <c r="H17" i="17"/>
  <c r="I17" i="17"/>
  <c r="J17" i="17"/>
  <c r="K17" i="17"/>
  <c r="L17" i="17"/>
  <c r="M17" i="17"/>
  <c r="N17" i="17"/>
  <c r="O17" i="17"/>
  <c r="P17" i="17"/>
  <c r="Q17" i="17"/>
  <c r="S17" i="17"/>
  <c r="T17" i="17"/>
  <c r="H18" i="17"/>
  <c r="I18" i="17"/>
  <c r="J18" i="17"/>
  <c r="K18" i="17"/>
  <c r="L18" i="17"/>
  <c r="M18" i="17"/>
  <c r="N18" i="17"/>
  <c r="O18" i="17"/>
  <c r="P18" i="17"/>
  <c r="Q18" i="17"/>
  <c r="S18" i="17"/>
  <c r="T18" i="17"/>
  <c r="H19" i="17"/>
  <c r="I19" i="17"/>
  <c r="J19" i="17"/>
  <c r="K19" i="17"/>
  <c r="L19" i="17"/>
  <c r="M19" i="17"/>
  <c r="N19" i="17"/>
  <c r="O19" i="17"/>
  <c r="P19" i="17"/>
  <c r="Q19" i="17"/>
  <c r="S19" i="17"/>
  <c r="T19" i="17"/>
  <c r="H20" i="17"/>
  <c r="I20" i="17"/>
  <c r="J20" i="17"/>
  <c r="K20" i="17"/>
  <c r="L20" i="17"/>
  <c r="M20" i="17"/>
  <c r="N20" i="17"/>
  <c r="O20" i="17"/>
  <c r="P20" i="17"/>
  <c r="Q20" i="17"/>
  <c r="S20" i="17"/>
  <c r="T20" i="17"/>
  <c r="H21" i="17"/>
  <c r="I21" i="17"/>
  <c r="J21" i="17"/>
  <c r="K21" i="17"/>
  <c r="L21" i="17"/>
  <c r="M21" i="17"/>
  <c r="N21" i="17"/>
  <c r="O21" i="17"/>
  <c r="P21" i="17"/>
  <c r="Q21" i="17"/>
  <c r="S21" i="17"/>
  <c r="T21" i="17"/>
  <c r="H22" i="17"/>
  <c r="I22" i="17"/>
  <c r="J22" i="17"/>
  <c r="K22" i="17"/>
  <c r="L22" i="17"/>
  <c r="M22" i="17"/>
  <c r="N22" i="17"/>
  <c r="O22" i="17"/>
  <c r="P22" i="17"/>
  <c r="Q22" i="17"/>
  <c r="S22" i="17"/>
  <c r="T22" i="17"/>
  <c r="H23" i="17"/>
  <c r="I23" i="17"/>
  <c r="J23" i="17"/>
  <c r="K23" i="17"/>
  <c r="L23" i="17"/>
  <c r="M23" i="17"/>
  <c r="N23" i="17"/>
  <c r="O23" i="17"/>
  <c r="P23" i="17"/>
  <c r="Q23" i="17"/>
  <c r="S23" i="17"/>
  <c r="T23" i="17"/>
  <c r="H24" i="17"/>
  <c r="I24" i="17"/>
  <c r="J24" i="17"/>
  <c r="K24" i="17"/>
  <c r="L24" i="17"/>
  <c r="M24" i="17"/>
  <c r="N24" i="17"/>
  <c r="O24" i="17"/>
  <c r="P24" i="17"/>
  <c r="Q24" i="17"/>
  <c r="S24" i="17"/>
  <c r="T24" i="17"/>
  <c r="H25" i="17"/>
  <c r="I25" i="17"/>
  <c r="J25" i="17"/>
  <c r="K25" i="17"/>
  <c r="L25" i="17"/>
  <c r="M25" i="17"/>
  <c r="N25" i="17"/>
  <c r="O25" i="17"/>
  <c r="P25" i="17"/>
  <c r="Q25" i="17"/>
  <c r="S25" i="17"/>
  <c r="T25" i="17"/>
  <c r="H26" i="17"/>
  <c r="I26" i="17"/>
  <c r="J26" i="17"/>
  <c r="K26" i="17"/>
  <c r="L26" i="17"/>
  <c r="M26" i="17"/>
  <c r="N26" i="17"/>
  <c r="O26" i="17"/>
  <c r="P26" i="17"/>
  <c r="Q26" i="17"/>
  <c r="S26" i="17"/>
  <c r="T26" i="17"/>
  <c r="H27" i="17"/>
  <c r="I27" i="17"/>
  <c r="J27" i="17"/>
  <c r="K27" i="17"/>
  <c r="L27" i="17"/>
  <c r="M27" i="17"/>
  <c r="N27" i="17"/>
  <c r="O27" i="17"/>
  <c r="P27" i="17"/>
  <c r="Q27" i="17"/>
  <c r="S27" i="17"/>
  <c r="T27" i="17"/>
  <c r="H28" i="17"/>
  <c r="I28" i="17"/>
  <c r="J28" i="17"/>
  <c r="K28" i="17"/>
  <c r="L28" i="17"/>
  <c r="M28" i="17"/>
  <c r="N28" i="17"/>
  <c r="O28" i="17"/>
  <c r="P28" i="17"/>
  <c r="Q28" i="17"/>
  <c r="S28" i="17"/>
  <c r="T28" i="17"/>
  <c r="H29" i="17"/>
  <c r="I29" i="17"/>
  <c r="J29" i="17"/>
  <c r="K29" i="17"/>
  <c r="L29" i="17"/>
  <c r="M29" i="17"/>
  <c r="N29" i="17"/>
  <c r="O29" i="17"/>
  <c r="P29" i="17"/>
  <c r="Q29" i="17"/>
  <c r="S29" i="17"/>
  <c r="T29" i="17"/>
  <c r="H30" i="17"/>
  <c r="I30" i="17"/>
  <c r="J30" i="17"/>
  <c r="K30" i="17"/>
  <c r="L30" i="17"/>
  <c r="M30" i="17"/>
  <c r="N30" i="17"/>
  <c r="O30" i="17"/>
  <c r="P30" i="17"/>
  <c r="Q30" i="17"/>
  <c r="S30" i="17"/>
  <c r="T30" i="17"/>
  <c r="A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S7" i="4"/>
  <c r="T7" i="4"/>
  <c r="A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S8" i="4"/>
  <c r="T8" i="4"/>
  <c r="A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S9" i="4"/>
  <c r="T9" i="4"/>
  <c r="A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S10" i="4"/>
  <c r="T10" i="4"/>
  <c r="A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S11" i="4"/>
  <c r="T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S12" i="4"/>
  <c r="T12" i="4"/>
  <c r="A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S13" i="4"/>
  <c r="T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S14" i="4"/>
  <c r="T14" i="4"/>
  <c r="A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S15" i="4"/>
  <c r="T15" i="4"/>
  <c r="A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S16" i="4"/>
  <c r="T16" i="4"/>
  <c r="A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S17" i="4"/>
  <c r="T17" i="4"/>
  <c r="A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S18" i="4"/>
  <c r="T18" i="4"/>
  <c r="A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S19" i="4"/>
  <c r="T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S20" i="4"/>
  <c r="T20" i="4"/>
  <c r="A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S21" i="4"/>
  <c r="T21" i="4"/>
  <c r="A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S22" i="4"/>
  <c r="T22" i="4"/>
  <c r="A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S23" i="4"/>
  <c r="T23" i="4"/>
  <c r="A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S24" i="4"/>
  <c r="T24" i="4"/>
  <c r="A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S25" i="4"/>
  <c r="T25" i="4"/>
  <c r="A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S26" i="4"/>
  <c r="T26" i="4"/>
  <c r="A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S27" i="4"/>
  <c r="T27" i="4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S28" i="4"/>
  <c r="T28" i="4"/>
  <c r="A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S29" i="4"/>
  <c r="T29" i="4"/>
  <c r="A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S30" i="4"/>
  <c r="T30" i="4"/>
  <c r="Q32" i="4"/>
  <c r="S32" i="4"/>
  <c r="T32" i="4"/>
  <c r="C34" i="4"/>
  <c r="A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S41" i="4"/>
  <c r="T41" i="4"/>
  <c r="A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S42" i="4"/>
  <c r="T42" i="4"/>
  <c r="A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S43" i="4"/>
  <c r="T43" i="4"/>
  <c r="A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S44" i="4"/>
  <c r="T44" i="4"/>
  <c r="A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S45" i="4"/>
  <c r="T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S46" i="4"/>
  <c r="T46" i="4"/>
  <c r="A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S47" i="4"/>
  <c r="T47" i="4"/>
  <c r="A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S48" i="4"/>
  <c r="T48" i="4"/>
  <c r="A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S49" i="4"/>
  <c r="T49" i="4"/>
  <c r="A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S50" i="4"/>
  <c r="T50" i="4"/>
  <c r="A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S51" i="4"/>
  <c r="T51" i="4"/>
  <c r="A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S52" i="4"/>
  <c r="T52" i="4"/>
  <c r="A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S53" i="4"/>
  <c r="T53" i="4"/>
  <c r="A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S54" i="4"/>
  <c r="T54" i="4"/>
  <c r="A55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Q55" i="4"/>
  <c r="S55" i="4"/>
  <c r="T55" i="4"/>
  <c r="A56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Q56" i="4"/>
  <c r="S56" i="4"/>
  <c r="T56" i="4"/>
  <c r="A57" i="4"/>
  <c r="C57" i="4"/>
  <c r="D57" i="4"/>
  <c r="E57" i="4"/>
  <c r="F57" i="4"/>
  <c r="G57" i="4"/>
  <c r="H57" i="4"/>
  <c r="I57" i="4"/>
  <c r="J57" i="4"/>
  <c r="K57" i="4"/>
  <c r="L57" i="4"/>
  <c r="M57" i="4"/>
  <c r="N57" i="4"/>
  <c r="P57" i="4"/>
  <c r="Q57" i="4"/>
  <c r="S57" i="4"/>
  <c r="T57" i="4"/>
  <c r="A58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Q58" i="4"/>
  <c r="S58" i="4"/>
  <c r="T58" i="4"/>
  <c r="A59" i="4"/>
  <c r="C59" i="4"/>
  <c r="D59" i="4"/>
  <c r="E59" i="4"/>
  <c r="F59" i="4"/>
  <c r="G59" i="4"/>
  <c r="H59" i="4"/>
  <c r="I59" i="4"/>
  <c r="J59" i="4"/>
  <c r="K59" i="4"/>
  <c r="L59" i="4"/>
  <c r="M59" i="4"/>
  <c r="N59" i="4"/>
  <c r="P59" i="4"/>
  <c r="Q59" i="4"/>
  <c r="S59" i="4"/>
  <c r="T59" i="4"/>
  <c r="A60" i="4"/>
  <c r="C60" i="4"/>
  <c r="D60" i="4"/>
  <c r="E60" i="4"/>
  <c r="F60" i="4"/>
  <c r="G60" i="4"/>
  <c r="H60" i="4"/>
  <c r="I60" i="4"/>
  <c r="J60" i="4"/>
  <c r="K60" i="4"/>
  <c r="L60" i="4"/>
  <c r="M60" i="4"/>
  <c r="N60" i="4"/>
  <c r="P60" i="4"/>
  <c r="Q60" i="4"/>
  <c r="S60" i="4"/>
  <c r="T60" i="4"/>
  <c r="A61" i="4"/>
  <c r="C61" i="4"/>
  <c r="D61" i="4"/>
  <c r="E61" i="4"/>
  <c r="F61" i="4"/>
  <c r="G61" i="4"/>
  <c r="H61" i="4"/>
  <c r="I61" i="4"/>
  <c r="J61" i="4"/>
  <c r="K61" i="4"/>
  <c r="L61" i="4"/>
  <c r="M61" i="4"/>
  <c r="N61" i="4"/>
  <c r="P61" i="4"/>
  <c r="Q61" i="4"/>
  <c r="S61" i="4"/>
  <c r="T61" i="4"/>
  <c r="A62" i="4"/>
  <c r="C62" i="4"/>
  <c r="D62" i="4"/>
  <c r="E62" i="4"/>
  <c r="F62" i="4"/>
  <c r="G62" i="4"/>
  <c r="H62" i="4"/>
  <c r="I62" i="4"/>
  <c r="J62" i="4"/>
  <c r="K62" i="4"/>
  <c r="L62" i="4"/>
  <c r="M62" i="4"/>
  <c r="N62" i="4"/>
  <c r="P62" i="4"/>
  <c r="Q62" i="4"/>
  <c r="S62" i="4"/>
  <c r="T62" i="4"/>
  <c r="A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S63" i="4"/>
  <c r="T63" i="4"/>
  <c r="A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S64" i="4"/>
  <c r="T64" i="4"/>
  <c r="Q66" i="4"/>
  <c r="C68" i="4"/>
  <c r="A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S7" i="16"/>
  <c r="T7" i="16"/>
  <c r="A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S8" i="16"/>
  <c r="T8" i="16"/>
  <c r="A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S9" i="16"/>
  <c r="T9" i="16"/>
  <c r="A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S10" i="16"/>
  <c r="T10" i="16"/>
  <c r="A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S11" i="16"/>
  <c r="T11" i="16"/>
  <c r="A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S12" i="16"/>
  <c r="T12" i="16"/>
  <c r="A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S13" i="16"/>
  <c r="T13" i="16"/>
  <c r="A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S14" i="16"/>
  <c r="T14" i="16"/>
  <c r="A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S15" i="16"/>
  <c r="T15" i="16"/>
  <c r="A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S16" i="16"/>
  <c r="T16" i="16"/>
  <c r="A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S17" i="16"/>
  <c r="T17" i="16"/>
  <c r="A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S18" i="16"/>
  <c r="T18" i="16"/>
  <c r="A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S19" i="16"/>
  <c r="T19" i="16"/>
  <c r="A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S20" i="16"/>
  <c r="T20" i="16"/>
  <c r="A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S21" i="16"/>
  <c r="T21" i="16"/>
  <c r="A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S22" i="16"/>
  <c r="T22" i="16"/>
  <c r="A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S23" i="16"/>
  <c r="T23" i="16"/>
  <c r="A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S24" i="16"/>
  <c r="T24" i="16"/>
  <c r="A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S25" i="16"/>
  <c r="T25" i="16"/>
  <c r="A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S26" i="16"/>
  <c r="T26" i="16"/>
  <c r="A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S27" i="16"/>
  <c r="T27" i="16"/>
  <c r="A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S28" i="16"/>
  <c r="T28" i="16"/>
  <c r="A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S29" i="16"/>
  <c r="T29" i="16"/>
  <c r="A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S30" i="16"/>
  <c r="T30" i="16"/>
  <c r="Q32" i="16"/>
  <c r="S32" i="16"/>
  <c r="T32" i="16"/>
  <c r="C34" i="16"/>
  <c r="A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S41" i="16"/>
  <c r="T41" i="16"/>
  <c r="A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S42" i="16"/>
  <c r="T42" i="16"/>
  <c r="A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S43" i="16"/>
  <c r="T43" i="16"/>
  <c r="A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S44" i="16"/>
  <c r="T44" i="16"/>
  <c r="A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S45" i="16"/>
  <c r="T45" i="16"/>
  <c r="A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S46" i="16"/>
  <c r="T46" i="16"/>
  <c r="A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S47" i="16"/>
  <c r="T47" i="16"/>
  <c r="A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S48" i="16"/>
  <c r="T48" i="16"/>
  <c r="A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S49" i="16"/>
  <c r="T49" i="16"/>
  <c r="A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S50" i="16"/>
  <c r="T50" i="16"/>
  <c r="A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S51" i="16"/>
  <c r="T51" i="16"/>
  <c r="A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S52" i="16"/>
  <c r="T52" i="16"/>
  <c r="A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S53" i="16"/>
  <c r="T53" i="16"/>
  <c r="A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S54" i="16"/>
  <c r="T54" i="16"/>
  <c r="A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P55" i="16"/>
  <c r="Q55" i="16"/>
  <c r="S55" i="16"/>
  <c r="T55" i="16"/>
  <c r="A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P56" i="16"/>
  <c r="Q56" i="16"/>
  <c r="S56" i="16"/>
  <c r="T56" i="16"/>
  <c r="A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P57" i="16"/>
  <c r="Q57" i="16"/>
  <c r="S57" i="16"/>
  <c r="T57" i="16"/>
  <c r="A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P58" i="16"/>
  <c r="Q58" i="16"/>
  <c r="S58" i="16"/>
  <c r="T58" i="16"/>
  <c r="A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P59" i="16"/>
  <c r="Q59" i="16"/>
  <c r="S59" i="16"/>
  <c r="T59" i="16"/>
  <c r="A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P60" i="16"/>
  <c r="Q60" i="16"/>
  <c r="S60" i="16"/>
  <c r="T60" i="16"/>
  <c r="A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P61" i="16"/>
  <c r="Q61" i="16"/>
  <c r="S61" i="16"/>
  <c r="T61" i="16"/>
  <c r="A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P62" i="16"/>
  <c r="Q62" i="16"/>
  <c r="S62" i="16"/>
  <c r="T62" i="16"/>
  <c r="A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S63" i="16"/>
  <c r="T63" i="16"/>
  <c r="A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S64" i="16"/>
  <c r="T64" i="16"/>
  <c r="Q66" i="16"/>
  <c r="C68" i="16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S7" i="11"/>
  <c r="T7" i="11"/>
  <c r="A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S8" i="11"/>
  <c r="T8" i="11"/>
  <c r="A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S9" i="11"/>
  <c r="T9" i="11"/>
  <c r="A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S10" i="11"/>
  <c r="T10" i="11"/>
  <c r="A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S11" i="11"/>
  <c r="T11" i="11"/>
  <c r="A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S12" i="11"/>
  <c r="T12" i="11"/>
  <c r="A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S13" i="11"/>
  <c r="T13" i="11"/>
  <c r="A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S14" i="11"/>
  <c r="T14" i="11"/>
  <c r="A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S15" i="11"/>
  <c r="T15" i="11"/>
  <c r="A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S16" i="11"/>
  <c r="T16" i="11"/>
  <c r="A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S17" i="11"/>
  <c r="T17" i="11"/>
  <c r="A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S18" i="11"/>
  <c r="T18" i="11"/>
  <c r="A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S19" i="11"/>
  <c r="T19" i="11"/>
  <c r="A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S20" i="11"/>
  <c r="T20" i="11"/>
  <c r="A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S21" i="11"/>
  <c r="T21" i="11"/>
  <c r="A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S22" i="11"/>
  <c r="T22" i="11"/>
  <c r="A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S23" i="11"/>
  <c r="T23" i="11"/>
  <c r="A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S24" i="11"/>
  <c r="T24" i="11"/>
  <c r="A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S25" i="11"/>
  <c r="T25" i="11"/>
  <c r="A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S26" i="11"/>
  <c r="T26" i="11"/>
  <c r="A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S27" i="11"/>
  <c r="T27" i="11"/>
  <c r="A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S28" i="11"/>
  <c r="T28" i="11"/>
  <c r="A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S29" i="11"/>
  <c r="T29" i="11"/>
  <c r="A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S30" i="11"/>
  <c r="T30" i="11"/>
  <c r="Q32" i="11"/>
  <c r="S32" i="11"/>
  <c r="T32" i="11"/>
  <c r="C34" i="11"/>
  <c r="A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S41" i="11"/>
  <c r="T41" i="11"/>
  <c r="A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S42" i="11"/>
  <c r="T42" i="11"/>
  <c r="A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S43" i="11"/>
  <c r="T43" i="11"/>
  <c r="A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S44" i="11"/>
  <c r="T44" i="11"/>
  <c r="A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S45" i="11"/>
  <c r="T45" i="11"/>
  <c r="A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S46" i="11"/>
  <c r="T46" i="11"/>
  <c r="A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S47" i="11"/>
  <c r="T47" i="11"/>
  <c r="A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S48" i="11"/>
  <c r="T48" i="11"/>
  <c r="A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S49" i="11"/>
  <c r="T49" i="11"/>
  <c r="A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S50" i="11"/>
  <c r="T50" i="11"/>
  <c r="A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S51" i="11"/>
  <c r="T51" i="11"/>
  <c r="A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S52" i="11"/>
  <c r="T52" i="11"/>
  <c r="A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S53" i="11"/>
  <c r="T53" i="11"/>
  <c r="A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S54" i="11"/>
  <c r="T54" i="11"/>
  <c r="A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P55" i="11"/>
  <c r="Q55" i="11"/>
  <c r="S55" i="11"/>
  <c r="T55" i="11"/>
  <c r="A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P56" i="11"/>
  <c r="Q56" i="11"/>
  <c r="S56" i="11"/>
  <c r="T56" i="11"/>
  <c r="A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P57" i="11"/>
  <c r="Q57" i="11"/>
  <c r="S57" i="11"/>
  <c r="T57" i="11"/>
  <c r="A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P58" i="11"/>
  <c r="Q58" i="11"/>
  <c r="S58" i="11"/>
  <c r="T58" i="11"/>
  <c r="A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P59" i="11"/>
  <c r="Q59" i="11"/>
  <c r="S59" i="11"/>
  <c r="T59" i="11"/>
  <c r="A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P60" i="11"/>
  <c r="Q60" i="11"/>
  <c r="S60" i="11"/>
  <c r="T60" i="11"/>
  <c r="A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P61" i="11"/>
  <c r="Q61" i="11"/>
  <c r="S61" i="11"/>
  <c r="T61" i="11"/>
  <c r="A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P62" i="11"/>
  <c r="Q62" i="11"/>
  <c r="S62" i="11"/>
  <c r="T62" i="11"/>
  <c r="A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S63" i="11"/>
  <c r="T63" i="11"/>
  <c r="A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S64" i="11"/>
  <c r="T64" i="11"/>
  <c r="Q66" i="11"/>
  <c r="C68" i="11"/>
  <c r="A7" i="3584"/>
  <c r="C7" i="3584"/>
  <c r="D7" i="3584"/>
  <c r="E7" i="3584"/>
  <c r="F7" i="3584"/>
  <c r="G7" i="3584"/>
  <c r="H7" i="3584"/>
  <c r="I7" i="3584"/>
  <c r="J7" i="3584"/>
  <c r="K7" i="3584"/>
  <c r="L7" i="3584"/>
  <c r="M7" i="3584"/>
  <c r="N7" i="3584"/>
  <c r="O7" i="3584"/>
  <c r="P7" i="3584"/>
  <c r="Q7" i="3584"/>
  <c r="S7" i="3584"/>
  <c r="T7" i="3584"/>
  <c r="A8" i="3584"/>
  <c r="C8" i="3584"/>
  <c r="D8" i="3584"/>
  <c r="E8" i="3584"/>
  <c r="F8" i="3584"/>
  <c r="G8" i="3584"/>
  <c r="H8" i="3584"/>
  <c r="I8" i="3584"/>
  <c r="J8" i="3584"/>
  <c r="K8" i="3584"/>
  <c r="L8" i="3584"/>
  <c r="M8" i="3584"/>
  <c r="N8" i="3584"/>
  <c r="O8" i="3584"/>
  <c r="P8" i="3584"/>
  <c r="Q8" i="3584"/>
  <c r="S8" i="3584"/>
  <c r="T8" i="3584"/>
  <c r="A9" i="3584"/>
  <c r="C9" i="3584"/>
  <c r="D9" i="3584"/>
  <c r="E9" i="3584"/>
  <c r="F9" i="3584"/>
  <c r="G9" i="3584"/>
  <c r="H9" i="3584"/>
  <c r="I9" i="3584"/>
  <c r="J9" i="3584"/>
  <c r="K9" i="3584"/>
  <c r="L9" i="3584"/>
  <c r="M9" i="3584"/>
  <c r="N9" i="3584"/>
  <c r="O9" i="3584"/>
  <c r="P9" i="3584"/>
  <c r="Q9" i="3584"/>
  <c r="S9" i="3584"/>
  <c r="T9" i="3584"/>
  <c r="A10" i="3584"/>
  <c r="C10" i="3584"/>
  <c r="D10" i="3584"/>
  <c r="E10" i="3584"/>
  <c r="F10" i="3584"/>
  <c r="G10" i="3584"/>
  <c r="H10" i="3584"/>
  <c r="I10" i="3584"/>
  <c r="J10" i="3584"/>
  <c r="K10" i="3584"/>
  <c r="L10" i="3584"/>
  <c r="M10" i="3584"/>
  <c r="N10" i="3584"/>
  <c r="O10" i="3584"/>
  <c r="P10" i="3584"/>
  <c r="Q10" i="3584"/>
  <c r="S10" i="3584"/>
  <c r="T10" i="3584"/>
  <c r="A11" i="3584"/>
  <c r="C11" i="3584"/>
  <c r="D11" i="3584"/>
  <c r="E11" i="3584"/>
  <c r="F11" i="3584"/>
  <c r="G11" i="3584"/>
  <c r="H11" i="3584"/>
  <c r="I11" i="3584"/>
  <c r="J11" i="3584"/>
  <c r="K11" i="3584"/>
  <c r="L11" i="3584"/>
  <c r="M11" i="3584"/>
  <c r="N11" i="3584"/>
  <c r="O11" i="3584"/>
  <c r="P11" i="3584"/>
  <c r="Q11" i="3584"/>
  <c r="S11" i="3584"/>
  <c r="T11" i="3584"/>
  <c r="A12" i="3584"/>
  <c r="C12" i="3584"/>
  <c r="D12" i="3584"/>
  <c r="E12" i="3584"/>
  <c r="F12" i="3584"/>
  <c r="G12" i="3584"/>
  <c r="H12" i="3584"/>
  <c r="I12" i="3584"/>
  <c r="J12" i="3584"/>
  <c r="K12" i="3584"/>
  <c r="L12" i="3584"/>
  <c r="M12" i="3584"/>
  <c r="N12" i="3584"/>
  <c r="O12" i="3584"/>
  <c r="P12" i="3584"/>
  <c r="Q12" i="3584"/>
  <c r="S12" i="3584"/>
  <c r="T12" i="3584"/>
  <c r="A13" i="3584"/>
  <c r="C13" i="3584"/>
  <c r="D13" i="3584"/>
  <c r="E13" i="3584"/>
  <c r="F13" i="3584"/>
  <c r="G13" i="3584"/>
  <c r="H13" i="3584"/>
  <c r="I13" i="3584"/>
  <c r="J13" i="3584"/>
  <c r="K13" i="3584"/>
  <c r="L13" i="3584"/>
  <c r="M13" i="3584"/>
  <c r="N13" i="3584"/>
  <c r="O13" i="3584"/>
  <c r="P13" i="3584"/>
  <c r="Q13" i="3584"/>
  <c r="S13" i="3584"/>
  <c r="T13" i="3584"/>
  <c r="A14" i="3584"/>
  <c r="C14" i="3584"/>
  <c r="D14" i="3584"/>
  <c r="E14" i="3584"/>
  <c r="F14" i="3584"/>
  <c r="G14" i="3584"/>
  <c r="H14" i="3584"/>
  <c r="I14" i="3584"/>
  <c r="J14" i="3584"/>
  <c r="K14" i="3584"/>
  <c r="L14" i="3584"/>
  <c r="M14" i="3584"/>
  <c r="N14" i="3584"/>
  <c r="O14" i="3584"/>
  <c r="P14" i="3584"/>
  <c r="Q14" i="3584"/>
  <c r="S14" i="3584"/>
  <c r="T14" i="3584"/>
  <c r="A15" i="3584"/>
  <c r="C15" i="3584"/>
  <c r="D15" i="3584"/>
  <c r="E15" i="3584"/>
  <c r="F15" i="3584"/>
  <c r="G15" i="3584"/>
  <c r="H15" i="3584"/>
  <c r="I15" i="3584"/>
  <c r="J15" i="3584"/>
  <c r="K15" i="3584"/>
  <c r="L15" i="3584"/>
  <c r="M15" i="3584"/>
  <c r="N15" i="3584"/>
  <c r="O15" i="3584"/>
  <c r="P15" i="3584"/>
  <c r="Q15" i="3584"/>
  <c r="S15" i="3584"/>
  <c r="T15" i="3584"/>
  <c r="A16" i="3584"/>
  <c r="C16" i="3584"/>
  <c r="D16" i="3584"/>
  <c r="E16" i="3584"/>
  <c r="F16" i="3584"/>
  <c r="G16" i="3584"/>
  <c r="H16" i="3584"/>
  <c r="I16" i="3584"/>
  <c r="J16" i="3584"/>
  <c r="K16" i="3584"/>
  <c r="L16" i="3584"/>
  <c r="M16" i="3584"/>
  <c r="N16" i="3584"/>
  <c r="O16" i="3584"/>
  <c r="P16" i="3584"/>
  <c r="Q16" i="3584"/>
  <c r="S16" i="3584"/>
  <c r="T16" i="3584"/>
  <c r="A17" i="3584"/>
  <c r="C17" i="3584"/>
  <c r="D17" i="3584"/>
  <c r="E17" i="3584"/>
  <c r="F17" i="3584"/>
  <c r="G17" i="3584"/>
  <c r="H17" i="3584"/>
  <c r="I17" i="3584"/>
  <c r="J17" i="3584"/>
  <c r="K17" i="3584"/>
  <c r="L17" i="3584"/>
  <c r="M17" i="3584"/>
  <c r="N17" i="3584"/>
  <c r="O17" i="3584"/>
  <c r="P17" i="3584"/>
  <c r="Q17" i="3584"/>
  <c r="S17" i="3584"/>
  <c r="T17" i="3584"/>
  <c r="A18" i="3584"/>
  <c r="C18" i="3584"/>
  <c r="D18" i="3584"/>
  <c r="E18" i="3584"/>
  <c r="F18" i="3584"/>
  <c r="G18" i="3584"/>
  <c r="H18" i="3584"/>
  <c r="I18" i="3584"/>
  <c r="J18" i="3584"/>
  <c r="K18" i="3584"/>
  <c r="L18" i="3584"/>
  <c r="M18" i="3584"/>
  <c r="N18" i="3584"/>
  <c r="O18" i="3584"/>
  <c r="P18" i="3584"/>
  <c r="Q18" i="3584"/>
  <c r="S18" i="3584"/>
  <c r="T18" i="3584"/>
  <c r="A19" i="3584"/>
  <c r="C19" i="3584"/>
  <c r="D19" i="3584"/>
  <c r="E19" i="3584"/>
  <c r="F19" i="3584"/>
  <c r="G19" i="3584"/>
  <c r="H19" i="3584"/>
  <c r="I19" i="3584"/>
  <c r="J19" i="3584"/>
  <c r="K19" i="3584"/>
  <c r="L19" i="3584"/>
  <c r="M19" i="3584"/>
  <c r="N19" i="3584"/>
  <c r="O19" i="3584"/>
  <c r="P19" i="3584"/>
  <c r="Q19" i="3584"/>
  <c r="S19" i="3584"/>
  <c r="T19" i="3584"/>
  <c r="A20" i="3584"/>
  <c r="C20" i="3584"/>
  <c r="D20" i="3584"/>
  <c r="E20" i="3584"/>
  <c r="F20" i="3584"/>
  <c r="G20" i="3584"/>
  <c r="H20" i="3584"/>
  <c r="I20" i="3584"/>
  <c r="J20" i="3584"/>
  <c r="K20" i="3584"/>
  <c r="L20" i="3584"/>
  <c r="M20" i="3584"/>
  <c r="N20" i="3584"/>
  <c r="O20" i="3584"/>
  <c r="P20" i="3584"/>
  <c r="Q20" i="3584"/>
  <c r="S20" i="3584"/>
  <c r="T20" i="3584"/>
  <c r="A21" i="3584"/>
  <c r="C21" i="3584"/>
  <c r="D21" i="3584"/>
  <c r="E21" i="3584"/>
  <c r="F21" i="3584"/>
  <c r="G21" i="3584"/>
  <c r="H21" i="3584"/>
  <c r="I21" i="3584"/>
  <c r="J21" i="3584"/>
  <c r="K21" i="3584"/>
  <c r="L21" i="3584"/>
  <c r="M21" i="3584"/>
  <c r="N21" i="3584"/>
  <c r="O21" i="3584"/>
  <c r="P21" i="3584"/>
  <c r="Q21" i="3584"/>
  <c r="S21" i="3584"/>
  <c r="T21" i="3584"/>
  <c r="A22" i="3584"/>
  <c r="C22" i="3584"/>
  <c r="D22" i="3584"/>
  <c r="E22" i="3584"/>
  <c r="F22" i="3584"/>
  <c r="G22" i="3584"/>
  <c r="H22" i="3584"/>
  <c r="I22" i="3584"/>
  <c r="J22" i="3584"/>
  <c r="K22" i="3584"/>
  <c r="L22" i="3584"/>
  <c r="M22" i="3584"/>
  <c r="N22" i="3584"/>
  <c r="O22" i="3584"/>
  <c r="P22" i="3584"/>
  <c r="Q22" i="3584"/>
  <c r="S22" i="3584"/>
  <c r="T22" i="3584"/>
  <c r="A23" i="3584"/>
  <c r="C23" i="3584"/>
  <c r="D23" i="3584"/>
  <c r="E23" i="3584"/>
  <c r="F23" i="3584"/>
  <c r="G23" i="3584"/>
  <c r="H23" i="3584"/>
  <c r="I23" i="3584"/>
  <c r="J23" i="3584"/>
  <c r="K23" i="3584"/>
  <c r="L23" i="3584"/>
  <c r="M23" i="3584"/>
  <c r="N23" i="3584"/>
  <c r="O23" i="3584"/>
  <c r="P23" i="3584"/>
  <c r="Q23" i="3584"/>
  <c r="S23" i="3584"/>
  <c r="T23" i="3584"/>
  <c r="A24" i="3584"/>
  <c r="C24" i="3584"/>
  <c r="D24" i="3584"/>
  <c r="E24" i="3584"/>
  <c r="F24" i="3584"/>
  <c r="G24" i="3584"/>
  <c r="H24" i="3584"/>
  <c r="I24" i="3584"/>
  <c r="J24" i="3584"/>
  <c r="K24" i="3584"/>
  <c r="L24" i="3584"/>
  <c r="M24" i="3584"/>
  <c r="N24" i="3584"/>
  <c r="O24" i="3584"/>
  <c r="P24" i="3584"/>
  <c r="Q24" i="3584"/>
  <c r="S24" i="3584"/>
  <c r="T24" i="3584"/>
  <c r="A25" i="3584"/>
  <c r="C25" i="3584"/>
  <c r="D25" i="3584"/>
  <c r="E25" i="3584"/>
  <c r="F25" i="3584"/>
  <c r="G25" i="3584"/>
  <c r="H25" i="3584"/>
  <c r="I25" i="3584"/>
  <c r="J25" i="3584"/>
  <c r="K25" i="3584"/>
  <c r="L25" i="3584"/>
  <c r="M25" i="3584"/>
  <c r="N25" i="3584"/>
  <c r="O25" i="3584"/>
  <c r="P25" i="3584"/>
  <c r="Q25" i="3584"/>
  <c r="S25" i="3584"/>
  <c r="T25" i="3584"/>
  <c r="A26" i="3584"/>
  <c r="C26" i="3584"/>
  <c r="D26" i="3584"/>
  <c r="E26" i="3584"/>
  <c r="F26" i="3584"/>
  <c r="G26" i="3584"/>
  <c r="H26" i="3584"/>
  <c r="I26" i="3584"/>
  <c r="J26" i="3584"/>
  <c r="K26" i="3584"/>
  <c r="L26" i="3584"/>
  <c r="M26" i="3584"/>
  <c r="N26" i="3584"/>
  <c r="O26" i="3584"/>
  <c r="P26" i="3584"/>
  <c r="Q26" i="3584"/>
  <c r="S26" i="3584"/>
  <c r="T26" i="3584"/>
  <c r="A27" i="3584"/>
  <c r="C27" i="3584"/>
  <c r="D27" i="3584"/>
  <c r="E27" i="3584"/>
  <c r="F27" i="3584"/>
  <c r="G27" i="3584"/>
  <c r="H27" i="3584"/>
  <c r="I27" i="3584"/>
  <c r="J27" i="3584"/>
  <c r="K27" i="3584"/>
  <c r="L27" i="3584"/>
  <c r="M27" i="3584"/>
  <c r="N27" i="3584"/>
  <c r="O27" i="3584"/>
  <c r="P27" i="3584"/>
  <c r="Q27" i="3584"/>
  <c r="S27" i="3584"/>
  <c r="T27" i="3584"/>
  <c r="A28" i="3584"/>
  <c r="C28" i="3584"/>
  <c r="D28" i="3584"/>
  <c r="E28" i="3584"/>
  <c r="F28" i="3584"/>
  <c r="G28" i="3584"/>
  <c r="H28" i="3584"/>
  <c r="I28" i="3584"/>
  <c r="J28" i="3584"/>
  <c r="K28" i="3584"/>
  <c r="L28" i="3584"/>
  <c r="M28" i="3584"/>
  <c r="N28" i="3584"/>
  <c r="O28" i="3584"/>
  <c r="P28" i="3584"/>
  <c r="Q28" i="3584"/>
  <c r="S28" i="3584"/>
  <c r="T28" i="3584"/>
  <c r="A29" i="3584"/>
  <c r="C29" i="3584"/>
  <c r="D29" i="3584"/>
  <c r="E29" i="3584"/>
  <c r="F29" i="3584"/>
  <c r="G29" i="3584"/>
  <c r="H29" i="3584"/>
  <c r="I29" i="3584"/>
  <c r="J29" i="3584"/>
  <c r="K29" i="3584"/>
  <c r="L29" i="3584"/>
  <c r="M29" i="3584"/>
  <c r="N29" i="3584"/>
  <c r="O29" i="3584"/>
  <c r="P29" i="3584"/>
  <c r="Q29" i="3584"/>
  <c r="S29" i="3584"/>
  <c r="T29" i="3584"/>
  <c r="A30" i="3584"/>
  <c r="C30" i="3584"/>
  <c r="D30" i="3584"/>
  <c r="E30" i="3584"/>
  <c r="F30" i="3584"/>
  <c r="G30" i="3584"/>
  <c r="H30" i="3584"/>
  <c r="I30" i="3584"/>
  <c r="J30" i="3584"/>
  <c r="K30" i="3584"/>
  <c r="L30" i="3584"/>
  <c r="M30" i="3584"/>
  <c r="N30" i="3584"/>
  <c r="O30" i="3584"/>
  <c r="P30" i="3584"/>
  <c r="Q30" i="3584"/>
  <c r="S30" i="3584"/>
  <c r="T30" i="3584"/>
  <c r="Q32" i="3584"/>
  <c r="S32" i="3584"/>
  <c r="T32" i="3584"/>
  <c r="C34" i="3584"/>
  <c r="A41" i="3584"/>
  <c r="C41" i="3584"/>
  <c r="D41" i="3584"/>
  <c r="E41" i="3584"/>
  <c r="F41" i="3584"/>
  <c r="G41" i="3584"/>
  <c r="H41" i="3584"/>
  <c r="I41" i="3584"/>
  <c r="J41" i="3584"/>
  <c r="K41" i="3584"/>
  <c r="L41" i="3584"/>
  <c r="M41" i="3584"/>
  <c r="N41" i="3584"/>
  <c r="O41" i="3584"/>
  <c r="P41" i="3584"/>
  <c r="Q41" i="3584"/>
  <c r="S41" i="3584"/>
  <c r="T41" i="3584"/>
  <c r="A42" i="3584"/>
  <c r="C42" i="3584"/>
  <c r="D42" i="3584"/>
  <c r="E42" i="3584"/>
  <c r="F42" i="3584"/>
  <c r="G42" i="3584"/>
  <c r="H42" i="3584"/>
  <c r="I42" i="3584"/>
  <c r="J42" i="3584"/>
  <c r="K42" i="3584"/>
  <c r="L42" i="3584"/>
  <c r="M42" i="3584"/>
  <c r="N42" i="3584"/>
  <c r="O42" i="3584"/>
  <c r="P42" i="3584"/>
  <c r="Q42" i="3584"/>
  <c r="S42" i="3584"/>
  <c r="T42" i="3584"/>
  <c r="A43" i="3584"/>
  <c r="C43" i="3584"/>
  <c r="D43" i="3584"/>
  <c r="E43" i="3584"/>
  <c r="F43" i="3584"/>
  <c r="G43" i="3584"/>
  <c r="H43" i="3584"/>
  <c r="I43" i="3584"/>
  <c r="J43" i="3584"/>
  <c r="K43" i="3584"/>
  <c r="L43" i="3584"/>
  <c r="M43" i="3584"/>
  <c r="N43" i="3584"/>
  <c r="O43" i="3584"/>
  <c r="P43" i="3584"/>
  <c r="Q43" i="3584"/>
  <c r="S43" i="3584"/>
  <c r="T43" i="3584"/>
  <c r="A44" i="3584"/>
  <c r="C44" i="3584"/>
  <c r="D44" i="3584"/>
  <c r="E44" i="3584"/>
  <c r="F44" i="3584"/>
  <c r="G44" i="3584"/>
  <c r="H44" i="3584"/>
  <c r="I44" i="3584"/>
  <c r="J44" i="3584"/>
  <c r="K44" i="3584"/>
  <c r="L44" i="3584"/>
  <c r="M44" i="3584"/>
  <c r="N44" i="3584"/>
  <c r="O44" i="3584"/>
  <c r="P44" i="3584"/>
  <c r="Q44" i="3584"/>
  <c r="S44" i="3584"/>
  <c r="T44" i="3584"/>
  <c r="A45" i="3584"/>
  <c r="C45" i="3584"/>
  <c r="D45" i="3584"/>
  <c r="E45" i="3584"/>
  <c r="F45" i="3584"/>
  <c r="G45" i="3584"/>
  <c r="H45" i="3584"/>
  <c r="I45" i="3584"/>
  <c r="J45" i="3584"/>
  <c r="K45" i="3584"/>
  <c r="L45" i="3584"/>
  <c r="M45" i="3584"/>
  <c r="N45" i="3584"/>
  <c r="O45" i="3584"/>
  <c r="P45" i="3584"/>
  <c r="Q45" i="3584"/>
  <c r="S45" i="3584"/>
  <c r="T45" i="3584"/>
  <c r="A46" i="3584"/>
  <c r="C46" i="3584"/>
  <c r="D46" i="3584"/>
  <c r="E46" i="3584"/>
  <c r="F46" i="3584"/>
  <c r="G46" i="3584"/>
  <c r="H46" i="3584"/>
  <c r="I46" i="3584"/>
  <c r="J46" i="3584"/>
  <c r="K46" i="3584"/>
  <c r="L46" i="3584"/>
  <c r="M46" i="3584"/>
  <c r="N46" i="3584"/>
  <c r="O46" i="3584"/>
  <c r="P46" i="3584"/>
  <c r="Q46" i="3584"/>
  <c r="S46" i="3584"/>
  <c r="T46" i="3584"/>
  <c r="A47" i="3584"/>
  <c r="C47" i="3584"/>
  <c r="D47" i="3584"/>
  <c r="E47" i="3584"/>
  <c r="F47" i="3584"/>
  <c r="G47" i="3584"/>
  <c r="H47" i="3584"/>
  <c r="I47" i="3584"/>
  <c r="J47" i="3584"/>
  <c r="K47" i="3584"/>
  <c r="L47" i="3584"/>
  <c r="M47" i="3584"/>
  <c r="N47" i="3584"/>
  <c r="O47" i="3584"/>
  <c r="P47" i="3584"/>
  <c r="Q47" i="3584"/>
  <c r="S47" i="3584"/>
  <c r="T47" i="3584"/>
  <c r="A48" i="3584"/>
  <c r="C48" i="3584"/>
  <c r="D48" i="3584"/>
  <c r="E48" i="3584"/>
  <c r="F48" i="3584"/>
  <c r="G48" i="3584"/>
  <c r="H48" i="3584"/>
  <c r="I48" i="3584"/>
  <c r="J48" i="3584"/>
  <c r="K48" i="3584"/>
  <c r="L48" i="3584"/>
  <c r="M48" i="3584"/>
  <c r="N48" i="3584"/>
  <c r="O48" i="3584"/>
  <c r="P48" i="3584"/>
  <c r="Q48" i="3584"/>
  <c r="S48" i="3584"/>
  <c r="T48" i="3584"/>
  <c r="A49" i="3584"/>
  <c r="C49" i="3584"/>
  <c r="D49" i="3584"/>
  <c r="E49" i="3584"/>
  <c r="F49" i="3584"/>
  <c r="G49" i="3584"/>
  <c r="H49" i="3584"/>
  <c r="I49" i="3584"/>
  <c r="J49" i="3584"/>
  <c r="K49" i="3584"/>
  <c r="L49" i="3584"/>
  <c r="M49" i="3584"/>
  <c r="N49" i="3584"/>
  <c r="O49" i="3584"/>
  <c r="P49" i="3584"/>
  <c r="Q49" i="3584"/>
  <c r="S49" i="3584"/>
  <c r="T49" i="3584"/>
  <c r="A50" i="3584"/>
  <c r="C50" i="3584"/>
  <c r="D50" i="3584"/>
  <c r="E50" i="3584"/>
  <c r="F50" i="3584"/>
  <c r="G50" i="3584"/>
  <c r="H50" i="3584"/>
  <c r="I50" i="3584"/>
  <c r="J50" i="3584"/>
  <c r="K50" i="3584"/>
  <c r="L50" i="3584"/>
  <c r="M50" i="3584"/>
  <c r="N50" i="3584"/>
  <c r="O50" i="3584"/>
  <c r="P50" i="3584"/>
  <c r="Q50" i="3584"/>
  <c r="S50" i="3584"/>
  <c r="T50" i="3584"/>
  <c r="A51" i="3584"/>
  <c r="C51" i="3584"/>
  <c r="D51" i="3584"/>
  <c r="E51" i="3584"/>
  <c r="F51" i="3584"/>
  <c r="G51" i="3584"/>
  <c r="H51" i="3584"/>
  <c r="I51" i="3584"/>
  <c r="J51" i="3584"/>
  <c r="K51" i="3584"/>
  <c r="L51" i="3584"/>
  <c r="M51" i="3584"/>
  <c r="N51" i="3584"/>
  <c r="O51" i="3584"/>
  <c r="P51" i="3584"/>
  <c r="Q51" i="3584"/>
  <c r="S51" i="3584"/>
  <c r="T51" i="3584"/>
  <c r="A52" i="3584"/>
  <c r="C52" i="3584"/>
  <c r="D52" i="3584"/>
  <c r="E52" i="3584"/>
  <c r="F52" i="3584"/>
  <c r="G52" i="3584"/>
  <c r="H52" i="3584"/>
  <c r="I52" i="3584"/>
  <c r="J52" i="3584"/>
  <c r="K52" i="3584"/>
  <c r="L52" i="3584"/>
  <c r="M52" i="3584"/>
  <c r="N52" i="3584"/>
  <c r="O52" i="3584"/>
  <c r="P52" i="3584"/>
  <c r="Q52" i="3584"/>
  <c r="S52" i="3584"/>
  <c r="T52" i="3584"/>
  <c r="A53" i="3584"/>
  <c r="C53" i="3584"/>
  <c r="D53" i="3584"/>
  <c r="E53" i="3584"/>
  <c r="F53" i="3584"/>
  <c r="G53" i="3584"/>
  <c r="H53" i="3584"/>
  <c r="I53" i="3584"/>
  <c r="J53" i="3584"/>
  <c r="K53" i="3584"/>
  <c r="L53" i="3584"/>
  <c r="M53" i="3584"/>
  <c r="N53" i="3584"/>
  <c r="O53" i="3584"/>
  <c r="P53" i="3584"/>
  <c r="Q53" i="3584"/>
  <c r="S53" i="3584"/>
  <c r="T53" i="3584"/>
  <c r="A54" i="3584"/>
  <c r="C54" i="3584"/>
  <c r="D54" i="3584"/>
  <c r="E54" i="3584"/>
  <c r="F54" i="3584"/>
  <c r="G54" i="3584"/>
  <c r="H54" i="3584"/>
  <c r="I54" i="3584"/>
  <c r="J54" i="3584"/>
  <c r="K54" i="3584"/>
  <c r="L54" i="3584"/>
  <c r="M54" i="3584"/>
  <c r="N54" i="3584"/>
  <c r="O54" i="3584"/>
  <c r="P54" i="3584"/>
  <c r="Q54" i="3584"/>
  <c r="S54" i="3584"/>
  <c r="T54" i="3584"/>
  <c r="A55" i="3584"/>
  <c r="C55" i="3584"/>
  <c r="D55" i="3584"/>
  <c r="E55" i="3584"/>
  <c r="F55" i="3584"/>
  <c r="G55" i="3584"/>
  <c r="H55" i="3584"/>
  <c r="I55" i="3584"/>
  <c r="J55" i="3584"/>
  <c r="K55" i="3584"/>
  <c r="L55" i="3584"/>
  <c r="M55" i="3584"/>
  <c r="N55" i="3584"/>
  <c r="P55" i="3584"/>
  <c r="Q55" i="3584"/>
  <c r="S55" i="3584"/>
  <c r="T55" i="3584"/>
  <c r="A56" i="3584"/>
  <c r="C56" i="3584"/>
  <c r="D56" i="3584"/>
  <c r="E56" i="3584"/>
  <c r="F56" i="3584"/>
  <c r="G56" i="3584"/>
  <c r="H56" i="3584"/>
  <c r="I56" i="3584"/>
  <c r="J56" i="3584"/>
  <c r="K56" i="3584"/>
  <c r="L56" i="3584"/>
  <c r="M56" i="3584"/>
  <c r="N56" i="3584"/>
  <c r="P56" i="3584"/>
  <c r="Q56" i="3584"/>
  <c r="S56" i="3584"/>
  <c r="T56" i="3584"/>
  <c r="A57" i="3584"/>
  <c r="C57" i="3584"/>
  <c r="D57" i="3584"/>
  <c r="E57" i="3584"/>
  <c r="F57" i="3584"/>
  <c r="G57" i="3584"/>
  <c r="H57" i="3584"/>
  <c r="I57" i="3584"/>
  <c r="J57" i="3584"/>
  <c r="K57" i="3584"/>
  <c r="L57" i="3584"/>
  <c r="M57" i="3584"/>
  <c r="N57" i="3584"/>
  <c r="P57" i="3584"/>
  <c r="Q57" i="3584"/>
  <c r="S57" i="3584"/>
  <c r="T57" i="3584"/>
  <c r="A58" i="3584"/>
  <c r="C58" i="3584"/>
  <c r="D58" i="3584"/>
  <c r="E58" i="3584"/>
  <c r="F58" i="3584"/>
  <c r="G58" i="3584"/>
  <c r="H58" i="3584"/>
  <c r="I58" i="3584"/>
  <c r="J58" i="3584"/>
  <c r="K58" i="3584"/>
  <c r="L58" i="3584"/>
  <c r="M58" i="3584"/>
  <c r="N58" i="3584"/>
  <c r="P58" i="3584"/>
  <c r="Q58" i="3584"/>
  <c r="S58" i="3584"/>
  <c r="T58" i="3584"/>
  <c r="A59" i="3584"/>
  <c r="C59" i="3584"/>
  <c r="D59" i="3584"/>
  <c r="E59" i="3584"/>
  <c r="F59" i="3584"/>
  <c r="G59" i="3584"/>
  <c r="H59" i="3584"/>
  <c r="I59" i="3584"/>
  <c r="J59" i="3584"/>
  <c r="K59" i="3584"/>
  <c r="L59" i="3584"/>
  <c r="M59" i="3584"/>
  <c r="N59" i="3584"/>
  <c r="P59" i="3584"/>
  <c r="Q59" i="3584"/>
  <c r="S59" i="3584"/>
  <c r="T59" i="3584"/>
  <c r="A60" i="3584"/>
  <c r="C60" i="3584"/>
  <c r="D60" i="3584"/>
  <c r="E60" i="3584"/>
  <c r="F60" i="3584"/>
  <c r="G60" i="3584"/>
  <c r="H60" i="3584"/>
  <c r="I60" i="3584"/>
  <c r="J60" i="3584"/>
  <c r="K60" i="3584"/>
  <c r="L60" i="3584"/>
  <c r="M60" i="3584"/>
  <c r="N60" i="3584"/>
  <c r="P60" i="3584"/>
  <c r="Q60" i="3584"/>
  <c r="S60" i="3584"/>
  <c r="T60" i="3584"/>
  <c r="A61" i="3584"/>
  <c r="C61" i="3584"/>
  <c r="D61" i="3584"/>
  <c r="E61" i="3584"/>
  <c r="F61" i="3584"/>
  <c r="G61" i="3584"/>
  <c r="H61" i="3584"/>
  <c r="I61" i="3584"/>
  <c r="J61" i="3584"/>
  <c r="K61" i="3584"/>
  <c r="L61" i="3584"/>
  <c r="M61" i="3584"/>
  <c r="N61" i="3584"/>
  <c r="P61" i="3584"/>
  <c r="Q61" i="3584"/>
  <c r="S61" i="3584"/>
  <c r="T61" i="3584"/>
  <c r="A62" i="3584"/>
  <c r="C62" i="3584"/>
  <c r="D62" i="3584"/>
  <c r="E62" i="3584"/>
  <c r="F62" i="3584"/>
  <c r="G62" i="3584"/>
  <c r="H62" i="3584"/>
  <c r="I62" i="3584"/>
  <c r="J62" i="3584"/>
  <c r="K62" i="3584"/>
  <c r="L62" i="3584"/>
  <c r="M62" i="3584"/>
  <c r="N62" i="3584"/>
  <c r="P62" i="3584"/>
  <c r="Q62" i="3584"/>
  <c r="S62" i="3584"/>
  <c r="T62" i="3584"/>
  <c r="A63" i="3584"/>
  <c r="C63" i="3584"/>
  <c r="D63" i="3584"/>
  <c r="E63" i="3584"/>
  <c r="F63" i="3584"/>
  <c r="G63" i="3584"/>
  <c r="H63" i="3584"/>
  <c r="I63" i="3584"/>
  <c r="J63" i="3584"/>
  <c r="K63" i="3584"/>
  <c r="L63" i="3584"/>
  <c r="M63" i="3584"/>
  <c r="N63" i="3584"/>
  <c r="O63" i="3584"/>
  <c r="P63" i="3584"/>
  <c r="Q63" i="3584"/>
  <c r="S63" i="3584"/>
  <c r="T63" i="3584"/>
  <c r="A64" i="3584"/>
  <c r="C64" i="3584"/>
  <c r="D64" i="3584"/>
  <c r="E64" i="3584"/>
  <c r="F64" i="3584"/>
  <c r="G64" i="3584"/>
  <c r="H64" i="3584"/>
  <c r="I64" i="3584"/>
  <c r="J64" i="3584"/>
  <c r="K64" i="3584"/>
  <c r="L64" i="3584"/>
  <c r="M64" i="3584"/>
  <c r="N64" i="3584"/>
  <c r="O64" i="3584"/>
  <c r="P64" i="3584"/>
  <c r="Q64" i="3584"/>
  <c r="S64" i="3584"/>
  <c r="T64" i="3584"/>
  <c r="Q66" i="3584"/>
  <c r="C68" i="3584"/>
  <c r="A7" i="40944"/>
  <c r="C7" i="40944"/>
  <c r="D7" i="40944"/>
  <c r="E7" i="40944"/>
  <c r="F7" i="40944"/>
  <c r="G7" i="40944"/>
  <c r="H7" i="40944"/>
  <c r="I7" i="40944"/>
  <c r="J7" i="40944"/>
  <c r="K7" i="40944"/>
  <c r="L7" i="40944"/>
  <c r="M7" i="40944"/>
  <c r="N7" i="40944"/>
  <c r="O7" i="40944"/>
  <c r="P7" i="40944"/>
  <c r="Q7" i="40944"/>
  <c r="S7" i="40944"/>
  <c r="T7" i="40944"/>
  <c r="A8" i="40944"/>
  <c r="C8" i="40944"/>
  <c r="D8" i="40944"/>
  <c r="E8" i="40944"/>
  <c r="F8" i="40944"/>
  <c r="G8" i="40944"/>
  <c r="H8" i="40944"/>
  <c r="I8" i="40944"/>
  <c r="J8" i="40944"/>
  <c r="K8" i="40944"/>
  <c r="L8" i="40944"/>
  <c r="M8" i="40944"/>
  <c r="N8" i="40944"/>
  <c r="O8" i="40944"/>
  <c r="P8" i="40944"/>
  <c r="Q8" i="40944"/>
  <c r="S8" i="40944"/>
  <c r="T8" i="40944"/>
  <c r="A9" i="40944"/>
  <c r="C9" i="40944"/>
  <c r="D9" i="40944"/>
  <c r="E9" i="40944"/>
  <c r="F9" i="40944"/>
  <c r="G9" i="40944"/>
  <c r="H9" i="40944"/>
  <c r="I9" i="40944"/>
  <c r="J9" i="40944"/>
  <c r="K9" i="40944"/>
  <c r="L9" i="40944"/>
  <c r="M9" i="40944"/>
  <c r="N9" i="40944"/>
  <c r="O9" i="40944"/>
  <c r="P9" i="40944"/>
  <c r="Q9" i="40944"/>
  <c r="S9" i="40944"/>
  <c r="T9" i="40944"/>
  <c r="A10" i="40944"/>
  <c r="C10" i="40944"/>
  <c r="D10" i="40944"/>
  <c r="E10" i="40944"/>
  <c r="F10" i="40944"/>
  <c r="G10" i="40944"/>
  <c r="H10" i="40944"/>
  <c r="I10" i="40944"/>
  <c r="J10" i="40944"/>
  <c r="K10" i="40944"/>
  <c r="L10" i="40944"/>
  <c r="M10" i="40944"/>
  <c r="N10" i="40944"/>
  <c r="O10" i="40944"/>
  <c r="P10" i="40944"/>
  <c r="Q10" i="40944"/>
  <c r="S10" i="40944"/>
  <c r="T10" i="40944"/>
  <c r="A11" i="40944"/>
  <c r="C11" i="40944"/>
  <c r="D11" i="40944"/>
  <c r="E11" i="40944"/>
  <c r="F11" i="40944"/>
  <c r="G11" i="40944"/>
  <c r="H11" i="40944"/>
  <c r="I11" i="40944"/>
  <c r="J11" i="40944"/>
  <c r="K11" i="40944"/>
  <c r="L11" i="40944"/>
  <c r="M11" i="40944"/>
  <c r="N11" i="40944"/>
  <c r="O11" i="40944"/>
  <c r="P11" i="40944"/>
  <c r="Q11" i="40944"/>
  <c r="S11" i="40944"/>
  <c r="T11" i="40944"/>
  <c r="A12" i="40944"/>
  <c r="C12" i="40944"/>
  <c r="D12" i="40944"/>
  <c r="E12" i="40944"/>
  <c r="F12" i="40944"/>
  <c r="G12" i="40944"/>
  <c r="H12" i="40944"/>
  <c r="I12" i="40944"/>
  <c r="J12" i="40944"/>
  <c r="K12" i="40944"/>
  <c r="L12" i="40944"/>
  <c r="M12" i="40944"/>
  <c r="N12" i="40944"/>
  <c r="O12" i="40944"/>
  <c r="P12" i="40944"/>
  <c r="Q12" i="40944"/>
  <c r="S12" i="40944"/>
  <c r="T12" i="40944"/>
  <c r="A13" i="40944"/>
  <c r="C13" i="40944"/>
  <c r="D13" i="40944"/>
  <c r="E13" i="40944"/>
  <c r="F13" i="40944"/>
  <c r="G13" i="40944"/>
  <c r="H13" i="40944"/>
  <c r="I13" i="40944"/>
  <c r="J13" i="40944"/>
  <c r="K13" i="40944"/>
  <c r="L13" i="40944"/>
  <c r="M13" i="40944"/>
  <c r="N13" i="40944"/>
  <c r="O13" i="40944"/>
  <c r="P13" i="40944"/>
  <c r="Q13" i="40944"/>
  <c r="S13" i="40944"/>
  <c r="T13" i="40944"/>
  <c r="A14" i="40944"/>
  <c r="C14" i="40944"/>
  <c r="D14" i="40944"/>
  <c r="E14" i="40944"/>
  <c r="F14" i="40944"/>
  <c r="G14" i="40944"/>
  <c r="H14" i="40944"/>
  <c r="I14" i="40944"/>
  <c r="J14" i="40944"/>
  <c r="K14" i="40944"/>
  <c r="L14" i="40944"/>
  <c r="M14" i="40944"/>
  <c r="N14" i="40944"/>
  <c r="O14" i="40944"/>
  <c r="P14" i="40944"/>
  <c r="Q14" i="40944"/>
  <c r="S14" i="40944"/>
  <c r="T14" i="40944"/>
  <c r="A15" i="40944"/>
  <c r="C15" i="40944"/>
  <c r="D15" i="40944"/>
  <c r="E15" i="40944"/>
  <c r="F15" i="40944"/>
  <c r="G15" i="40944"/>
  <c r="H15" i="40944"/>
  <c r="I15" i="40944"/>
  <c r="J15" i="40944"/>
  <c r="K15" i="40944"/>
  <c r="L15" i="40944"/>
  <c r="M15" i="40944"/>
  <c r="N15" i="40944"/>
  <c r="O15" i="40944"/>
  <c r="P15" i="40944"/>
  <c r="Q15" i="40944"/>
  <c r="S15" i="40944"/>
  <c r="T15" i="40944"/>
  <c r="A16" i="40944"/>
  <c r="C16" i="40944"/>
  <c r="D16" i="40944"/>
  <c r="E16" i="40944"/>
  <c r="F16" i="40944"/>
  <c r="G16" i="40944"/>
  <c r="H16" i="40944"/>
  <c r="I16" i="40944"/>
  <c r="J16" i="40944"/>
  <c r="K16" i="40944"/>
  <c r="L16" i="40944"/>
  <c r="M16" i="40944"/>
  <c r="N16" i="40944"/>
  <c r="O16" i="40944"/>
  <c r="P16" i="40944"/>
  <c r="Q16" i="40944"/>
  <c r="S16" i="40944"/>
  <c r="T16" i="40944"/>
  <c r="A17" i="40944"/>
  <c r="C17" i="40944"/>
  <c r="D17" i="40944"/>
  <c r="E17" i="40944"/>
  <c r="F17" i="40944"/>
  <c r="G17" i="40944"/>
  <c r="H17" i="40944"/>
  <c r="I17" i="40944"/>
  <c r="J17" i="40944"/>
  <c r="K17" i="40944"/>
  <c r="L17" i="40944"/>
  <c r="M17" i="40944"/>
  <c r="N17" i="40944"/>
  <c r="O17" i="40944"/>
  <c r="P17" i="40944"/>
  <c r="Q17" i="40944"/>
  <c r="S17" i="40944"/>
  <c r="T17" i="40944"/>
  <c r="A18" i="40944"/>
  <c r="C18" i="40944"/>
  <c r="D18" i="40944"/>
  <c r="E18" i="40944"/>
  <c r="F18" i="40944"/>
  <c r="G18" i="40944"/>
  <c r="H18" i="40944"/>
  <c r="I18" i="40944"/>
  <c r="J18" i="40944"/>
  <c r="K18" i="40944"/>
  <c r="L18" i="40944"/>
  <c r="M18" i="40944"/>
  <c r="N18" i="40944"/>
  <c r="O18" i="40944"/>
  <c r="P18" i="40944"/>
  <c r="Q18" i="40944"/>
  <c r="S18" i="40944"/>
  <c r="T18" i="40944"/>
  <c r="A19" i="40944"/>
  <c r="C19" i="40944"/>
  <c r="D19" i="40944"/>
  <c r="E19" i="40944"/>
  <c r="F19" i="40944"/>
  <c r="G19" i="40944"/>
  <c r="H19" i="40944"/>
  <c r="I19" i="40944"/>
  <c r="J19" i="40944"/>
  <c r="K19" i="40944"/>
  <c r="L19" i="40944"/>
  <c r="M19" i="40944"/>
  <c r="N19" i="40944"/>
  <c r="O19" i="40944"/>
  <c r="P19" i="40944"/>
  <c r="Q19" i="40944"/>
  <c r="S19" i="40944"/>
  <c r="T19" i="40944"/>
  <c r="A20" i="40944"/>
  <c r="C20" i="40944"/>
  <c r="D20" i="40944"/>
  <c r="E20" i="40944"/>
  <c r="F20" i="40944"/>
  <c r="G20" i="40944"/>
  <c r="H20" i="40944"/>
  <c r="I20" i="40944"/>
  <c r="J20" i="40944"/>
  <c r="K20" i="40944"/>
  <c r="L20" i="40944"/>
  <c r="M20" i="40944"/>
  <c r="N20" i="40944"/>
  <c r="O20" i="40944"/>
  <c r="P20" i="40944"/>
  <c r="Q20" i="40944"/>
  <c r="S20" i="40944"/>
  <c r="T20" i="40944"/>
  <c r="A21" i="40944"/>
  <c r="C21" i="40944"/>
  <c r="D21" i="40944"/>
  <c r="E21" i="40944"/>
  <c r="F21" i="40944"/>
  <c r="G21" i="40944"/>
  <c r="H21" i="40944"/>
  <c r="I21" i="40944"/>
  <c r="J21" i="40944"/>
  <c r="K21" i="40944"/>
  <c r="L21" i="40944"/>
  <c r="M21" i="40944"/>
  <c r="N21" i="40944"/>
  <c r="O21" i="40944"/>
  <c r="P21" i="40944"/>
  <c r="Q21" i="40944"/>
  <c r="S21" i="40944"/>
  <c r="T21" i="40944"/>
  <c r="A22" i="40944"/>
  <c r="C22" i="40944"/>
  <c r="D22" i="40944"/>
  <c r="E22" i="40944"/>
  <c r="F22" i="40944"/>
  <c r="G22" i="40944"/>
  <c r="H22" i="40944"/>
  <c r="I22" i="40944"/>
  <c r="J22" i="40944"/>
  <c r="K22" i="40944"/>
  <c r="L22" i="40944"/>
  <c r="M22" i="40944"/>
  <c r="N22" i="40944"/>
  <c r="O22" i="40944"/>
  <c r="P22" i="40944"/>
  <c r="Q22" i="40944"/>
  <c r="S22" i="40944"/>
  <c r="T22" i="40944"/>
  <c r="A23" i="40944"/>
  <c r="C23" i="40944"/>
  <c r="D23" i="40944"/>
  <c r="E23" i="40944"/>
  <c r="F23" i="40944"/>
  <c r="G23" i="40944"/>
  <c r="H23" i="40944"/>
  <c r="I23" i="40944"/>
  <c r="J23" i="40944"/>
  <c r="K23" i="40944"/>
  <c r="L23" i="40944"/>
  <c r="M23" i="40944"/>
  <c r="N23" i="40944"/>
  <c r="O23" i="40944"/>
  <c r="P23" i="40944"/>
  <c r="Q23" i="40944"/>
  <c r="S23" i="40944"/>
  <c r="T23" i="40944"/>
  <c r="A24" i="40944"/>
  <c r="C24" i="40944"/>
  <c r="D24" i="40944"/>
  <c r="E24" i="40944"/>
  <c r="F24" i="40944"/>
  <c r="G24" i="40944"/>
  <c r="H24" i="40944"/>
  <c r="I24" i="40944"/>
  <c r="J24" i="40944"/>
  <c r="K24" i="40944"/>
  <c r="L24" i="40944"/>
  <c r="M24" i="40944"/>
  <c r="N24" i="40944"/>
  <c r="O24" i="40944"/>
  <c r="P24" i="40944"/>
  <c r="Q24" i="40944"/>
  <c r="S24" i="40944"/>
  <c r="T24" i="40944"/>
  <c r="A25" i="40944"/>
  <c r="C25" i="40944"/>
  <c r="D25" i="40944"/>
  <c r="E25" i="40944"/>
  <c r="F25" i="40944"/>
  <c r="G25" i="40944"/>
  <c r="H25" i="40944"/>
  <c r="I25" i="40944"/>
  <c r="J25" i="40944"/>
  <c r="K25" i="40944"/>
  <c r="L25" i="40944"/>
  <c r="M25" i="40944"/>
  <c r="N25" i="40944"/>
  <c r="O25" i="40944"/>
  <c r="P25" i="40944"/>
  <c r="Q25" i="40944"/>
  <c r="S25" i="40944"/>
  <c r="T25" i="40944"/>
  <c r="A26" i="40944"/>
  <c r="C26" i="40944"/>
  <c r="D26" i="40944"/>
  <c r="E26" i="40944"/>
  <c r="F26" i="40944"/>
  <c r="G26" i="40944"/>
  <c r="H26" i="40944"/>
  <c r="I26" i="40944"/>
  <c r="J26" i="40944"/>
  <c r="K26" i="40944"/>
  <c r="L26" i="40944"/>
  <c r="M26" i="40944"/>
  <c r="N26" i="40944"/>
  <c r="O26" i="40944"/>
  <c r="P26" i="40944"/>
  <c r="Q26" i="40944"/>
  <c r="S26" i="40944"/>
  <c r="T26" i="40944"/>
  <c r="A27" i="40944"/>
  <c r="C27" i="40944"/>
  <c r="D27" i="40944"/>
  <c r="E27" i="40944"/>
  <c r="F27" i="40944"/>
  <c r="G27" i="40944"/>
  <c r="H27" i="40944"/>
  <c r="I27" i="40944"/>
  <c r="J27" i="40944"/>
  <c r="K27" i="40944"/>
  <c r="L27" i="40944"/>
  <c r="M27" i="40944"/>
  <c r="N27" i="40944"/>
  <c r="O27" i="40944"/>
  <c r="P27" i="40944"/>
  <c r="Q27" i="40944"/>
  <c r="S27" i="40944"/>
  <c r="T27" i="40944"/>
  <c r="A28" i="40944"/>
  <c r="C28" i="40944"/>
  <c r="D28" i="40944"/>
  <c r="E28" i="40944"/>
  <c r="F28" i="40944"/>
  <c r="G28" i="40944"/>
  <c r="H28" i="40944"/>
  <c r="I28" i="40944"/>
  <c r="J28" i="40944"/>
  <c r="K28" i="40944"/>
  <c r="L28" i="40944"/>
  <c r="M28" i="40944"/>
  <c r="N28" i="40944"/>
  <c r="O28" i="40944"/>
  <c r="P28" i="40944"/>
  <c r="Q28" i="40944"/>
  <c r="S28" i="40944"/>
  <c r="T28" i="40944"/>
  <c r="A29" i="40944"/>
  <c r="C29" i="40944"/>
  <c r="D29" i="40944"/>
  <c r="E29" i="40944"/>
  <c r="F29" i="40944"/>
  <c r="G29" i="40944"/>
  <c r="H29" i="40944"/>
  <c r="I29" i="40944"/>
  <c r="J29" i="40944"/>
  <c r="K29" i="40944"/>
  <c r="L29" i="40944"/>
  <c r="M29" i="40944"/>
  <c r="N29" i="40944"/>
  <c r="O29" i="40944"/>
  <c r="P29" i="40944"/>
  <c r="Q29" i="40944"/>
  <c r="S29" i="40944"/>
  <c r="T29" i="40944"/>
  <c r="A30" i="40944"/>
  <c r="C30" i="40944"/>
  <c r="D30" i="40944"/>
  <c r="E30" i="40944"/>
  <c r="F30" i="40944"/>
  <c r="G30" i="40944"/>
  <c r="H30" i="40944"/>
  <c r="I30" i="40944"/>
  <c r="J30" i="40944"/>
  <c r="K30" i="40944"/>
  <c r="L30" i="40944"/>
  <c r="M30" i="40944"/>
  <c r="N30" i="40944"/>
  <c r="O30" i="40944"/>
  <c r="P30" i="40944"/>
  <c r="Q30" i="40944"/>
  <c r="S30" i="40944"/>
  <c r="T30" i="40944"/>
  <c r="Q32" i="40944"/>
  <c r="S32" i="40944"/>
  <c r="T32" i="40944"/>
  <c r="C34" i="40944"/>
  <c r="A41" i="40944"/>
  <c r="C41" i="40944"/>
  <c r="D41" i="40944"/>
  <c r="E41" i="40944"/>
  <c r="F41" i="40944"/>
  <c r="G41" i="40944"/>
  <c r="H41" i="40944"/>
  <c r="I41" i="40944"/>
  <c r="J41" i="40944"/>
  <c r="K41" i="40944"/>
  <c r="L41" i="40944"/>
  <c r="M41" i="40944"/>
  <c r="N41" i="40944"/>
  <c r="O41" i="40944"/>
  <c r="P41" i="40944"/>
  <c r="Q41" i="40944"/>
  <c r="S41" i="40944"/>
  <c r="T41" i="40944"/>
  <c r="A42" i="40944"/>
  <c r="C42" i="40944"/>
  <c r="D42" i="40944"/>
  <c r="E42" i="40944"/>
  <c r="F42" i="40944"/>
  <c r="G42" i="40944"/>
  <c r="H42" i="40944"/>
  <c r="I42" i="40944"/>
  <c r="J42" i="40944"/>
  <c r="K42" i="40944"/>
  <c r="L42" i="40944"/>
  <c r="M42" i="40944"/>
  <c r="N42" i="40944"/>
  <c r="O42" i="40944"/>
  <c r="P42" i="40944"/>
  <c r="Q42" i="40944"/>
  <c r="S42" i="40944"/>
  <c r="T42" i="40944"/>
  <c r="A43" i="40944"/>
  <c r="C43" i="40944"/>
  <c r="D43" i="40944"/>
  <c r="E43" i="40944"/>
  <c r="F43" i="40944"/>
  <c r="G43" i="40944"/>
  <c r="H43" i="40944"/>
  <c r="I43" i="40944"/>
  <c r="J43" i="40944"/>
  <c r="K43" i="40944"/>
  <c r="L43" i="40944"/>
  <c r="M43" i="40944"/>
  <c r="N43" i="40944"/>
  <c r="O43" i="40944"/>
  <c r="P43" i="40944"/>
  <c r="Q43" i="40944"/>
  <c r="S43" i="40944"/>
  <c r="T43" i="40944"/>
  <c r="A44" i="40944"/>
  <c r="C44" i="40944"/>
  <c r="D44" i="40944"/>
  <c r="E44" i="40944"/>
  <c r="F44" i="40944"/>
  <c r="G44" i="40944"/>
  <c r="H44" i="40944"/>
  <c r="I44" i="40944"/>
  <c r="J44" i="40944"/>
  <c r="K44" i="40944"/>
  <c r="L44" i="40944"/>
  <c r="M44" i="40944"/>
  <c r="N44" i="40944"/>
  <c r="O44" i="40944"/>
  <c r="P44" i="40944"/>
  <c r="Q44" i="40944"/>
  <c r="S44" i="40944"/>
  <c r="T44" i="40944"/>
  <c r="A45" i="40944"/>
  <c r="C45" i="40944"/>
  <c r="D45" i="40944"/>
  <c r="E45" i="40944"/>
  <c r="F45" i="40944"/>
  <c r="G45" i="40944"/>
  <c r="H45" i="40944"/>
  <c r="I45" i="40944"/>
  <c r="J45" i="40944"/>
  <c r="K45" i="40944"/>
  <c r="L45" i="40944"/>
  <c r="M45" i="40944"/>
  <c r="N45" i="40944"/>
  <c r="O45" i="40944"/>
  <c r="P45" i="40944"/>
  <c r="Q45" i="40944"/>
  <c r="S45" i="40944"/>
  <c r="T45" i="40944"/>
  <c r="A46" i="40944"/>
  <c r="C46" i="40944"/>
  <c r="D46" i="40944"/>
  <c r="E46" i="40944"/>
  <c r="F46" i="40944"/>
  <c r="G46" i="40944"/>
  <c r="H46" i="40944"/>
  <c r="I46" i="40944"/>
  <c r="J46" i="40944"/>
  <c r="K46" i="40944"/>
  <c r="L46" i="40944"/>
  <c r="M46" i="40944"/>
  <c r="N46" i="40944"/>
  <c r="O46" i="40944"/>
  <c r="P46" i="40944"/>
  <c r="Q46" i="40944"/>
  <c r="S46" i="40944"/>
  <c r="T46" i="40944"/>
  <c r="A47" i="40944"/>
  <c r="C47" i="40944"/>
  <c r="D47" i="40944"/>
  <c r="E47" i="40944"/>
  <c r="F47" i="40944"/>
  <c r="G47" i="40944"/>
  <c r="H47" i="40944"/>
  <c r="I47" i="40944"/>
  <c r="J47" i="40944"/>
  <c r="K47" i="40944"/>
  <c r="L47" i="40944"/>
  <c r="M47" i="40944"/>
  <c r="N47" i="40944"/>
  <c r="O47" i="40944"/>
  <c r="P47" i="40944"/>
  <c r="Q47" i="40944"/>
  <c r="S47" i="40944"/>
  <c r="T47" i="40944"/>
  <c r="A48" i="40944"/>
  <c r="C48" i="40944"/>
  <c r="D48" i="40944"/>
  <c r="E48" i="40944"/>
  <c r="F48" i="40944"/>
  <c r="G48" i="40944"/>
  <c r="H48" i="40944"/>
  <c r="I48" i="40944"/>
  <c r="J48" i="40944"/>
  <c r="K48" i="40944"/>
  <c r="L48" i="40944"/>
  <c r="M48" i="40944"/>
  <c r="N48" i="40944"/>
  <c r="O48" i="40944"/>
  <c r="P48" i="40944"/>
  <c r="Q48" i="40944"/>
  <c r="S48" i="40944"/>
  <c r="T48" i="40944"/>
  <c r="A49" i="40944"/>
  <c r="C49" i="40944"/>
  <c r="D49" i="40944"/>
  <c r="E49" i="40944"/>
  <c r="F49" i="40944"/>
  <c r="G49" i="40944"/>
  <c r="H49" i="40944"/>
  <c r="I49" i="40944"/>
  <c r="J49" i="40944"/>
  <c r="K49" i="40944"/>
  <c r="L49" i="40944"/>
  <c r="M49" i="40944"/>
  <c r="N49" i="40944"/>
  <c r="O49" i="40944"/>
  <c r="P49" i="40944"/>
  <c r="Q49" i="40944"/>
  <c r="S49" i="40944"/>
  <c r="T49" i="40944"/>
  <c r="A50" i="40944"/>
  <c r="C50" i="40944"/>
  <c r="D50" i="40944"/>
  <c r="E50" i="40944"/>
  <c r="F50" i="40944"/>
  <c r="G50" i="40944"/>
  <c r="H50" i="40944"/>
  <c r="I50" i="40944"/>
  <c r="J50" i="40944"/>
  <c r="K50" i="40944"/>
  <c r="L50" i="40944"/>
  <c r="M50" i="40944"/>
  <c r="N50" i="40944"/>
  <c r="O50" i="40944"/>
  <c r="P50" i="40944"/>
  <c r="Q50" i="40944"/>
  <c r="S50" i="40944"/>
  <c r="T50" i="40944"/>
  <c r="A51" i="40944"/>
  <c r="C51" i="40944"/>
  <c r="D51" i="40944"/>
  <c r="E51" i="40944"/>
  <c r="F51" i="40944"/>
  <c r="G51" i="40944"/>
  <c r="H51" i="40944"/>
  <c r="I51" i="40944"/>
  <c r="J51" i="40944"/>
  <c r="K51" i="40944"/>
  <c r="L51" i="40944"/>
  <c r="M51" i="40944"/>
  <c r="N51" i="40944"/>
  <c r="O51" i="40944"/>
  <c r="P51" i="40944"/>
  <c r="Q51" i="40944"/>
  <c r="S51" i="40944"/>
  <c r="T51" i="40944"/>
  <c r="A52" i="40944"/>
  <c r="C52" i="40944"/>
  <c r="D52" i="40944"/>
  <c r="E52" i="40944"/>
  <c r="F52" i="40944"/>
  <c r="G52" i="40944"/>
  <c r="H52" i="40944"/>
  <c r="I52" i="40944"/>
  <c r="J52" i="40944"/>
  <c r="K52" i="40944"/>
  <c r="L52" i="40944"/>
  <c r="M52" i="40944"/>
  <c r="N52" i="40944"/>
  <c r="O52" i="40944"/>
  <c r="P52" i="40944"/>
  <c r="Q52" i="40944"/>
  <c r="S52" i="40944"/>
  <c r="T52" i="40944"/>
  <c r="A53" i="40944"/>
  <c r="C53" i="40944"/>
  <c r="D53" i="40944"/>
  <c r="E53" i="40944"/>
  <c r="F53" i="40944"/>
  <c r="G53" i="40944"/>
  <c r="H53" i="40944"/>
  <c r="I53" i="40944"/>
  <c r="J53" i="40944"/>
  <c r="K53" i="40944"/>
  <c r="L53" i="40944"/>
  <c r="M53" i="40944"/>
  <c r="N53" i="40944"/>
  <c r="O53" i="40944"/>
  <c r="P53" i="40944"/>
  <c r="Q53" i="40944"/>
  <c r="S53" i="40944"/>
  <c r="T53" i="40944"/>
  <c r="A54" i="40944"/>
  <c r="C54" i="40944"/>
  <c r="D54" i="40944"/>
  <c r="E54" i="40944"/>
  <c r="F54" i="40944"/>
  <c r="G54" i="40944"/>
  <c r="H54" i="40944"/>
  <c r="I54" i="40944"/>
  <c r="J54" i="40944"/>
  <c r="K54" i="40944"/>
  <c r="L54" i="40944"/>
  <c r="M54" i="40944"/>
  <c r="N54" i="40944"/>
  <c r="O54" i="40944"/>
  <c r="P54" i="40944"/>
  <c r="Q54" i="40944"/>
  <c r="S54" i="40944"/>
  <c r="T54" i="40944"/>
  <c r="A55" i="40944"/>
  <c r="C55" i="40944"/>
  <c r="D55" i="40944"/>
  <c r="E55" i="40944"/>
  <c r="F55" i="40944"/>
  <c r="G55" i="40944"/>
  <c r="H55" i="40944"/>
  <c r="I55" i="40944"/>
  <c r="J55" i="40944"/>
  <c r="K55" i="40944"/>
  <c r="L55" i="40944"/>
  <c r="M55" i="40944"/>
  <c r="N55" i="40944"/>
  <c r="P55" i="40944"/>
  <c r="Q55" i="40944"/>
  <c r="S55" i="40944"/>
  <c r="T55" i="40944"/>
  <c r="A56" i="40944"/>
  <c r="C56" i="40944"/>
  <c r="D56" i="40944"/>
  <c r="E56" i="40944"/>
  <c r="F56" i="40944"/>
  <c r="G56" i="40944"/>
  <c r="H56" i="40944"/>
  <c r="I56" i="40944"/>
  <c r="J56" i="40944"/>
  <c r="K56" i="40944"/>
  <c r="L56" i="40944"/>
  <c r="M56" i="40944"/>
  <c r="N56" i="40944"/>
  <c r="P56" i="40944"/>
  <c r="Q56" i="40944"/>
  <c r="S56" i="40944"/>
  <c r="T56" i="40944"/>
  <c r="A57" i="40944"/>
  <c r="C57" i="40944"/>
  <c r="D57" i="40944"/>
  <c r="E57" i="40944"/>
  <c r="F57" i="40944"/>
  <c r="G57" i="40944"/>
  <c r="H57" i="40944"/>
  <c r="I57" i="40944"/>
  <c r="J57" i="40944"/>
  <c r="K57" i="40944"/>
  <c r="L57" i="40944"/>
  <c r="M57" i="40944"/>
  <c r="N57" i="40944"/>
  <c r="P57" i="40944"/>
  <c r="Q57" i="40944"/>
  <c r="S57" i="40944"/>
  <c r="T57" i="40944"/>
  <c r="A58" i="40944"/>
  <c r="C58" i="40944"/>
  <c r="D58" i="40944"/>
  <c r="E58" i="40944"/>
  <c r="F58" i="40944"/>
  <c r="G58" i="40944"/>
  <c r="H58" i="40944"/>
  <c r="I58" i="40944"/>
  <c r="J58" i="40944"/>
  <c r="K58" i="40944"/>
  <c r="L58" i="40944"/>
  <c r="M58" i="40944"/>
  <c r="N58" i="40944"/>
  <c r="P58" i="40944"/>
  <c r="Q58" i="40944"/>
  <c r="S58" i="40944"/>
  <c r="T58" i="40944"/>
  <c r="A59" i="40944"/>
  <c r="C59" i="40944"/>
  <c r="D59" i="40944"/>
  <c r="E59" i="40944"/>
  <c r="F59" i="40944"/>
  <c r="G59" i="40944"/>
  <c r="H59" i="40944"/>
  <c r="I59" i="40944"/>
  <c r="J59" i="40944"/>
  <c r="K59" i="40944"/>
  <c r="L59" i="40944"/>
  <c r="M59" i="40944"/>
  <c r="N59" i="40944"/>
  <c r="P59" i="40944"/>
  <c r="Q59" i="40944"/>
  <c r="S59" i="40944"/>
  <c r="T59" i="40944"/>
  <c r="A60" i="40944"/>
  <c r="C60" i="40944"/>
  <c r="D60" i="40944"/>
  <c r="E60" i="40944"/>
  <c r="F60" i="40944"/>
  <c r="G60" i="40944"/>
  <c r="H60" i="40944"/>
  <c r="I60" i="40944"/>
  <c r="J60" i="40944"/>
  <c r="K60" i="40944"/>
  <c r="L60" i="40944"/>
  <c r="M60" i="40944"/>
  <c r="N60" i="40944"/>
  <c r="P60" i="40944"/>
  <c r="Q60" i="40944"/>
  <c r="S60" i="40944"/>
  <c r="T60" i="40944"/>
  <c r="A61" i="40944"/>
  <c r="C61" i="40944"/>
  <c r="D61" i="40944"/>
  <c r="E61" i="40944"/>
  <c r="F61" i="40944"/>
  <c r="G61" i="40944"/>
  <c r="H61" i="40944"/>
  <c r="I61" i="40944"/>
  <c r="J61" i="40944"/>
  <c r="K61" i="40944"/>
  <c r="L61" i="40944"/>
  <c r="M61" i="40944"/>
  <c r="N61" i="40944"/>
  <c r="P61" i="40944"/>
  <c r="Q61" i="40944"/>
  <c r="S61" i="40944"/>
  <c r="T61" i="40944"/>
  <c r="A62" i="40944"/>
  <c r="C62" i="40944"/>
  <c r="D62" i="40944"/>
  <c r="E62" i="40944"/>
  <c r="F62" i="40944"/>
  <c r="G62" i="40944"/>
  <c r="H62" i="40944"/>
  <c r="I62" i="40944"/>
  <c r="J62" i="40944"/>
  <c r="K62" i="40944"/>
  <c r="L62" i="40944"/>
  <c r="M62" i="40944"/>
  <c r="N62" i="40944"/>
  <c r="P62" i="40944"/>
  <c r="Q62" i="40944"/>
  <c r="S62" i="40944"/>
  <c r="T62" i="40944"/>
  <c r="A63" i="40944"/>
  <c r="C63" i="40944"/>
  <c r="D63" i="40944"/>
  <c r="E63" i="40944"/>
  <c r="F63" i="40944"/>
  <c r="G63" i="40944"/>
  <c r="H63" i="40944"/>
  <c r="I63" i="40944"/>
  <c r="J63" i="40944"/>
  <c r="K63" i="40944"/>
  <c r="L63" i="40944"/>
  <c r="M63" i="40944"/>
  <c r="N63" i="40944"/>
  <c r="O63" i="40944"/>
  <c r="P63" i="40944"/>
  <c r="Q63" i="40944"/>
  <c r="S63" i="40944"/>
  <c r="T63" i="40944"/>
  <c r="A64" i="40944"/>
  <c r="C64" i="40944"/>
  <c r="D64" i="40944"/>
  <c r="E64" i="40944"/>
  <c r="F64" i="40944"/>
  <c r="G64" i="40944"/>
  <c r="H64" i="40944"/>
  <c r="I64" i="40944"/>
  <c r="J64" i="40944"/>
  <c r="K64" i="40944"/>
  <c r="L64" i="40944"/>
  <c r="M64" i="40944"/>
  <c r="N64" i="40944"/>
  <c r="O64" i="40944"/>
  <c r="P64" i="40944"/>
  <c r="Q64" i="40944"/>
  <c r="S64" i="40944"/>
  <c r="T64" i="40944"/>
  <c r="Q66" i="40944"/>
  <c r="C68" i="40944"/>
  <c r="A7" i="3040"/>
  <c r="C7" i="3040"/>
  <c r="D7" i="3040"/>
  <c r="E7" i="3040"/>
  <c r="F7" i="3040"/>
  <c r="G7" i="3040"/>
  <c r="H7" i="3040"/>
  <c r="I7" i="3040"/>
  <c r="J7" i="3040"/>
  <c r="K7" i="3040"/>
  <c r="L7" i="3040"/>
  <c r="M7" i="3040"/>
  <c r="N7" i="3040"/>
  <c r="O7" i="3040"/>
  <c r="P7" i="3040"/>
  <c r="Q7" i="3040"/>
  <c r="S7" i="3040"/>
  <c r="T7" i="3040"/>
  <c r="A8" i="3040"/>
  <c r="C8" i="3040"/>
  <c r="D8" i="3040"/>
  <c r="E8" i="3040"/>
  <c r="F8" i="3040"/>
  <c r="G8" i="3040"/>
  <c r="H8" i="3040"/>
  <c r="I8" i="3040"/>
  <c r="J8" i="3040"/>
  <c r="K8" i="3040"/>
  <c r="L8" i="3040"/>
  <c r="M8" i="3040"/>
  <c r="N8" i="3040"/>
  <c r="O8" i="3040"/>
  <c r="P8" i="3040"/>
  <c r="Q8" i="3040"/>
  <c r="S8" i="3040"/>
  <c r="T8" i="3040"/>
  <c r="A9" i="3040"/>
  <c r="C9" i="3040"/>
  <c r="D9" i="3040"/>
  <c r="E9" i="3040"/>
  <c r="F9" i="3040"/>
  <c r="G9" i="3040"/>
  <c r="H9" i="3040"/>
  <c r="I9" i="3040"/>
  <c r="J9" i="3040"/>
  <c r="K9" i="3040"/>
  <c r="L9" i="3040"/>
  <c r="M9" i="3040"/>
  <c r="N9" i="3040"/>
  <c r="O9" i="3040"/>
  <c r="P9" i="3040"/>
  <c r="Q9" i="3040"/>
  <c r="S9" i="3040"/>
  <c r="T9" i="3040"/>
  <c r="A10" i="3040"/>
  <c r="C10" i="3040"/>
  <c r="D10" i="3040"/>
  <c r="E10" i="3040"/>
  <c r="F10" i="3040"/>
  <c r="G10" i="3040"/>
  <c r="H10" i="3040"/>
  <c r="I10" i="3040"/>
  <c r="J10" i="3040"/>
  <c r="K10" i="3040"/>
  <c r="L10" i="3040"/>
  <c r="M10" i="3040"/>
  <c r="N10" i="3040"/>
  <c r="O10" i="3040"/>
  <c r="P10" i="3040"/>
  <c r="Q10" i="3040"/>
  <c r="S10" i="3040"/>
  <c r="T10" i="3040"/>
  <c r="A11" i="3040"/>
  <c r="C11" i="3040"/>
  <c r="D11" i="3040"/>
  <c r="E11" i="3040"/>
  <c r="F11" i="3040"/>
  <c r="G11" i="3040"/>
  <c r="H11" i="3040"/>
  <c r="I11" i="3040"/>
  <c r="J11" i="3040"/>
  <c r="K11" i="3040"/>
  <c r="L11" i="3040"/>
  <c r="M11" i="3040"/>
  <c r="N11" i="3040"/>
  <c r="O11" i="3040"/>
  <c r="P11" i="3040"/>
  <c r="Q11" i="3040"/>
  <c r="S11" i="3040"/>
  <c r="T11" i="3040"/>
  <c r="A12" i="3040"/>
  <c r="C12" i="3040"/>
  <c r="D12" i="3040"/>
  <c r="E12" i="3040"/>
  <c r="F12" i="3040"/>
  <c r="G12" i="3040"/>
  <c r="H12" i="3040"/>
  <c r="I12" i="3040"/>
  <c r="J12" i="3040"/>
  <c r="K12" i="3040"/>
  <c r="L12" i="3040"/>
  <c r="M12" i="3040"/>
  <c r="N12" i="3040"/>
  <c r="O12" i="3040"/>
  <c r="P12" i="3040"/>
  <c r="Q12" i="3040"/>
  <c r="S12" i="3040"/>
  <c r="T12" i="3040"/>
  <c r="A13" i="3040"/>
  <c r="C13" i="3040"/>
  <c r="D13" i="3040"/>
  <c r="E13" i="3040"/>
  <c r="F13" i="3040"/>
  <c r="G13" i="3040"/>
  <c r="H13" i="3040"/>
  <c r="I13" i="3040"/>
  <c r="J13" i="3040"/>
  <c r="K13" i="3040"/>
  <c r="L13" i="3040"/>
  <c r="M13" i="3040"/>
  <c r="N13" i="3040"/>
  <c r="O13" i="3040"/>
  <c r="P13" i="3040"/>
  <c r="Q13" i="3040"/>
  <c r="S13" i="3040"/>
  <c r="T13" i="3040"/>
  <c r="A14" i="3040"/>
  <c r="C14" i="3040"/>
  <c r="D14" i="3040"/>
  <c r="E14" i="3040"/>
  <c r="F14" i="3040"/>
  <c r="G14" i="3040"/>
  <c r="H14" i="3040"/>
  <c r="I14" i="3040"/>
  <c r="J14" i="3040"/>
  <c r="K14" i="3040"/>
  <c r="L14" i="3040"/>
  <c r="M14" i="3040"/>
  <c r="N14" i="3040"/>
  <c r="O14" i="3040"/>
  <c r="P14" i="3040"/>
  <c r="Q14" i="3040"/>
  <c r="S14" i="3040"/>
  <c r="T14" i="3040"/>
  <c r="A15" i="3040"/>
  <c r="C15" i="3040"/>
  <c r="D15" i="3040"/>
  <c r="E15" i="3040"/>
  <c r="F15" i="3040"/>
  <c r="G15" i="3040"/>
  <c r="H15" i="3040"/>
  <c r="I15" i="3040"/>
  <c r="J15" i="3040"/>
  <c r="K15" i="3040"/>
  <c r="L15" i="3040"/>
  <c r="M15" i="3040"/>
  <c r="N15" i="3040"/>
  <c r="O15" i="3040"/>
  <c r="P15" i="3040"/>
  <c r="Q15" i="3040"/>
  <c r="S15" i="3040"/>
  <c r="T15" i="3040"/>
  <c r="A16" i="3040"/>
  <c r="C16" i="3040"/>
  <c r="D16" i="3040"/>
  <c r="E16" i="3040"/>
  <c r="F16" i="3040"/>
  <c r="G16" i="3040"/>
  <c r="H16" i="3040"/>
  <c r="I16" i="3040"/>
  <c r="J16" i="3040"/>
  <c r="K16" i="3040"/>
  <c r="L16" i="3040"/>
  <c r="M16" i="3040"/>
  <c r="N16" i="3040"/>
  <c r="O16" i="3040"/>
  <c r="P16" i="3040"/>
  <c r="Q16" i="3040"/>
  <c r="S16" i="3040"/>
  <c r="T16" i="3040"/>
  <c r="A17" i="3040"/>
  <c r="C17" i="3040"/>
  <c r="D17" i="3040"/>
  <c r="E17" i="3040"/>
  <c r="F17" i="3040"/>
  <c r="G17" i="3040"/>
  <c r="H17" i="3040"/>
  <c r="I17" i="3040"/>
  <c r="J17" i="3040"/>
  <c r="K17" i="3040"/>
  <c r="L17" i="3040"/>
  <c r="M17" i="3040"/>
  <c r="N17" i="3040"/>
  <c r="O17" i="3040"/>
  <c r="P17" i="3040"/>
  <c r="Q17" i="3040"/>
  <c r="S17" i="3040"/>
  <c r="T17" i="3040"/>
  <c r="A18" i="3040"/>
  <c r="C18" i="3040"/>
  <c r="D18" i="3040"/>
  <c r="E18" i="3040"/>
  <c r="F18" i="3040"/>
  <c r="G18" i="3040"/>
  <c r="H18" i="3040"/>
  <c r="I18" i="3040"/>
  <c r="J18" i="3040"/>
  <c r="K18" i="3040"/>
  <c r="L18" i="3040"/>
  <c r="M18" i="3040"/>
  <c r="N18" i="3040"/>
  <c r="O18" i="3040"/>
  <c r="P18" i="3040"/>
  <c r="Q18" i="3040"/>
  <c r="S18" i="3040"/>
  <c r="T18" i="3040"/>
  <c r="A19" i="3040"/>
  <c r="C19" i="3040"/>
  <c r="D19" i="3040"/>
  <c r="E19" i="3040"/>
  <c r="F19" i="3040"/>
  <c r="G19" i="3040"/>
  <c r="H19" i="3040"/>
  <c r="I19" i="3040"/>
  <c r="J19" i="3040"/>
  <c r="K19" i="3040"/>
  <c r="L19" i="3040"/>
  <c r="M19" i="3040"/>
  <c r="N19" i="3040"/>
  <c r="O19" i="3040"/>
  <c r="P19" i="3040"/>
  <c r="Q19" i="3040"/>
  <c r="S19" i="3040"/>
  <c r="T19" i="3040"/>
  <c r="A20" i="3040"/>
  <c r="C20" i="3040"/>
  <c r="D20" i="3040"/>
  <c r="E20" i="3040"/>
  <c r="F20" i="3040"/>
  <c r="G20" i="3040"/>
  <c r="H20" i="3040"/>
  <c r="I20" i="3040"/>
  <c r="J20" i="3040"/>
  <c r="K20" i="3040"/>
  <c r="L20" i="3040"/>
  <c r="M20" i="3040"/>
  <c r="N20" i="3040"/>
  <c r="O20" i="3040"/>
  <c r="P20" i="3040"/>
  <c r="Q20" i="3040"/>
  <c r="S20" i="3040"/>
  <c r="T20" i="3040"/>
  <c r="A21" i="3040"/>
  <c r="C21" i="3040"/>
  <c r="D21" i="3040"/>
  <c r="E21" i="3040"/>
  <c r="F21" i="3040"/>
  <c r="G21" i="3040"/>
  <c r="H21" i="3040"/>
  <c r="I21" i="3040"/>
  <c r="J21" i="3040"/>
  <c r="K21" i="3040"/>
  <c r="L21" i="3040"/>
  <c r="M21" i="3040"/>
  <c r="N21" i="3040"/>
  <c r="O21" i="3040"/>
  <c r="P21" i="3040"/>
  <c r="Q21" i="3040"/>
  <c r="S21" i="3040"/>
  <c r="T21" i="3040"/>
  <c r="A22" i="3040"/>
  <c r="C22" i="3040"/>
  <c r="D22" i="3040"/>
  <c r="E22" i="3040"/>
  <c r="F22" i="3040"/>
  <c r="G22" i="3040"/>
  <c r="H22" i="3040"/>
  <c r="I22" i="3040"/>
  <c r="J22" i="3040"/>
  <c r="K22" i="3040"/>
  <c r="L22" i="3040"/>
  <c r="M22" i="3040"/>
  <c r="N22" i="3040"/>
  <c r="O22" i="3040"/>
  <c r="P22" i="3040"/>
  <c r="Q22" i="3040"/>
  <c r="S22" i="3040"/>
  <c r="T22" i="3040"/>
  <c r="A23" i="3040"/>
  <c r="C23" i="3040"/>
  <c r="D23" i="3040"/>
  <c r="E23" i="3040"/>
  <c r="F23" i="3040"/>
  <c r="G23" i="3040"/>
  <c r="H23" i="3040"/>
  <c r="I23" i="3040"/>
  <c r="J23" i="3040"/>
  <c r="K23" i="3040"/>
  <c r="L23" i="3040"/>
  <c r="M23" i="3040"/>
  <c r="N23" i="3040"/>
  <c r="O23" i="3040"/>
  <c r="P23" i="3040"/>
  <c r="Q23" i="3040"/>
  <c r="S23" i="3040"/>
  <c r="T23" i="3040"/>
  <c r="A24" i="3040"/>
  <c r="C24" i="3040"/>
  <c r="D24" i="3040"/>
  <c r="E24" i="3040"/>
  <c r="F24" i="3040"/>
  <c r="G24" i="3040"/>
  <c r="H24" i="3040"/>
  <c r="I24" i="3040"/>
  <c r="J24" i="3040"/>
  <c r="K24" i="3040"/>
  <c r="L24" i="3040"/>
  <c r="M24" i="3040"/>
  <c r="N24" i="3040"/>
  <c r="O24" i="3040"/>
  <c r="P24" i="3040"/>
  <c r="Q24" i="3040"/>
  <c r="S24" i="3040"/>
  <c r="T24" i="3040"/>
  <c r="A25" i="3040"/>
  <c r="C25" i="3040"/>
  <c r="D25" i="3040"/>
  <c r="E25" i="3040"/>
  <c r="F25" i="3040"/>
  <c r="G25" i="3040"/>
  <c r="H25" i="3040"/>
  <c r="I25" i="3040"/>
  <c r="J25" i="3040"/>
  <c r="K25" i="3040"/>
  <c r="L25" i="3040"/>
  <c r="M25" i="3040"/>
  <c r="N25" i="3040"/>
  <c r="O25" i="3040"/>
  <c r="P25" i="3040"/>
  <c r="Q25" i="3040"/>
  <c r="S25" i="3040"/>
  <c r="T25" i="3040"/>
  <c r="A26" i="3040"/>
  <c r="C26" i="3040"/>
  <c r="D26" i="3040"/>
  <c r="E26" i="3040"/>
  <c r="F26" i="3040"/>
  <c r="G26" i="3040"/>
  <c r="H26" i="3040"/>
  <c r="I26" i="3040"/>
  <c r="J26" i="3040"/>
  <c r="K26" i="3040"/>
  <c r="L26" i="3040"/>
  <c r="M26" i="3040"/>
  <c r="N26" i="3040"/>
  <c r="O26" i="3040"/>
  <c r="P26" i="3040"/>
  <c r="Q26" i="3040"/>
  <c r="S26" i="3040"/>
  <c r="T26" i="3040"/>
  <c r="A27" i="3040"/>
  <c r="C27" i="3040"/>
  <c r="D27" i="3040"/>
  <c r="E27" i="3040"/>
  <c r="F27" i="3040"/>
  <c r="G27" i="3040"/>
  <c r="H27" i="3040"/>
  <c r="I27" i="3040"/>
  <c r="J27" i="3040"/>
  <c r="K27" i="3040"/>
  <c r="L27" i="3040"/>
  <c r="M27" i="3040"/>
  <c r="N27" i="3040"/>
  <c r="O27" i="3040"/>
  <c r="P27" i="3040"/>
  <c r="Q27" i="3040"/>
  <c r="S27" i="3040"/>
  <c r="T27" i="3040"/>
  <c r="A28" i="3040"/>
  <c r="C28" i="3040"/>
  <c r="D28" i="3040"/>
  <c r="E28" i="3040"/>
  <c r="F28" i="3040"/>
  <c r="G28" i="3040"/>
  <c r="H28" i="3040"/>
  <c r="I28" i="3040"/>
  <c r="J28" i="3040"/>
  <c r="K28" i="3040"/>
  <c r="L28" i="3040"/>
  <c r="M28" i="3040"/>
  <c r="N28" i="3040"/>
  <c r="O28" i="3040"/>
  <c r="P28" i="3040"/>
  <c r="Q28" i="3040"/>
  <c r="S28" i="3040"/>
  <c r="T28" i="3040"/>
  <c r="A29" i="3040"/>
  <c r="C29" i="3040"/>
  <c r="D29" i="3040"/>
  <c r="E29" i="3040"/>
  <c r="F29" i="3040"/>
  <c r="G29" i="3040"/>
  <c r="H29" i="3040"/>
  <c r="I29" i="3040"/>
  <c r="J29" i="3040"/>
  <c r="K29" i="3040"/>
  <c r="L29" i="3040"/>
  <c r="M29" i="3040"/>
  <c r="N29" i="3040"/>
  <c r="O29" i="3040"/>
  <c r="P29" i="3040"/>
  <c r="Q29" i="3040"/>
  <c r="S29" i="3040"/>
  <c r="T29" i="3040"/>
  <c r="A30" i="3040"/>
  <c r="C30" i="3040"/>
  <c r="D30" i="3040"/>
  <c r="E30" i="3040"/>
  <c r="F30" i="3040"/>
  <c r="G30" i="3040"/>
  <c r="H30" i="3040"/>
  <c r="I30" i="3040"/>
  <c r="J30" i="3040"/>
  <c r="K30" i="3040"/>
  <c r="L30" i="3040"/>
  <c r="M30" i="3040"/>
  <c r="N30" i="3040"/>
  <c r="O30" i="3040"/>
  <c r="P30" i="3040"/>
  <c r="Q30" i="3040"/>
  <c r="S30" i="3040"/>
  <c r="T30" i="3040"/>
  <c r="Q32" i="3040"/>
  <c r="S32" i="3040"/>
  <c r="T32" i="3040"/>
  <c r="C34" i="3040"/>
  <c r="A41" i="3040"/>
  <c r="C41" i="3040"/>
  <c r="D41" i="3040"/>
  <c r="E41" i="3040"/>
  <c r="F41" i="3040"/>
  <c r="G41" i="3040"/>
  <c r="H41" i="3040"/>
  <c r="I41" i="3040"/>
  <c r="J41" i="3040"/>
  <c r="K41" i="3040"/>
  <c r="L41" i="3040"/>
  <c r="M41" i="3040"/>
  <c r="N41" i="3040"/>
  <c r="O41" i="3040"/>
  <c r="P41" i="3040"/>
  <c r="Q41" i="3040"/>
  <c r="S41" i="3040"/>
  <c r="T41" i="3040"/>
  <c r="A42" i="3040"/>
  <c r="C42" i="3040"/>
  <c r="D42" i="3040"/>
  <c r="E42" i="3040"/>
  <c r="F42" i="3040"/>
  <c r="G42" i="3040"/>
  <c r="H42" i="3040"/>
  <c r="I42" i="3040"/>
  <c r="J42" i="3040"/>
  <c r="K42" i="3040"/>
  <c r="L42" i="3040"/>
  <c r="M42" i="3040"/>
  <c r="N42" i="3040"/>
  <c r="O42" i="3040"/>
  <c r="P42" i="3040"/>
  <c r="Q42" i="3040"/>
  <c r="S42" i="3040"/>
  <c r="T42" i="3040"/>
  <c r="A43" i="3040"/>
  <c r="C43" i="3040"/>
  <c r="D43" i="3040"/>
  <c r="E43" i="3040"/>
  <c r="F43" i="3040"/>
  <c r="G43" i="3040"/>
  <c r="H43" i="3040"/>
  <c r="I43" i="3040"/>
  <c r="J43" i="3040"/>
  <c r="K43" i="3040"/>
  <c r="L43" i="3040"/>
  <c r="M43" i="3040"/>
  <c r="N43" i="3040"/>
  <c r="O43" i="3040"/>
  <c r="P43" i="3040"/>
  <c r="Q43" i="3040"/>
  <c r="S43" i="3040"/>
  <c r="T43" i="3040"/>
  <c r="A44" i="3040"/>
  <c r="C44" i="3040"/>
  <c r="D44" i="3040"/>
  <c r="E44" i="3040"/>
  <c r="F44" i="3040"/>
  <c r="G44" i="3040"/>
  <c r="H44" i="3040"/>
  <c r="I44" i="3040"/>
  <c r="J44" i="3040"/>
  <c r="K44" i="3040"/>
  <c r="L44" i="3040"/>
  <c r="M44" i="3040"/>
  <c r="N44" i="3040"/>
  <c r="O44" i="3040"/>
  <c r="P44" i="3040"/>
  <c r="Q44" i="3040"/>
  <c r="S44" i="3040"/>
  <c r="T44" i="3040"/>
  <c r="A45" i="3040"/>
  <c r="C45" i="3040"/>
  <c r="D45" i="3040"/>
  <c r="E45" i="3040"/>
  <c r="F45" i="3040"/>
  <c r="G45" i="3040"/>
  <c r="H45" i="3040"/>
  <c r="I45" i="3040"/>
  <c r="J45" i="3040"/>
  <c r="K45" i="3040"/>
  <c r="L45" i="3040"/>
  <c r="M45" i="3040"/>
  <c r="N45" i="3040"/>
  <c r="O45" i="3040"/>
  <c r="P45" i="3040"/>
  <c r="Q45" i="3040"/>
  <c r="S45" i="3040"/>
  <c r="T45" i="3040"/>
  <c r="A46" i="3040"/>
  <c r="C46" i="3040"/>
  <c r="D46" i="3040"/>
  <c r="E46" i="3040"/>
  <c r="F46" i="3040"/>
  <c r="G46" i="3040"/>
  <c r="H46" i="3040"/>
  <c r="I46" i="3040"/>
  <c r="J46" i="3040"/>
  <c r="K46" i="3040"/>
  <c r="L46" i="3040"/>
  <c r="M46" i="3040"/>
  <c r="N46" i="3040"/>
  <c r="O46" i="3040"/>
  <c r="P46" i="3040"/>
  <c r="Q46" i="3040"/>
  <c r="S46" i="3040"/>
  <c r="T46" i="3040"/>
  <c r="A47" i="3040"/>
  <c r="C47" i="3040"/>
  <c r="D47" i="3040"/>
  <c r="E47" i="3040"/>
  <c r="F47" i="3040"/>
  <c r="G47" i="3040"/>
  <c r="H47" i="3040"/>
  <c r="I47" i="3040"/>
  <c r="J47" i="3040"/>
  <c r="K47" i="3040"/>
  <c r="L47" i="3040"/>
  <c r="M47" i="3040"/>
  <c r="N47" i="3040"/>
  <c r="O47" i="3040"/>
  <c r="P47" i="3040"/>
  <c r="Q47" i="3040"/>
  <c r="S47" i="3040"/>
  <c r="T47" i="3040"/>
  <c r="A48" i="3040"/>
  <c r="C48" i="3040"/>
  <c r="D48" i="3040"/>
  <c r="E48" i="3040"/>
  <c r="F48" i="3040"/>
  <c r="G48" i="3040"/>
  <c r="H48" i="3040"/>
  <c r="I48" i="3040"/>
  <c r="J48" i="3040"/>
  <c r="K48" i="3040"/>
  <c r="L48" i="3040"/>
  <c r="M48" i="3040"/>
  <c r="N48" i="3040"/>
  <c r="O48" i="3040"/>
  <c r="P48" i="3040"/>
  <c r="Q48" i="3040"/>
  <c r="S48" i="3040"/>
  <c r="T48" i="3040"/>
  <c r="A49" i="3040"/>
  <c r="C49" i="3040"/>
  <c r="D49" i="3040"/>
  <c r="E49" i="3040"/>
  <c r="F49" i="3040"/>
  <c r="G49" i="3040"/>
  <c r="H49" i="3040"/>
  <c r="I49" i="3040"/>
  <c r="J49" i="3040"/>
  <c r="K49" i="3040"/>
  <c r="L49" i="3040"/>
  <c r="M49" i="3040"/>
  <c r="N49" i="3040"/>
  <c r="O49" i="3040"/>
  <c r="P49" i="3040"/>
  <c r="Q49" i="3040"/>
  <c r="S49" i="3040"/>
  <c r="T49" i="3040"/>
  <c r="A50" i="3040"/>
  <c r="C50" i="3040"/>
  <c r="D50" i="3040"/>
  <c r="E50" i="3040"/>
  <c r="F50" i="3040"/>
  <c r="G50" i="3040"/>
  <c r="H50" i="3040"/>
  <c r="I50" i="3040"/>
  <c r="J50" i="3040"/>
  <c r="K50" i="3040"/>
  <c r="L50" i="3040"/>
  <c r="M50" i="3040"/>
  <c r="N50" i="3040"/>
  <c r="O50" i="3040"/>
  <c r="P50" i="3040"/>
  <c r="Q50" i="3040"/>
  <c r="S50" i="3040"/>
  <c r="T50" i="3040"/>
  <c r="A51" i="3040"/>
  <c r="C51" i="3040"/>
  <c r="D51" i="3040"/>
  <c r="E51" i="3040"/>
  <c r="F51" i="3040"/>
  <c r="G51" i="3040"/>
  <c r="H51" i="3040"/>
  <c r="I51" i="3040"/>
  <c r="J51" i="3040"/>
  <c r="K51" i="3040"/>
  <c r="L51" i="3040"/>
  <c r="M51" i="3040"/>
  <c r="N51" i="3040"/>
  <c r="O51" i="3040"/>
  <c r="P51" i="3040"/>
  <c r="Q51" i="3040"/>
  <c r="S51" i="3040"/>
  <c r="T51" i="3040"/>
  <c r="A52" i="3040"/>
  <c r="C52" i="3040"/>
  <c r="D52" i="3040"/>
  <c r="E52" i="3040"/>
  <c r="F52" i="3040"/>
  <c r="G52" i="3040"/>
  <c r="H52" i="3040"/>
  <c r="I52" i="3040"/>
  <c r="J52" i="3040"/>
  <c r="K52" i="3040"/>
  <c r="L52" i="3040"/>
  <c r="M52" i="3040"/>
  <c r="N52" i="3040"/>
  <c r="O52" i="3040"/>
  <c r="P52" i="3040"/>
  <c r="Q52" i="3040"/>
  <c r="S52" i="3040"/>
  <c r="T52" i="3040"/>
  <c r="A53" i="3040"/>
  <c r="C53" i="3040"/>
  <c r="D53" i="3040"/>
  <c r="E53" i="3040"/>
  <c r="F53" i="3040"/>
  <c r="G53" i="3040"/>
  <c r="H53" i="3040"/>
  <c r="I53" i="3040"/>
  <c r="J53" i="3040"/>
  <c r="K53" i="3040"/>
  <c r="L53" i="3040"/>
  <c r="M53" i="3040"/>
  <c r="N53" i="3040"/>
  <c r="O53" i="3040"/>
  <c r="P53" i="3040"/>
  <c r="Q53" i="3040"/>
  <c r="S53" i="3040"/>
  <c r="T53" i="3040"/>
  <c r="A54" i="3040"/>
  <c r="C54" i="3040"/>
  <c r="D54" i="3040"/>
  <c r="E54" i="3040"/>
  <c r="F54" i="3040"/>
  <c r="G54" i="3040"/>
  <c r="H54" i="3040"/>
  <c r="I54" i="3040"/>
  <c r="J54" i="3040"/>
  <c r="K54" i="3040"/>
  <c r="L54" i="3040"/>
  <c r="M54" i="3040"/>
  <c r="N54" i="3040"/>
  <c r="O54" i="3040"/>
  <c r="P54" i="3040"/>
  <c r="Q54" i="3040"/>
  <c r="S54" i="3040"/>
  <c r="T54" i="3040"/>
  <c r="A55" i="3040"/>
  <c r="C55" i="3040"/>
  <c r="D55" i="3040"/>
  <c r="E55" i="3040"/>
  <c r="F55" i="3040"/>
  <c r="G55" i="3040"/>
  <c r="H55" i="3040"/>
  <c r="I55" i="3040"/>
  <c r="J55" i="3040"/>
  <c r="K55" i="3040"/>
  <c r="L55" i="3040"/>
  <c r="M55" i="3040"/>
  <c r="N55" i="3040"/>
  <c r="P55" i="3040"/>
  <c r="Q55" i="3040"/>
  <c r="S55" i="3040"/>
  <c r="T55" i="3040"/>
  <c r="A56" i="3040"/>
  <c r="C56" i="3040"/>
  <c r="D56" i="3040"/>
  <c r="E56" i="3040"/>
  <c r="F56" i="3040"/>
  <c r="G56" i="3040"/>
  <c r="H56" i="3040"/>
  <c r="I56" i="3040"/>
  <c r="J56" i="3040"/>
  <c r="K56" i="3040"/>
  <c r="L56" i="3040"/>
  <c r="M56" i="3040"/>
  <c r="N56" i="3040"/>
  <c r="P56" i="3040"/>
  <c r="Q56" i="3040"/>
  <c r="S56" i="3040"/>
  <c r="T56" i="3040"/>
  <c r="A57" i="3040"/>
  <c r="C57" i="3040"/>
  <c r="D57" i="3040"/>
  <c r="E57" i="3040"/>
  <c r="F57" i="3040"/>
  <c r="G57" i="3040"/>
  <c r="H57" i="3040"/>
  <c r="I57" i="3040"/>
  <c r="J57" i="3040"/>
  <c r="K57" i="3040"/>
  <c r="L57" i="3040"/>
  <c r="M57" i="3040"/>
  <c r="N57" i="3040"/>
  <c r="P57" i="3040"/>
  <c r="Q57" i="3040"/>
  <c r="S57" i="3040"/>
  <c r="T57" i="3040"/>
  <c r="A58" i="3040"/>
  <c r="C58" i="3040"/>
  <c r="D58" i="3040"/>
  <c r="E58" i="3040"/>
  <c r="F58" i="3040"/>
  <c r="G58" i="3040"/>
  <c r="H58" i="3040"/>
  <c r="I58" i="3040"/>
  <c r="J58" i="3040"/>
  <c r="K58" i="3040"/>
  <c r="L58" i="3040"/>
  <c r="M58" i="3040"/>
  <c r="N58" i="3040"/>
  <c r="P58" i="3040"/>
  <c r="Q58" i="3040"/>
  <c r="S58" i="3040"/>
  <c r="T58" i="3040"/>
  <c r="A59" i="3040"/>
  <c r="C59" i="3040"/>
  <c r="D59" i="3040"/>
  <c r="E59" i="3040"/>
  <c r="F59" i="3040"/>
  <c r="G59" i="3040"/>
  <c r="H59" i="3040"/>
  <c r="I59" i="3040"/>
  <c r="J59" i="3040"/>
  <c r="K59" i="3040"/>
  <c r="L59" i="3040"/>
  <c r="M59" i="3040"/>
  <c r="N59" i="3040"/>
  <c r="P59" i="3040"/>
  <c r="Q59" i="3040"/>
  <c r="S59" i="3040"/>
  <c r="T59" i="3040"/>
  <c r="A60" i="3040"/>
  <c r="C60" i="3040"/>
  <c r="D60" i="3040"/>
  <c r="E60" i="3040"/>
  <c r="F60" i="3040"/>
  <c r="G60" i="3040"/>
  <c r="H60" i="3040"/>
  <c r="I60" i="3040"/>
  <c r="J60" i="3040"/>
  <c r="K60" i="3040"/>
  <c r="L60" i="3040"/>
  <c r="M60" i="3040"/>
  <c r="N60" i="3040"/>
  <c r="P60" i="3040"/>
  <c r="Q60" i="3040"/>
  <c r="S60" i="3040"/>
  <c r="T60" i="3040"/>
  <c r="A61" i="3040"/>
  <c r="C61" i="3040"/>
  <c r="D61" i="3040"/>
  <c r="E61" i="3040"/>
  <c r="F61" i="3040"/>
  <c r="G61" i="3040"/>
  <c r="H61" i="3040"/>
  <c r="I61" i="3040"/>
  <c r="J61" i="3040"/>
  <c r="K61" i="3040"/>
  <c r="L61" i="3040"/>
  <c r="M61" i="3040"/>
  <c r="N61" i="3040"/>
  <c r="P61" i="3040"/>
  <c r="Q61" i="3040"/>
  <c r="S61" i="3040"/>
  <c r="T61" i="3040"/>
  <c r="A62" i="3040"/>
  <c r="C62" i="3040"/>
  <c r="D62" i="3040"/>
  <c r="E62" i="3040"/>
  <c r="F62" i="3040"/>
  <c r="G62" i="3040"/>
  <c r="H62" i="3040"/>
  <c r="I62" i="3040"/>
  <c r="J62" i="3040"/>
  <c r="K62" i="3040"/>
  <c r="L62" i="3040"/>
  <c r="M62" i="3040"/>
  <c r="N62" i="3040"/>
  <c r="P62" i="3040"/>
  <c r="Q62" i="3040"/>
  <c r="S62" i="3040"/>
  <c r="T62" i="3040"/>
  <c r="A63" i="3040"/>
  <c r="C63" i="3040"/>
  <c r="D63" i="3040"/>
  <c r="E63" i="3040"/>
  <c r="F63" i="3040"/>
  <c r="G63" i="3040"/>
  <c r="H63" i="3040"/>
  <c r="I63" i="3040"/>
  <c r="J63" i="3040"/>
  <c r="K63" i="3040"/>
  <c r="L63" i="3040"/>
  <c r="M63" i="3040"/>
  <c r="N63" i="3040"/>
  <c r="O63" i="3040"/>
  <c r="P63" i="3040"/>
  <c r="Q63" i="3040"/>
  <c r="S63" i="3040"/>
  <c r="T63" i="3040"/>
  <c r="A64" i="3040"/>
  <c r="C64" i="3040"/>
  <c r="D64" i="3040"/>
  <c r="E64" i="3040"/>
  <c r="F64" i="3040"/>
  <c r="G64" i="3040"/>
  <c r="H64" i="3040"/>
  <c r="I64" i="3040"/>
  <c r="J64" i="3040"/>
  <c r="K64" i="3040"/>
  <c r="L64" i="3040"/>
  <c r="M64" i="3040"/>
  <c r="N64" i="3040"/>
  <c r="O64" i="3040"/>
  <c r="P64" i="3040"/>
  <c r="Q64" i="3040"/>
  <c r="S64" i="3040"/>
  <c r="T64" i="3040"/>
  <c r="Q66" i="3040"/>
  <c r="C68" i="3040"/>
  <c r="A7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S7" i="101"/>
  <c r="T7" i="101"/>
  <c r="A8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S8" i="101"/>
  <c r="T8" i="101"/>
  <c r="A9" i="101"/>
  <c r="C9" i="101"/>
  <c r="D9" i="101"/>
  <c r="E9" i="101"/>
  <c r="F9" i="101"/>
  <c r="G9" i="101"/>
  <c r="H9" i="101"/>
  <c r="I9" i="101"/>
  <c r="J9" i="101"/>
  <c r="K9" i="101"/>
  <c r="L9" i="101"/>
  <c r="M9" i="101"/>
  <c r="N9" i="101"/>
  <c r="O9" i="101"/>
  <c r="P9" i="101"/>
  <c r="Q9" i="101"/>
  <c r="S9" i="101"/>
  <c r="T9" i="101"/>
  <c r="A10" i="101"/>
  <c r="C10" i="101"/>
  <c r="D10" i="101"/>
  <c r="E10" i="101"/>
  <c r="F10" i="101"/>
  <c r="G10" i="101"/>
  <c r="H10" i="101"/>
  <c r="I10" i="101"/>
  <c r="J10" i="101"/>
  <c r="K10" i="101"/>
  <c r="L10" i="101"/>
  <c r="M10" i="101"/>
  <c r="N10" i="101"/>
  <c r="O10" i="101"/>
  <c r="P10" i="101"/>
  <c r="Q10" i="101"/>
  <c r="S10" i="101"/>
  <c r="T10" i="101"/>
  <c r="A11" i="101"/>
  <c r="C11" i="101"/>
  <c r="D11" i="101"/>
  <c r="E11" i="101"/>
  <c r="F11" i="101"/>
  <c r="G11" i="101"/>
  <c r="H11" i="101"/>
  <c r="I11" i="101"/>
  <c r="J11" i="101"/>
  <c r="K11" i="101"/>
  <c r="L11" i="101"/>
  <c r="M11" i="101"/>
  <c r="N11" i="101"/>
  <c r="O11" i="101"/>
  <c r="P11" i="101"/>
  <c r="Q11" i="101"/>
  <c r="S11" i="101"/>
  <c r="T11" i="101"/>
  <c r="A12" i="101"/>
  <c r="C12" i="101"/>
  <c r="D12" i="101"/>
  <c r="E12" i="101"/>
  <c r="F12" i="101"/>
  <c r="G12" i="101"/>
  <c r="H12" i="101"/>
  <c r="I12" i="101"/>
  <c r="J12" i="101"/>
  <c r="K12" i="101"/>
  <c r="L12" i="101"/>
  <c r="M12" i="101"/>
  <c r="N12" i="101"/>
  <c r="O12" i="101"/>
  <c r="P12" i="101"/>
  <c r="Q12" i="101"/>
  <c r="S12" i="101"/>
  <c r="T12" i="101"/>
  <c r="A13" i="101"/>
  <c r="C13" i="101"/>
  <c r="D13" i="101"/>
  <c r="E13" i="101"/>
  <c r="F13" i="101"/>
  <c r="G13" i="101"/>
  <c r="H13" i="101"/>
  <c r="I13" i="101"/>
  <c r="J13" i="101"/>
  <c r="K13" i="101"/>
  <c r="L13" i="101"/>
  <c r="M13" i="101"/>
  <c r="N13" i="101"/>
  <c r="O13" i="101"/>
  <c r="P13" i="101"/>
  <c r="Q13" i="101"/>
  <c r="S13" i="101"/>
  <c r="T13" i="101"/>
  <c r="A14" i="101"/>
  <c r="C14" i="101"/>
  <c r="D14" i="101"/>
  <c r="E14" i="101"/>
  <c r="F14" i="101"/>
  <c r="G14" i="101"/>
  <c r="H14" i="101"/>
  <c r="I14" i="101"/>
  <c r="J14" i="101"/>
  <c r="K14" i="101"/>
  <c r="L14" i="101"/>
  <c r="M14" i="101"/>
  <c r="N14" i="101"/>
  <c r="O14" i="101"/>
  <c r="P14" i="101"/>
  <c r="Q14" i="101"/>
  <c r="S14" i="101"/>
  <c r="T14" i="101"/>
  <c r="A15" i="101"/>
  <c r="C15" i="101"/>
  <c r="D15" i="101"/>
  <c r="E15" i="101"/>
  <c r="F15" i="101"/>
  <c r="G15" i="101"/>
  <c r="H15" i="101"/>
  <c r="I15" i="101"/>
  <c r="J15" i="101"/>
  <c r="K15" i="101"/>
  <c r="L15" i="101"/>
  <c r="M15" i="101"/>
  <c r="N15" i="101"/>
  <c r="O15" i="101"/>
  <c r="P15" i="101"/>
  <c r="Q15" i="101"/>
  <c r="S15" i="101"/>
  <c r="T15" i="101"/>
  <c r="A16" i="101"/>
  <c r="C16" i="101"/>
  <c r="D16" i="101"/>
  <c r="E16" i="101"/>
  <c r="F16" i="101"/>
  <c r="G16" i="101"/>
  <c r="H16" i="101"/>
  <c r="I16" i="101"/>
  <c r="J16" i="101"/>
  <c r="K16" i="101"/>
  <c r="L16" i="101"/>
  <c r="M16" i="101"/>
  <c r="N16" i="101"/>
  <c r="O16" i="101"/>
  <c r="P16" i="101"/>
  <c r="Q16" i="101"/>
  <c r="S16" i="101"/>
  <c r="T16" i="101"/>
  <c r="A17" i="101"/>
  <c r="C17" i="101"/>
  <c r="D17" i="101"/>
  <c r="E17" i="101"/>
  <c r="F17" i="101"/>
  <c r="G17" i="101"/>
  <c r="H17" i="101"/>
  <c r="I17" i="101"/>
  <c r="J17" i="101"/>
  <c r="K17" i="101"/>
  <c r="L17" i="101"/>
  <c r="M17" i="101"/>
  <c r="N17" i="101"/>
  <c r="O17" i="101"/>
  <c r="P17" i="101"/>
  <c r="Q17" i="101"/>
  <c r="S17" i="101"/>
  <c r="T17" i="101"/>
  <c r="A18" i="101"/>
  <c r="C18" i="101"/>
  <c r="D18" i="101"/>
  <c r="E18" i="101"/>
  <c r="F18" i="101"/>
  <c r="G18" i="101"/>
  <c r="H18" i="101"/>
  <c r="I18" i="101"/>
  <c r="J18" i="101"/>
  <c r="K18" i="101"/>
  <c r="L18" i="101"/>
  <c r="M18" i="101"/>
  <c r="N18" i="101"/>
  <c r="O18" i="101"/>
  <c r="P18" i="101"/>
  <c r="Q18" i="101"/>
  <c r="S18" i="101"/>
  <c r="T18" i="101"/>
  <c r="A19" i="101"/>
  <c r="C19" i="101"/>
  <c r="D19" i="101"/>
  <c r="E19" i="101"/>
  <c r="F19" i="101"/>
  <c r="G19" i="101"/>
  <c r="H19" i="101"/>
  <c r="I19" i="101"/>
  <c r="J19" i="101"/>
  <c r="K19" i="101"/>
  <c r="L19" i="101"/>
  <c r="M19" i="101"/>
  <c r="N19" i="101"/>
  <c r="O19" i="101"/>
  <c r="P19" i="101"/>
  <c r="Q19" i="101"/>
  <c r="S19" i="101"/>
  <c r="T19" i="101"/>
  <c r="A20" i="101"/>
  <c r="C20" i="101"/>
  <c r="D20" i="101"/>
  <c r="E20" i="101"/>
  <c r="F20" i="101"/>
  <c r="G20" i="101"/>
  <c r="H20" i="101"/>
  <c r="I20" i="101"/>
  <c r="J20" i="101"/>
  <c r="K20" i="101"/>
  <c r="L20" i="101"/>
  <c r="M20" i="101"/>
  <c r="N20" i="101"/>
  <c r="O20" i="101"/>
  <c r="P20" i="101"/>
  <c r="Q20" i="101"/>
  <c r="S20" i="101"/>
  <c r="T20" i="101"/>
  <c r="A21" i="101"/>
  <c r="C21" i="101"/>
  <c r="D21" i="101"/>
  <c r="E21" i="101"/>
  <c r="F21" i="101"/>
  <c r="G21" i="101"/>
  <c r="H21" i="101"/>
  <c r="I21" i="101"/>
  <c r="J21" i="101"/>
  <c r="K21" i="101"/>
  <c r="L21" i="101"/>
  <c r="M21" i="101"/>
  <c r="N21" i="101"/>
  <c r="O21" i="101"/>
  <c r="P21" i="101"/>
  <c r="Q21" i="101"/>
  <c r="S21" i="101"/>
  <c r="T21" i="101"/>
  <c r="A22" i="101"/>
  <c r="C22" i="101"/>
  <c r="D22" i="101"/>
  <c r="E22" i="101"/>
  <c r="F22" i="101"/>
  <c r="G22" i="101"/>
  <c r="H22" i="101"/>
  <c r="I22" i="101"/>
  <c r="J22" i="101"/>
  <c r="K22" i="101"/>
  <c r="L22" i="101"/>
  <c r="M22" i="101"/>
  <c r="N22" i="101"/>
  <c r="O22" i="101"/>
  <c r="P22" i="101"/>
  <c r="Q22" i="101"/>
  <c r="S22" i="101"/>
  <c r="T22" i="101"/>
  <c r="A23" i="101"/>
  <c r="C23" i="101"/>
  <c r="D23" i="101"/>
  <c r="E23" i="101"/>
  <c r="F23" i="101"/>
  <c r="G23" i="101"/>
  <c r="H23" i="101"/>
  <c r="I23" i="101"/>
  <c r="J23" i="101"/>
  <c r="K23" i="101"/>
  <c r="L23" i="101"/>
  <c r="M23" i="101"/>
  <c r="N23" i="101"/>
  <c r="O23" i="101"/>
  <c r="P23" i="101"/>
  <c r="Q23" i="101"/>
  <c r="S23" i="101"/>
  <c r="T23" i="101"/>
  <c r="A24" i="101"/>
  <c r="C24" i="101"/>
  <c r="D24" i="101"/>
  <c r="E24" i="101"/>
  <c r="F24" i="101"/>
  <c r="G24" i="101"/>
  <c r="H24" i="101"/>
  <c r="I24" i="101"/>
  <c r="J24" i="101"/>
  <c r="K24" i="101"/>
  <c r="L24" i="101"/>
  <c r="M24" i="101"/>
  <c r="N24" i="101"/>
  <c r="O24" i="101"/>
  <c r="P24" i="101"/>
  <c r="Q24" i="101"/>
  <c r="S24" i="101"/>
  <c r="T24" i="101"/>
  <c r="A25" i="101"/>
  <c r="C25" i="101"/>
  <c r="D25" i="101"/>
  <c r="E25" i="101"/>
  <c r="F25" i="101"/>
  <c r="G25" i="101"/>
  <c r="H25" i="101"/>
  <c r="I25" i="101"/>
  <c r="J25" i="101"/>
  <c r="K25" i="101"/>
  <c r="L25" i="101"/>
  <c r="M25" i="101"/>
  <c r="N25" i="101"/>
  <c r="O25" i="101"/>
  <c r="P25" i="101"/>
  <c r="Q25" i="101"/>
  <c r="S25" i="101"/>
  <c r="T25" i="101"/>
  <c r="A26" i="101"/>
  <c r="C26" i="101"/>
  <c r="D26" i="101"/>
  <c r="E26" i="101"/>
  <c r="F26" i="101"/>
  <c r="G26" i="101"/>
  <c r="H26" i="101"/>
  <c r="I26" i="101"/>
  <c r="J26" i="101"/>
  <c r="K26" i="101"/>
  <c r="L26" i="101"/>
  <c r="M26" i="101"/>
  <c r="N26" i="101"/>
  <c r="O26" i="101"/>
  <c r="P26" i="101"/>
  <c r="Q26" i="101"/>
  <c r="S26" i="101"/>
  <c r="T26" i="101"/>
  <c r="A27" i="101"/>
  <c r="C27" i="101"/>
  <c r="D27" i="101"/>
  <c r="E27" i="101"/>
  <c r="F27" i="101"/>
  <c r="G27" i="101"/>
  <c r="H27" i="101"/>
  <c r="I27" i="101"/>
  <c r="J27" i="101"/>
  <c r="K27" i="101"/>
  <c r="L27" i="101"/>
  <c r="M27" i="101"/>
  <c r="N27" i="101"/>
  <c r="O27" i="101"/>
  <c r="P27" i="101"/>
  <c r="Q27" i="101"/>
  <c r="S27" i="101"/>
  <c r="T27" i="101"/>
  <c r="A28" i="101"/>
  <c r="C28" i="101"/>
  <c r="D28" i="101"/>
  <c r="E28" i="101"/>
  <c r="F28" i="101"/>
  <c r="G28" i="101"/>
  <c r="H28" i="101"/>
  <c r="I28" i="101"/>
  <c r="J28" i="101"/>
  <c r="K28" i="101"/>
  <c r="L28" i="101"/>
  <c r="M28" i="101"/>
  <c r="N28" i="101"/>
  <c r="O28" i="101"/>
  <c r="P28" i="101"/>
  <c r="Q28" i="101"/>
  <c r="S28" i="101"/>
  <c r="T28" i="101"/>
  <c r="A29" i="101"/>
  <c r="C29" i="101"/>
  <c r="D29" i="101"/>
  <c r="E29" i="101"/>
  <c r="F29" i="101"/>
  <c r="G29" i="101"/>
  <c r="H29" i="101"/>
  <c r="I29" i="101"/>
  <c r="J29" i="101"/>
  <c r="K29" i="101"/>
  <c r="L29" i="101"/>
  <c r="M29" i="101"/>
  <c r="N29" i="101"/>
  <c r="O29" i="101"/>
  <c r="P29" i="101"/>
  <c r="Q29" i="101"/>
  <c r="S29" i="101"/>
  <c r="T29" i="101"/>
  <c r="A30" i="101"/>
  <c r="C30" i="101"/>
  <c r="D30" i="101"/>
  <c r="E30" i="101"/>
  <c r="F30" i="101"/>
  <c r="G30" i="101"/>
  <c r="H30" i="101"/>
  <c r="I30" i="101"/>
  <c r="J30" i="101"/>
  <c r="K30" i="101"/>
  <c r="L30" i="101"/>
  <c r="M30" i="101"/>
  <c r="N30" i="101"/>
  <c r="O30" i="101"/>
  <c r="P30" i="101"/>
  <c r="Q30" i="101"/>
  <c r="S30" i="101"/>
  <c r="T30" i="101"/>
  <c r="Q32" i="101"/>
  <c r="S32" i="101"/>
  <c r="T32" i="101"/>
  <c r="C34" i="101"/>
  <c r="A41" i="101"/>
  <c r="C41" i="101"/>
  <c r="D41" i="101"/>
  <c r="E41" i="101"/>
  <c r="F41" i="101"/>
  <c r="G41" i="101"/>
  <c r="H41" i="101"/>
  <c r="I41" i="101"/>
  <c r="J41" i="101"/>
  <c r="K41" i="101"/>
  <c r="L41" i="101"/>
  <c r="M41" i="101"/>
  <c r="N41" i="101"/>
  <c r="O41" i="101"/>
  <c r="P41" i="101"/>
  <c r="Q41" i="101"/>
  <c r="S41" i="101"/>
  <c r="T41" i="101"/>
  <c r="A42" i="101"/>
  <c r="C42" i="101"/>
  <c r="D42" i="101"/>
  <c r="E42" i="101"/>
  <c r="F42" i="101"/>
  <c r="G42" i="101"/>
  <c r="H42" i="101"/>
  <c r="I42" i="101"/>
  <c r="J42" i="101"/>
  <c r="K42" i="101"/>
  <c r="L42" i="101"/>
  <c r="M42" i="101"/>
  <c r="N42" i="101"/>
  <c r="O42" i="101"/>
  <c r="P42" i="101"/>
  <c r="Q42" i="101"/>
  <c r="S42" i="101"/>
  <c r="T42" i="101"/>
  <c r="A43" i="101"/>
  <c r="C43" i="101"/>
  <c r="D43" i="101"/>
  <c r="E43" i="101"/>
  <c r="F43" i="101"/>
  <c r="G43" i="101"/>
  <c r="H43" i="101"/>
  <c r="I43" i="101"/>
  <c r="J43" i="101"/>
  <c r="K43" i="101"/>
  <c r="L43" i="101"/>
  <c r="M43" i="101"/>
  <c r="N43" i="101"/>
  <c r="O43" i="101"/>
  <c r="P43" i="101"/>
  <c r="Q43" i="101"/>
  <c r="S43" i="101"/>
  <c r="T43" i="101"/>
  <c r="A44" i="101"/>
  <c r="C44" i="101"/>
  <c r="D44" i="101"/>
  <c r="E44" i="101"/>
  <c r="F44" i="101"/>
  <c r="G44" i="101"/>
  <c r="H44" i="101"/>
  <c r="I44" i="101"/>
  <c r="J44" i="101"/>
  <c r="K44" i="101"/>
  <c r="L44" i="101"/>
  <c r="M44" i="101"/>
  <c r="N44" i="101"/>
  <c r="O44" i="101"/>
  <c r="P44" i="101"/>
  <c r="Q44" i="101"/>
  <c r="S44" i="101"/>
  <c r="T44" i="101"/>
  <c r="A45" i="101"/>
  <c r="C45" i="101"/>
  <c r="D45" i="101"/>
  <c r="E45" i="101"/>
  <c r="F45" i="101"/>
  <c r="G45" i="101"/>
  <c r="H45" i="101"/>
  <c r="I45" i="101"/>
  <c r="J45" i="101"/>
  <c r="K45" i="101"/>
  <c r="L45" i="101"/>
  <c r="M45" i="101"/>
  <c r="N45" i="101"/>
  <c r="O45" i="101"/>
  <c r="P45" i="101"/>
  <c r="Q45" i="101"/>
  <c r="S45" i="101"/>
  <c r="T45" i="101"/>
  <c r="A46" i="101"/>
  <c r="C46" i="101"/>
  <c r="D46" i="101"/>
  <c r="E46" i="101"/>
  <c r="F46" i="101"/>
  <c r="G46" i="101"/>
  <c r="H46" i="101"/>
  <c r="I46" i="101"/>
  <c r="J46" i="101"/>
  <c r="K46" i="101"/>
  <c r="L46" i="101"/>
  <c r="M46" i="101"/>
  <c r="N46" i="101"/>
  <c r="O46" i="101"/>
  <c r="P46" i="101"/>
  <c r="Q46" i="101"/>
  <c r="S46" i="101"/>
  <c r="T46" i="101"/>
  <c r="A47" i="101"/>
  <c r="C47" i="101"/>
  <c r="D47" i="101"/>
  <c r="E47" i="101"/>
  <c r="F47" i="101"/>
  <c r="G47" i="101"/>
  <c r="H47" i="101"/>
  <c r="I47" i="101"/>
  <c r="J47" i="101"/>
  <c r="K47" i="101"/>
  <c r="L47" i="101"/>
  <c r="M47" i="101"/>
  <c r="N47" i="101"/>
  <c r="O47" i="101"/>
  <c r="P47" i="101"/>
  <c r="Q47" i="101"/>
  <c r="S47" i="101"/>
  <c r="T47" i="101"/>
  <c r="A48" i="101"/>
  <c r="C48" i="101"/>
  <c r="D48" i="101"/>
  <c r="E48" i="101"/>
  <c r="F48" i="101"/>
  <c r="G48" i="101"/>
  <c r="H48" i="101"/>
  <c r="I48" i="101"/>
  <c r="J48" i="101"/>
  <c r="K48" i="101"/>
  <c r="L48" i="101"/>
  <c r="M48" i="101"/>
  <c r="N48" i="101"/>
  <c r="O48" i="101"/>
  <c r="P48" i="101"/>
  <c r="Q48" i="101"/>
  <c r="S48" i="101"/>
  <c r="T48" i="101"/>
  <c r="A49" i="101"/>
  <c r="C49" i="101"/>
  <c r="D49" i="101"/>
  <c r="E49" i="101"/>
  <c r="F49" i="101"/>
  <c r="G49" i="101"/>
  <c r="H49" i="101"/>
  <c r="I49" i="101"/>
  <c r="J49" i="101"/>
  <c r="K49" i="101"/>
  <c r="L49" i="101"/>
  <c r="M49" i="101"/>
  <c r="N49" i="101"/>
  <c r="O49" i="101"/>
  <c r="P49" i="101"/>
  <c r="Q49" i="101"/>
  <c r="S49" i="101"/>
  <c r="T49" i="101"/>
  <c r="A50" i="101"/>
  <c r="C50" i="101"/>
  <c r="D50" i="101"/>
  <c r="E50" i="101"/>
  <c r="F50" i="101"/>
  <c r="G50" i="101"/>
  <c r="H50" i="101"/>
  <c r="I50" i="101"/>
  <c r="J50" i="101"/>
  <c r="K50" i="101"/>
  <c r="L50" i="101"/>
  <c r="M50" i="101"/>
  <c r="N50" i="101"/>
  <c r="O50" i="101"/>
  <c r="P50" i="101"/>
  <c r="Q50" i="101"/>
  <c r="S50" i="101"/>
  <c r="T50" i="101"/>
  <c r="A51" i="101"/>
  <c r="C51" i="101"/>
  <c r="D51" i="101"/>
  <c r="E51" i="101"/>
  <c r="F51" i="101"/>
  <c r="G51" i="101"/>
  <c r="H51" i="101"/>
  <c r="I51" i="101"/>
  <c r="J51" i="101"/>
  <c r="K51" i="101"/>
  <c r="L51" i="101"/>
  <c r="M51" i="101"/>
  <c r="N51" i="101"/>
  <c r="O51" i="101"/>
  <c r="P51" i="101"/>
  <c r="Q51" i="101"/>
  <c r="S51" i="101"/>
  <c r="T51" i="101"/>
  <c r="A52" i="101"/>
  <c r="C52" i="101"/>
  <c r="D52" i="101"/>
  <c r="E52" i="101"/>
  <c r="F52" i="101"/>
  <c r="G52" i="101"/>
  <c r="H52" i="101"/>
  <c r="I52" i="101"/>
  <c r="J52" i="101"/>
  <c r="K52" i="101"/>
  <c r="L52" i="101"/>
  <c r="M52" i="101"/>
  <c r="N52" i="101"/>
  <c r="O52" i="101"/>
  <c r="P52" i="101"/>
  <c r="Q52" i="101"/>
  <c r="S52" i="101"/>
  <c r="T52" i="101"/>
  <c r="A53" i="101"/>
  <c r="C53" i="101"/>
  <c r="D53" i="101"/>
  <c r="E53" i="101"/>
  <c r="F53" i="101"/>
  <c r="G53" i="101"/>
  <c r="H53" i="101"/>
  <c r="I53" i="101"/>
  <c r="J53" i="101"/>
  <c r="K53" i="101"/>
  <c r="L53" i="101"/>
  <c r="M53" i="101"/>
  <c r="N53" i="101"/>
  <c r="O53" i="101"/>
  <c r="P53" i="101"/>
  <c r="Q53" i="101"/>
  <c r="S53" i="101"/>
  <c r="T53" i="101"/>
  <c r="A54" i="101"/>
  <c r="C54" i="101"/>
  <c r="D54" i="101"/>
  <c r="E54" i="101"/>
  <c r="F54" i="101"/>
  <c r="G54" i="101"/>
  <c r="H54" i="101"/>
  <c r="I54" i="101"/>
  <c r="J54" i="101"/>
  <c r="K54" i="101"/>
  <c r="L54" i="101"/>
  <c r="M54" i="101"/>
  <c r="N54" i="101"/>
  <c r="O54" i="101"/>
  <c r="P54" i="101"/>
  <c r="Q54" i="101"/>
  <c r="S54" i="101"/>
  <c r="T54" i="101"/>
  <c r="A55" i="101"/>
  <c r="C55" i="101"/>
  <c r="D55" i="101"/>
  <c r="E55" i="101"/>
  <c r="F55" i="101"/>
  <c r="G55" i="101"/>
  <c r="H55" i="101"/>
  <c r="I55" i="101"/>
  <c r="J55" i="101"/>
  <c r="K55" i="101"/>
  <c r="L55" i="101"/>
  <c r="M55" i="101"/>
  <c r="N55" i="101"/>
  <c r="P55" i="101"/>
  <c r="Q55" i="101"/>
  <c r="S55" i="101"/>
  <c r="T55" i="101"/>
  <c r="A56" i="101"/>
  <c r="C56" i="101"/>
  <c r="D56" i="101"/>
  <c r="E56" i="101"/>
  <c r="F56" i="101"/>
  <c r="G56" i="101"/>
  <c r="H56" i="101"/>
  <c r="I56" i="101"/>
  <c r="J56" i="101"/>
  <c r="K56" i="101"/>
  <c r="L56" i="101"/>
  <c r="M56" i="101"/>
  <c r="N56" i="101"/>
  <c r="P56" i="101"/>
  <c r="Q56" i="101"/>
  <c r="S56" i="101"/>
  <c r="T56" i="101"/>
  <c r="A57" i="101"/>
  <c r="C57" i="101"/>
  <c r="D57" i="101"/>
  <c r="E57" i="101"/>
  <c r="F57" i="101"/>
  <c r="G57" i="101"/>
  <c r="H57" i="101"/>
  <c r="I57" i="101"/>
  <c r="J57" i="101"/>
  <c r="K57" i="101"/>
  <c r="L57" i="101"/>
  <c r="M57" i="101"/>
  <c r="N57" i="101"/>
  <c r="P57" i="101"/>
  <c r="Q57" i="101"/>
  <c r="S57" i="101"/>
  <c r="T57" i="101"/>
  <c r="A58" i="101"/>
  <c r="C58" i="101"/>
  <c r="D58" i="101"/>
  <c r="E58" i="101"/>
  <c r="F58" i="101"/>
  <c r="G58" i="101"/>
  <c r="H58" i="101"/>
  <c r="I58" i="101"/>
  <c r="J58" i="101"/>
  <c r="K58" i="101"/>
  <c r="L58" i="101"/>
  <c r="M58" i="101"/>
  <c r="N58" i="101"/>
  <c r="O58" i="101"/>
  <c r="P58" i="101"/>
  <c r="Q58" i="101"/>
  <c r="S58" i="101"/>
  <c r="T58" i="101"/>
  <c r="A59" i="101"/>
  <c r="C59" i="101"/>
  <c r="D59" i="101"/>
  <c r="E59" i="101"/>
  <c r="F59" i="101"/>
  <c r="G59" i="101"/>
  <c r="H59" i="101"/>
  <c r="I59" i="101"/>
  <c r="J59" i="101"/>
  <c r="K59" i="101"/>
  <c r="L59" i="101"/>
  <c r="M59" i="101"/>
  <c r="N59" i="101"/>
  <c r="O59" i="101"/>
  <c r="P59" i="101"/>
  <c r="Q59" i="101"/>
  <c r="S59" i="101"/>
  <c r="T59" i="101"/>
  <c r="A60" i="101"/>
  <c r="C60" i="101"/>
  <c r="D60" i="101"/>
  <c r="E60" i="101"/>
  <c r="F60" i="101"/>
  <c r="G60" i="101"/>
  <c r="H60" i="101"/>
  <c r="I60" i="101"/>
  <c r="J60" i="101"/>
  <c r="K60" i="101"/>
  <c r="L60" i="101"/>
  <c r="M60" i="101"/>
  <c r="N60" i="101"/>
  <c r="O60" i="101"/>
  <c r="P60" i="101"/>
  <c r="Q60" i="101"/>
  <c r="S60" i="101"/>
  <c r="T60" i="101"/>
  <c r="A61" i="101"/>
  <c r="C61" i="101"/>
  <c r="D61" i="101"/>
  <c r="E61" i="101"/>
  <c r="F61" i="101"/>
  <c r="G61" i="101"/>
  <c r="H61" i="101"/>
  <c r="I61" i="101"/>
  <c r="J61" i="101"/>
  <c r="K61" i="101"/>
  <c r="L61" i="101"/>
  <c r="M61" i="101"/>
  <c r="N61" i="101"/>
  <c r="O61" i="101"/>
  <c r="P61" i="101"/>
  <c r="Q61" i="101"/>
  <c r="S61" i="101"/>
  <c r="T61" i="101"/>
  <c r="A62" i="101"/>
  <c r="C62" i="101"/>
  <c r="D62" i="101"/>
  <c r="E62" i="101"/>
  <c r="F62" i="101"/>
  <c r="G62" i="101"/>
  <c r="H62" i="101"/>
  <c r="I62" i="101"/>
  <c r="J62" i="101"/>
  <c r="K62" i="101"/>
  <c r="L62" i="101"/>
  <c r="M62" i="101"/>
  <c r="N62" i="101"/>
  <c r="O62" i="101"/>
  <c r="P62" i="101"/>
  <c r="Q62" i="101"/>
  <c r="S62" i="101"/>
  <c r="T62" i="101"/>
  <c r="A63" i="101"/>
  <c r="C63" i="101"/>
  <c r="D63" i="101"/>
  <c r="E63" i="101"/>
  <c r="F63" i="101"/>
  <c r="G63" i="101"/>
  <c r="H63" i="101"/>
  <c r="I63" i="101"/>
  <c r="J63" i="101"/>
  <c r="K63" i="101"/>
  <c r="L63" i="101"/>
  <c r="M63" i="101"/>
  <c r="N63" i="101"/>
  <c r="O63" i="101"/>
  <c r="P63" i="101"/>
  <c r="Q63" i="101"/>
  <c r="S63" i="101"/>
  <c r="T63" i="101"/>
  <c r="A64" i="101"/>
  <c r="C64" i="101"/>
  <c r="D64" i="101"/>
  <c r="E64" i="101"/>
  <c r="F64" i="101"/>
  <c r="G64" i="101"/>
  <c r="H64" i="101"/>
  <c r="I64" i="101"/>
  <c r="J64" i="101"/>
  <c r="K64" i="101"/>
  <c r="L64" i="101"/>
  <c r="M64" i="101"/>
  <c r="N64" i="101"/>
  <c r="O64" i="101"/>
  <c r="P64" i="101"/>
  <c r="Q64" i="101"/>
  <c r="S64" i="101"/>
  <c r="T64" i="101"/>
  <c r="Q66" i="101"/>
  <c r="C68" i="101"/>
</calcChain>
</file>

<file path=xl/sharedStrings.xml><?xml version="1.0" encoding="utf-8"?>
<sst xmlns="http://schemas.openxmlformats.org/spreadsheetml/2006/main" count="1928" uniqueCount="37">
  <si>
    <t>Profit Sharing Summary</t>
  </si>
  <si>
    <t>Operation Day:</t>
  </si>
  <si>
    <t>Gen Cost Reference</t>
  </si>
  <si>
    <t>Gross Savings</t>
  </si>
  <si>
    <t>Net Share of Savings (Per Agreement)</t>
  </si>
  <si>
    <t>Costs by each party</t>
  </si>
  <si>
    <t>Net Profit/Savings Summary</t>
  </si>
  <si>
    <t>MDEA Gross Savings</t>
  </si>
  <si>
    <t>EPMI Share</t>
  </si>
  <si>
    <t>MDEA Share</t>
  </si>
  <si>
    <t>Per Mwh</t>
  </si>
  <si>
    <t>Cost * Mwh</t>
  </si>
  <si>
    <t>Day-Ahead</t>
  </si>
  <si>
    <t>Day-Ahead Gen</t>
  </si>
  <si>
    <t>(BEFORE EPMI Share)</t>
  </si>
  <si>
    <t>40% Pk,$1 OffPk</t>
  </si>
  <si>
    <t>60% Share Pk*</t>
  </si>
  <si>
    <t>40% Share Pk</t>
  </si>
  <si>
    <t>60% Share Pk</t>
  </si>
  <si>
    <t>(EPMI to bill MDEA)</t>
  </si>
  <si>
    <t>EPMI</t>
  </si>
  <si>
    <t>MDEA</t>
  </si>
  <si>
    <t>Date</t>
  </si>
  <si>
    <t>Hour</t>
  </si>
  <si>
    <t>Qty</t>
  </si>
  <si>
    <t>Delivered Market Price</t>
  </si>
  <si>
    <t>Gas Cdale</t>
  </si>
  <si>
    <t>Gas Yazoo City</t>
  </si>
  <si>
    <t>Gen Cost</t>
  </si>
  <si>
    <t>Mkt vs. Gen Cost (per Mwh)</t>
  </si>
  <si>
    <t>Per Mwh Savings * Mwhs</t>
  </si>
  <si>
    <t>(Profit)</t>
  </si>
  <si>
    <t>(Savings)</t>
  </si>
  <si>
    <t>match value</t>
  </si>
  <si>
    <t>Day-Ahead Transactions</t>
  </si>
  <si>
    <t>Real-Time Transactions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</si>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</sst>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mm\ d\,\ 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44" fontId="0" fillId="0" borderId="0" xfId="1" applyFont="1"/>
    <xf numFmtId="0" fontId="0" fillId="0" borderId="0" xfId="0" applyFill="1"/>
    <xf numFmtId="164" fontId="2" fillId="0" borderId="1" xfId="0" applyNumberFormat="1" applyFont="1" applyFill="1" applyBorder="1"/>
    <xf numFmtId="44" fontId="2" fillId="0" borderId="0" xfId="1" applyFont="1" applyAlignment="1">
      <alignment horizontal="center"/>
    </xf>
    <xf numFmtId="0" fontId="2" fillId="0" borderId="0" xfId="0" applyFont="1"/>
    <xf numFmtId="44" fontId="2" fillId="0" borderId="0" xfId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44" fontId="0" fillId="0" borderId="6" xfId="1" applyFont="1" applyBorder="1"/>
    <xf numFmtId="44" fontId="2" fillId="0" borderId="4" xfId="1" applyFont="1" applyBorder="1" applyAlignment="1">
      <alignment horizontal="center"/>
    </xf>
    <xf numFmtId="0" fontId="0" fillId="0" borderId="4" xfId="0" applyFill="1" applyBorder="1"/>
    <xf numFmtId="0" fontId="3" fillId="2" borderId="7" xfId="0" applyFont="1" applyFill="1" applyBorder="1" applyAlignment="1">
      <alignment horizontal="center"/>
    </xf>
    <xf numFmtId="44" fontId="2" fillId="0" borderId="5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4" xfId="1" applyFont="1" applyFill="1" applyBorder="1" applyAlignment="1">
      <alignment horizontal="center"/>
    </xf>
    <xf numFmtId="44" fontId="3" fillId="2" borderId="8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" fontId="0" fillId="0" borderId="2" xfId="0" applyNumberFormat="1" applyBorder="1"/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4" fillId="0" borderId="3" xfId="1" applyFont="1" applyFill="1" applyBorder="1" applyAlignment="1">
      <alignment horizontal="center"/>
    </xf>
    <xf numFmtId="44" fontId="4" fillId="0" borderId="6" xfId="1" applyFont="1" applyFill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2" xfId="1" applyFont="1" applyFill="1" applyBorder="1" applyAlignment="1">
      <alignment horizontal="center"/>
    </xf>
    <xf numFmtId="44" fontId="0" fillId="0" borderId="3" xfId="0" applyNumberFormat="1" applyFill="1" applyBorder="1"/>
    <xf numFmtId="44" fontId="0" fillId="0" borderId="6" xfId="1" applyFont="1" applyFill="1" applyBorder="1"/>
    <xf numFmtId="44" fontId="0" fillId="0" borderId="2" xfId="0" applyNumberFormat="1" applyFill="1" applyBorder="1"/>
    <xf numFmtId="44" fontId="0" fillId="0" borderId="6" xfId="0" applyNumberFormat="1" applyFill="1" applyBorder="1"/>
    <xf numFmtId="44" fontId="0" fillId="0" borderId="7" xfId="0" applyNumberFormat="1" applyFill="1" applyBorder="1"/>
    <xf numFmtId="44" fontId="0" fillId="0" borderId="0" xfId="0" applyNumberFormat="1" applyFill="1" applyBorder="1"/>
    <xf numFmtId="44" fontId="0" fillId="0" borderId="2" xfId="1" applyFont="1" applyFill="1" applyBorder="1"/>
    <xf numFmtId="44" fontId="0" fillId="0" borderId="6" xfId="1" applyFont="1" applyFill="1" applyBorder="1" applyAlignment="1">
      <alignment horizontal="center"/>
    </xf>
    <xf numFmtId="0" fontId="0" fillId="0" borderId="0" xfId="0" quotePrefix="1"/>
    <xf numFmtId="16" fontId="0" fillId="0" borderId="4" xfId="0" applyNumberFormat="1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4" fillId="0" borderId="0" xfId="1" applyFont="1" applyFill="1" applyBorder="1" applyAlignment="1">
      <alignment horizontal="center"/>
    </xf>
    <xf numFmtId="44" fontId="4" fillId="0" borderId="5" xfId="1" applyFont="1" applyFill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4" xfId="1" applyFont="1" applyFill="1" applyBorder="1" applyAlignment="1">
      <alignment horizontal="center"/>
    </xf>
    <xf numFmtId="44" fontId="0" fillId="0" borderId="5" xfId="1" applyFont="1" applyFill="1" applyBorder="1"/>
    <xf numFmtId="44" fontId="0" fillId="0" borderId="4" xfId="0" applyNumberFormat="1" applyFill="1" applyBorder="1"/>
    <xf numFmtId="44" fontId="0" fillId="0" borderId="5" xfId="0" applyNumberFormat="1" applyFill="1" applyBorder="1"/>
    <xf numFmtId="44" fontId="0" fillId="0" borderId="8" xfId="0" applyNumberFormat="1" applyFill="1" applyBorder="1"/>
    <xf numFmtId="44" fontId="0" fillId="0" borderId="4" xfId="1" applyFont="1" applyFill="1" applyBorder="1"/>
    <xf numFmtId="44" fontId="0" fillId="0" borderId="5" xfId="1" applyFont="1" applyFill="1" applyBorder="1" applyAlignment="1">
      <alignment horizontal="center"/>
    </xf>
    <xf numFmtId="44" fontId="1" fillId="0" borderId="4" xfId="1" applyFill="1" applyBorder="1" applyAlignment="1">
      <alignment horizontal="center"/>
    </xf>
    <xf numFmtId="44" fontId="1" fillId="0" borderId="0" xfId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" fontId="0" fillId="0" borderId="9" xfId="0" applyNumberFormat="1" applyBorder="1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4" fillId="0" borderId="10" xfId="1" applyFont="1" applyFill="1" applyBorder="1" applyAlignment="1">
      <alignment horizontal="center"/>
    </xf>
    <xf numFmtId="44" fontId="4" fillId="0" borderId="11" xfId="1" applyFont="1" applyFill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44" fontId="0" fillId="0" borderId="9" xfId="1" applyFont="1" applyFill="1" applyBorder="1" applyAlignment="1">
      <alignment horizontal="center"/>
    </xf>
    <xf numFmtId="44" fontId="0" fillId="0" borderId="10" xfId="0" applyNumberFormat="1" applyFill="1" applyBorder="1"/>
    <xf numFmtId="44" fontId="0" fillId="0" borderId="11" xfId="1" applyFont="1" applyFill="1" applyBorder="1"/>
    <xf numFmtId="44" fontId="0" fillId="0" borderId="9" xfId="0" applyNumberFormat="1" applyFill="1" applyBorder="1"/>
    <xf numFmtId="44" fontId="0" fillId="0" borderId="11" xfId="0" applyNumberFormat="1" applyFill="1" applyBorder="1"/>
    <xf numFmtId="44" fontId="0" fillId="0" borderId="12" xfId="0" applyNumberFormat="1" applyFill="1" applyBorder="1"/>
    <xf numFmtId="44" fontId="0" fillId="0" borderId="9" xfId="1" applyFont="1" applyFill="1" applyBorder="1"/>
    <xf numFmtId="44" fontId="0" fillId="0" borderId="11" xfId="1" applyFont="1" applyFill="1" applyBorder="1" applyAlignment="1">
      <alignment horizontal="center"/>
    </xf>
    <xf numFmtId="0" fontId="4" fillId="0" borderId="0" xfId="0" applyFont="1"/>
    <xf numFmtId="44" fontId="2" fillId="0" borderId="0" xfId="0" applyNumberFormat="1" applyFont="1"/>
    <xf numFmtId="44" fontId="0" fillId="0" borderId="0" xfId="1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44" fontId="2" fillId="0" borderId="1" xfId="0" applyNumberFormat="1" applyFont="1" applyFill="1" applyBorder="1" applyAlignment="1">
      <alignment horizontal="right"/>
    </xf>
    <xf numFmtId="44" fontId="2" fillId="0" borderId="0" xfId="0" applyNumberFormat="1" applyFont="1" applyFill="1" applyAlignment="1">
      <alignment horizontal="right"/>
    </xf>
    <xf numFmtId="164" fontId="2" fillId="3" borderId="1" xfId="0" applyNumberFormat="1" applyFont="1" applyFill="1" applyBorder="1"/>
    <xf numFmtId="16" fontId="2" fillId="0" borderId="0" xfId="0" applyNumberFormat="1" applyFont="1"/>
    <xf numFmtId="44" fontId="0" fillId="0" borderId="6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1" fillId="0" borderId="0" xfId="1"/>
    <xf numFmtId="44" fontId="1" fillId="0" borderId="6" xfId="1" applyBorder="1"/>
    <xf numFmtId="44" fontId="1" fillId="0" borderId="6" xfId="1" applyBorder="1" applyAlignment="1">
      <alignment horizontal="center"/>
    </xf>
    <xf numFmtId="44" fontId="1" fillId="0" borderId="2" xfId="1" applyFill="1" applyBorder="1" applyAlignment="1">
      <alignment horizontal="center"/>
    </xf>
    <xf numFmtId="44" fontId="1" fillId="0" borderId="6" xfId="1" applyFill="1" applyBorder="1"/>
    <xf numFmtId="44" fontId="1" fillId="0" borderId="2" xfId="1" applyFill="1" applyBorder="1"/>
    <xf numFmtId="44" fontId="1" fillId="0" borderId="6" xfId="1" applyFill="1" applyBorder="1" applyAlignment="1">
      <alignment horizontal="center"/>
    </xf>
    <xf numFmtId="44" fontId="1" fillId="0" borderId="5" xfId="1" applyBorder="1" applyAlignment="1">
      <alignment horizontal="center"/>
    </xf>
    <xf numFmtId="44" fontId="1" fillId="0" borderId="5" xfId="1" applyFill="1" applyBorder="1"/>
    <xf numFmtId="44" fontId="1" fillId="0" borderId="4" xfId="1" applyFill="1" applyBorder="1"/>
    <xf numFmtId="44" fontId="1" fillId="0" borderId="5" xfId="1" applyFill="1" applyBorder="1" applyAlignment="1">
      <alignment horizontal="center"/>
    </xf>
    <xf numFmtId="44" fontId="1" fillId="0" borderId="11" xfId="1" applyBorder="1" applyAlignment="1">
      <alignment horizontal="center"/>
    </xf>
    <xf numFmtId="44" fontId="1" fillId="0" borderId="9" xfId="1" applyFill="1" applyBorder="1" applyAlignment="1">
      <alignment horizontal="center"/>
    </xf>
    <xf numFmtId="44" fontId="1" fillId="0" borderId="11" xfId="1" applyFill="1" applyBorder="1"/>
    <xf numFmtId="44" fontId="1" fillId="0" borderId="9" xfId="1" applyFill="1" applyBorder="1"/>
    <xf numFmtId="44" fontId="1" fillId="0" borderId="11" xfId="1" applyFill="1" applyBorder="1" applyAlignment="1">
      <alignment horizontal="center"/>
    </xf>
    <xf numFmtId="44" fontId="1" fillId="0" borderId="0" xfId="1" applyFill="1"/>
    <xf numFmtId="44" fontId="1" fillId="0" borderId="3" xfId="1" applyBorder="1" applyAlignment="1">
      <alignment horizontal="center"/>
    </xf>
    <xf numFmtId="44" fontId="1" fillId="0" borderId="0" xfId="1" applyBorder="1" applyAlignment="1">
      <alignment horizontal="center"/>
    </xf>
    <xf numFmtId="44" fontId="1" fillId="0" borderId="10" xfId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4"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DEA%20Profit%20Shar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port"/>
      <sheetName val="P&amp;L"/>
      <sheetName val="P&amp;L DA purchases"/>
      <sheetName val="P&amp;L RT Purchases"/>
      <sheetName val="Bogey &amp; Gas Price"/>
    </sheetNames>
    <sheetDataSet>
      <sheetData sheetId="0"/>
      <sheetData sheetId="1"/>
      <sheetData sheetId="2">
        <row r="7">
          <cell r="A7">
            <v>37012</v>
          </cell>
        </row>
        <row r="8">
          <cell r="A8">
            <v>37012</v>
          </cell>
        </row>
        <row r="9">
          <cell r="A9">
            <v>37012</v>
          </cell>
        </row>
        <row r="10">
          <cell r="A10">
            <v>37012</v>
          </cell>
        </row>
        <row r="11">
          <cell r="A11">
            <v>37012</v>
          </cell>
        </row>
        <row r="12">
          <cell r="A12">
            <v>37012</v>
          </cell>
        </row>
        <row r="13">
          <cell r="A13">
            <v>37012</v>
          </cell>
        </row>
        <row r="14">
          <cell r="A14">
            <v>37012</v>
          </cell>
        </row>
        <row r="15">
          <cell r="A15">
            <v>37012</v>
          </cell>
        </row>
        <row r="16">
          <cell r="A16">
            <v>37012</v>
          </cell>
        </row>
        <row r="17">
          <cell r="A17">
            <v>37012</v>
          </cell>
        </row>
        <row r="18">
          <cell r="A18">
            <v>37012</v>
          </cell>
        </row>
        <row r="19">
          <cell r="A19">
            <v>37012</v>
          </cell>
        </row>
        <row r="20">
          <cell r="A20">
            <v>37012</v>
          </cell>
        </row>
        <row r="21">
          <cell r="A21">
            <v>37012</v>
          </cell>
        </row>
        <row r="22">
          <cell r="A22">
            <v>37012</v>
          </cell>
        </row>
        <row r="23">
          <cell r="A23">
            <v>37012</v>
          </cell>
        </row>
        <row r="24">
          <cell r="A24">
            <v>37012</v>
          </cell>
        </row>
        <row r="25">
          <cell r="A25">
            <v>37012</v>
          </cell>
        </row>
        <row r="26">
          <cell r="A26">
            <v>37012</v>
          </cell>
        </row>
        <row r="27">
          <cell r="A27">
            <v>37012</v>
          </cell>
        </row>
        <row r="28">
          <cell r="A28">
            <v>37012</v>
          </cell>
        </row>
        <row r="29">
          <cell r="A29">
            <v>37012</v>
          </cell>
        </row>
        <row r="30">
          <cell r="A30">
            <v>37012</v>
          </cell>
        </row>
        <row r="31">
          <cell r="A31">
            <v>37013</v>
          </cell>
        </row>
        <row r="32">
          <cell r="A32">
            <v>37013</v>
          </cell>
        </row>
        <row r="33">
          <cell r="A33">
            <v>37013</v>
          </cell>
        </row>
        <row r="34">
          <cell r="A34">
            <v>37013</v>
          </cell>
        </row>
        <row r="35">
          <cell r="A35">
            <v>37013</v>
          </cell>
        </row>
        <row r="36">
          <cell r="A36">
            <v>37013</v>
          </cell>
        </row>
        <row r="37">
          <cell r="A37">
            <v>37013</v>
          </cell>
          <cell r="C37">
            <v>16</v>
          </cell>
          <cell r="D37">
            <v>47.5</v>
          </cell>
        </row>
        <row r="38">
          <cell r="A38">
            <v>37013</v>
          </cell>
          <cell r="C38">
            <v>25</v>
          </cell>
          <cell r="D38">
            <v>47.5</v>
          </cell>
        </row>
        <row r="39">
          <cell r="A39">
            <v>37013</v>
          </cell>
          <cell r="C39">
            <v>25</v>
          </cell>
          <cell r="D39">
            <v>47.5</v>
          </cell>
        </row>
        <row r="40">
          <cell r="A40">
            <v>37013</v>
          </cell>
          <cell r="C40">
            <v>25</v>
          </cell>
          <cell r="D40">
            <v>47.5</v>
          </cell>
        </row>
        <row r="41">
          <cell r="A41">
            <v>37013</v>
          </cell>
          <cell r="C41">
            <v>25</v>
          </cell>
          <cell r="D41">
            <v>47.5</v>
          </cell>
        </row>
        <row r="42">
          <cell r="A42">
            <v>37013</v>
          </cell>
          <cell r="C42">
            <v>25</v>
          </cell>
          <cell r="D42">
            <v>47.5</v>
          </cell>
        </row>
        <row r="43">
          <cell r="A43">
            <v>37013</v>
          </cell>
          <cell r="C43">
            <v>25</v>
          </cell>
          <cell r="D43">
            <v>47.5</v>
          </cell>
        </row>
        <row r="44">
          <cell r="A44">
            <v>37013</v>
          </cell>
          <cell r="C44">
            <v>25</v>
          </cell>
          <cell r="D44">
            <v>47.5</v>
          </cell>
        </row>
        <row r="45">
          <cell r="A45">
            <v>37013</v>
          </cell>
          <cell r="C45">
            <v>25</v>
          </cell>
          <cell r="D45">
            <v>47.5</v>
          </cell>
        </row>
        <row r="46">
          <cell r="A46">
            <v>37013</v>
          </cell>
          <cell r="C46">
            <v>25</v>
          </cell>
          <cell r="D46">
            <v>47.5</v>
          </cell>
        </row>
        <row r="47">
          <cell r="A47">
            <v>37013</v>
          </cell>
          <cell r="C47">
            <v>25</v>
          </cell>
          <cell r="D47">
            <v>47.5</v>
          </cell>
        </row>
        <row r="48">
          <cell r="A48">
            <v>37013</v>
          </cell>
          <cell r="C48">
            <v>25</v>
          </cell>
          <cell r="D48">
            <v>47.5</v>
          </cell>
        </row>
        <row r="49">
          <cell r="A49">
            <v>37013</v>
          </cell>
          <cell r="C49">
            <v>25</v>
          </cell>
          <cell r="D49">
            <v>47.5</v>
          </cell>
        </row>
        <row r="50">
          <cell r="A50">
            <v>37013</v>
          </cell>
          <cell r="C50">
            <v>25</v>
          </cell>
          <cell r="D50">
            <v>47.5</v>
          </cell>
        </row>
        <row r="51">
          <cell r="A51">
            <v>37013</v>
          </cell>
          <cell r="C51">
            <v>25</v>
          </cell>
          <cell r="D51">
            <v>47.5</v>
          </cell>
        </row>
        <row r="52">
          <cell r="A52">
            <v>37013</v>
          </cell>
          <cell r="C52">
            <v>25</v>
          </cell>
          <cell r="D52">
            <v>47.5</v>
          </cell>
        </row>
        <row r="53">
          <cell r="A53">
            <v>37013</v>
          </cell>
        </row>
        <row r="54">
          <cell r="A54">
            <v>37013</v>
          </cell>
        </row>
        <row r="55">
          <cell r="A55">
            <v>37014</v>
          </cell>
          <cell r="C55">
            <v>15</v>
          </cell>
          <cell r="D55">
            <v>20</v>
          </cell>
        </row>
        <row r="56">
          <cell r="A56">
            <v>37014</v>
          </cell>
          <cell r="C56">
            <v>15</v>
          </cell>
          <cell r="D56">
            <v>20</v>
          </cell>
        </row>
        <row r="57">
          <cell r="A57">
            <v>37014</v>
          </cell>
          <cell r="C57">
            <v>15</v>
          </cell>
          <cell r="D57">
            <v>20</v>
          </cell>
        </row>
        <row r="58">
          <cell r="A58">
            <v>37014</v>
          </cell>
          <cell r="C58">
            <v>15</v>
          </cell>
          <cell r="D58">
            <v>20</v>
          </cell>
        </row>
        <row r="59">
          <cell r="A59">
            <v>37014</v>
          </cell>
          <cell r="C59">
            <v>15</v>
          </cell>
          <cell r="D59">
            <v>20</v>
          </cell>
        </row>
        <row r="60">
          <cell r="A60">
            <v>37014</v>
          </cell>
          <cell r="C60">
            <v>15</v>
          </cell>
          <cell r="D60">
            <v>20</v>
          </cell>
        </row>
        <row r="61">
          <cell r="A61">
            <v>37014</v>
          </cell>
          <cell r="C61">
            <v>20</v>
          </cell>
          <cell r="D61">
            <v>50</v>
          </cell>
        </row>
        <row r="62">
          <cell r="A62">
            <v>37014</v>
          </cell>
          <cell r="C62">
            <v>20</v>
          </cell>
          <cell r="D62">
            <v>50</v>
          </cell>
        </row>
        <row r="63">
          <cell r="A63">
            <v>37014</v>
          </cell>
          <cell r="C63">
            <v>21.126818092924395</v>
          </cell>
          <cell r="D63">
            <v>50</v>
          </cell>
        </row>
        <row r="64">
          <cell r="A64">
            <v>37014</v>
          </cell>
          <cell r="C64">
            <v>23.715465046674097</v>
          </cell>
          <cell r="D64">
            <v>50</v>
          </cell>
        </row>
        <row r="65">
          <cell r="A65">
            <v>37014</v>
          </cell>
          <cell r="C65">
            <v>23.374438612548701</v>
          </cell>
          <cell r="D65">
            <v>50</v>
          </cell>
        </row>
        <row r="66">
          <cell r="A66">
            <v>37014</v>
          </cell>
          <cell r="C66">
            <v>25.322940262234901</v>
          </cell>
          <cell r="D66">
            <v>50</v>
          </cell>
        </row>
        <row r="67">
          <cell r="A67">
            <v>37014</v>
          </cell>
          <cell r="C67">
            <v>24.493732343134496</v>
          </cell>
          <cell r="D67">
            <v>50</v>
          </cell>
        </row>
        <row r="68">
          <cell r="A68">
            <v>37014</v>
          </cell>
          <cell r="C68">
            <v>24.294912156213599</v>
          </cell>
          <cell r="D68">
            <v>50</v>
          </cell>
        </row>
        <row r="69">
          <cell r="A69">
            <v>37014</v>
          </cell>
          <cell r="C69">
            <v>25.363422046692399</v>
          </cell>
          <cell r="D69">
            <v>50</v>
          </cell>
        </row>
        <row r="70">
          <cell r="A70">
            <v>37014</v>
          </cell>
          <cell r="C70">
            <v>26.156870753818801</v>
          </cell>
          <cell r="D70">
            <v>50</v>
          </cell>
        </row>
        <row r="71">
          <cell r="A71">
            <v>37014</v>
          </cell>
          <cell r="C71">
            <v>23.944801030868803</v>
          </cell>
          <cell r="D71">
            <v>50</v>
          </cell>
        </row>
        <row r="72">
          <cell r="A72">
            <v>37014</v>
          </cell>
          <cell r="C72">
            <v>22.490152223263301</v>
          </cell>
          <cell r="D72">
            <v>50</v>
          </cell>
        </row>
        <row r="73">
          <cell r="A73">
            <v>37014</v>
          </cell>
          <cell r="C73">
            <v>23.027796395488195</v>
          </cell>
          <cell r="D73">
            <v>50</v>
          </cell>
        </row>
        <row r="74">
          <cell r="A74">
            <v>37014</v>
          </cell>
          <cell r="C74">
            <v>21.842478541566003</v>
          </cell>
          <cell r="D74">
            <v>50</v>
          </cell>
        </row>
        <row r="75">
          <cell r="A75">
            <v>37014</v>
          </cell>
          <cell r="C75">
            <v>24.8374741468255</v>
          </cell>
          <cell r="D75">
            <v>50</v>
          </cell>
        </row>
        <row r="76">
          <cell r="A76">
            <v>37014</v>
          </cell>
          <cell r="C76">
            <v>24.617253253736003</v>
          </cell>
          <cell r="D76">
            <v>50</v>
          </cell>
        </row>
        <row r="77">
          <cell r="A77">
            <v>37014</v>
          </cell>
          <cell r="C77">
            <v>15</v>
          </cell>
          <cell r="D77">
            <v>20</v>
          </cell>
        </row>
        <row r="78">
          <cell r="A78">
            <v>37014</v>
          </cell>
          <cell r="C78">
            <v>15</v>
          </cell>
          <cell r="D78">
            <v>20</v>
          </cell>
        </row>
        <row r="79">
          <cell r="A79">
            <v>37015</v>
          </cell>
          <cell r="C79">
            <v>15</v>
          </cell>
          <cell r="D79">
            <v>20</v>
          </cell>
        </row>
        <row r="80">
          <cell r="A80">
            <v>37015</v>
          </cell>
          <cell r="C80">
            <v>15</v>
          </cell>
          <cell r="D80">
            <v>20</v>
          </cell>
        </row>
        <row r="81">
          <cell r="A81">
            <v>37015</v>
          </cell>
          <cell r="C81">
            <v>15</v>
          </cell>
          <cell r="D81">
            <v>20</v>
          </cell>
        </row>
        <row r="82">
          <cell r="A82">
            <v>37015</v>
          </cell>
          <cell r="C82">
            <v>15</v>
          </cell>
          <cell r="D82">
            <v>20</v>
          </cell>
        </row>
        <row r="83">
          <cell r="A83">
            <v>37015</v>
          </cell>
          <cell r="C83">
            <v>15</v>
          </cell>
          <cell r="D83">
            <v>20</v>
          </cell>
        </row>
        <row r="84">
          <cell r="A84">
            <v>37015</v>
          </cell>
          <cell r="C84">
            <v>15</v>
          </cell>
          <cell r="D84">
            <v>20</v>
          </cell>
        </row>
        <row r="85">
          <cell r="A85">
            <v>37015</v>
          </cell>
          <cell r="C85">
            <v>20</v>
          </cell>
          <cell r="D85">
            <v>50</v>
          </cell>
        </row>
        <row r="86">
          <cell r="A86">
            <v>37015</v>
          </cell>
          <cell r="C86">
            <v>20</v>
          </cell>
          <cell r="D86">
            <v>50</v>
          </cell>
        </row>
        <row r="87">
          <cell r="A87">
            <v>37015</v>
          </cell>
          <cell r="C87">
            <v>21.126818092924395</v>
          </cell>
          <cell r="D87">
            <v>50</v>
          </cell>
        </row>
        <row r="88">
          <cell r="A88">
            <v>37015</v>
          </cell>
          <cell r="C88">
            <v>23.715465046674097</v>
          </cell>
          <cell r="D88">
            <v>50</v>
          </cell>
        </row>
        <row r="89">
          <cell r="A89">
            <v>37015</v>
          </cell>
          <cell r="C89">
            <v>23.374438612548701</v>
          </cell>
          <cell r="D89">
            <v>50</v>
          </cell>
        </row>
        <row r="90">
          <cell r="A90">
            <v>37015</v>
          </cell>
          <cell r="C90">
            <v>25.322940262234901</v>
          </cell>
          <cell r="D90">
            <v>50</v>
          </cell>
        </row>
        <row r="91">
          <cell r="A91">
            <v>37015</v>
          </cell>
          <cell r="C91">
            <v>24.493732343134496</v>
          </cell>
          <cell r="D91">
            <v>50</v>
          </cell>
        </row>
        <row r="92">
          <cell r="A92">
            <v>37015</v>
          </cell>
          <cell r="C92">
            <v>24.294912156213599</v>
          </cell>
          <cell r="D92">
            <v>50</v>
          </cell>
        </row>
        <row r="93">
          <cell r="A93">
            <v>37015</v>
          </cell>
          <cell r="C93">
            <v>25.363422046692399</v>
          </cell>
          <cell r="D93">
            <v>50</v>
          </cell>
        </row>
        <row r="94">
          <cell r="A94">
            <v>37015</v>
          </cell>
          <cell r="C94">
            <v>26.156870753818801</v>
          </cell>
          <cell r="D94">
            <v>50</v>
          </cell>
        </row>
        <row r="95">
          <cell r="A95">
            <v>37015</v>
          </cell>
          <cell r="C95">
            <v>23.944801030868803</v>
          </cell>
          <cell r="D95">
            <v>50</v>
          </cell>
        </row>
        <row r="96">
          <cell r="A96">
            <v>37015</v>
          </cell>
          <cell r="C96">
            <v>22.490152223263301</v>
          </cell>
          <cell r="D96">
            <v>50</v>
          </cell>
        </row>
        <row r="97">
          <cell r="A97">
            <v>37015</v>
          </cell>
          <cell r="C97">
            <v>23.027796395488195</v>
          </cell>
          <cell r="D97">
            <v>50</v>
          </cell>
        </row>
        <row r="98">
          <cell r="A98">
            <v>37015</v>
          </cell>
          <cell r="C98">
            <v>21.842478541566003</v>
          </cell>
          <cell r="D98">
            <v>50</v>
          </cell>
        </row>
        <row r="99">
          <cell r="A99">
            <v>37015</v>
          </cell>
          <cell r="C99">
            <v>24.8374741468255</v>
          </cell>
          <cell r="D99">
            <v>50</v>
          </cell>
        </row>
        <row r="100">
          <cell r="A100">
            <v>37015</v>
          </cell>
          <cell r="C100">
            <v>24.617253253736003</v>
          </cell>
          <cell r="D100">
            <v>50</v>
          </cell>
        </row>
        <row r="101">
          <cell r="A101">
            <v>37015</v>
          </cell>
          <cell r="C101">
            <v>15</v>
          </cell>
          <cell r="D101">
            <v>20</v>
          </cell>
        </row>
        <row r="102">
          <cell r="A102">
            <v>37015</v>
          </cell>
          <cell r="C102">
            <v>15</v>
          </cell>
          <cell r="D102">
            <v>20</v>
          </cell>
        </row>
        <row r="103">
          <cell r="A103">
            <v>37016</v>
          </cell>
          <cell r="C103">
            <v>25</v>
          </cell>
          <cell r="D103">
            <v>18</v>
          </cell>
        </row>
        <row r="104">
          <cell r="A104">
            <v>37016</v>
          </cell>
          <cell r="C104">
            <v>25</v>
          </cell>
          <cell r="D104">
            <v>18</v>
          </cell>
        </row>
        <row r="105">
          <cell r="A105">
            <v>37016</v>
          </cell>
          <cell r="C105">
            <v>25</v>
          </cell>
          <cell r="D105">
            <v>18</v>
          </cell>
        </row>
        <row r="106">
          <cell r="A106">
            <v>37016</v>
          </cell>
          <cell r="C106">
            <v>25</v>
          </cell>
          <cell r="D106">
            <v>18</v>
          </cell>
        </row>
        <row r="107">
          <cell r="A107">
            <v>37016</v>
          </cell>
          <cell r="C107">
            <v>25</v>
          </cell>
          <cell r="D107">
            <v>18</v>
          </cell>
        </row>
        <row r="108">
          <cell r="A108">
            <v>37016</v>
          </cell>
          <cell r="C108">
            <v>25</v>
          </cell>
          <cell r="D108">
            <v>18</v>
          </cell>
        </row>
        <row r="109">
          <cell r="A109">
            <v>37016</v>
          </cell>
          <cell r="C109">
            <v>18.10378828438607</v>
          </cell>
          <cell r="D109">
            <v>34.5</v>
          </cell>
        </row>
        <row r="110">
          <cell r="A110">
            <v>37016</v>
          </cell>
          <cell r="C110">
            <v>19.565131057283001</v>
          </cell>
          <cell r="D110">
            <v>34.5</v>
          </cell>
        </row>
        <row r="111">
          <cell r="A111">
            <v>37016</v>
          </cell>
          <cell r="C111">
            <v>22.172473261399801</v>
          </cell>
          <cell r="D111">
            <v>34.5</v>
          </cell>
        </row>
        <row r="112">
          <cell r="A112">
            <v>37016</v>
          </cell>
          <cell r="C112">
            <v>25.397437209377898</v>
          </cell>
          <cell r="D112">
            <v>34.5</v>
          </cell>
        </row>
        <row r="113">
          <cell r="A113">
            <v>37016</v>
          </cell>
          <cell r="C113">
            <v>27.633917085155701</v>
          </cell>
          <cell r="D113">
            <v>34.5</v>
          </cell>
        </row>
        <row r="114">
          <cell r="A114">
            <v>37016</v>
          </cell>
          <cell r="C114">
            <v>29.5605542729459</v>
          </cell>
          <cell r="D114">
            <v>34.5</v>
          </cell>
        </row>
        <row r="115">
          <cell r="A115">
            <v>37016</v>
          </cell>
          <cell r="C115">
            <v>30.744549231870096</v>
          </cell>
          <cell r="D115">
            <v>34.5</v>
          </cell>
        </row>
        <row r="116">
          <cell r="A116">
            <v>37016</v>
          </cell>
          <cell r="C116">
            <v>31.944450744558701</v>
          </cell>
          <cell r="D116">
            <v>34.5</v>
          </cell>
        </row>
        <row r="117">
          <cell r="A117">
            <v>37016</v>
          </cell>
          <cell r="C117">
            <v>32.706380852864498</v>
          </cell>
          <cell r="D117">
            <v>34.5</v>
          </cell>
        </row>
        <row r="118">
          <cell r="A118">
            <v>37016</v>
          </cell>
          <cell r="C118">
            <v>33.388706166321299</v>
          </cell>
          <cell r="D118">
            <v>34.5</v>
          </cell>
        </row>
        <row r="119">
          <cell r="A119">
            <v>37016</v>
          </cell>
          <cell r="C119">
            <v>33.420261302912401</v>
          </cell>
          <cell r="D119">
            <v>34.5</v>
          </cell>
        </row>
        <row r="120">
          <cell r="A120">
            <v>37016</v>
          </cell>
          <cell r="C120">
            <v>32.974599656921896</v>
          </cell>
          <cell r="D120">
            <v>34.5</v>
          </cell>
        </row>
        <row r="121">
          <cell r="A121">
            <v>37016</v>
          </cell>
          <cell r="C121">
            <v>33</v>
          </cell>
          <cell r="D121">
            <v>34.5</v>
          </cell>
        </row>
        <row r="122">
          <cell r="A122">
            <v>37016</v>
          </cell>
          <cell r="C122">
            <v>33</v>
          </cell>
          <cell r="D122">
            <v>34.5</v>
          </cell>
        </row>
        <row r="123">
          <cell r="A123">
            <v>37016</v>
          </cell>
          <cell r="C123">
            <v>32</v>
          </cell>
          <cell r="D123">
            <v>34.5</v>
          </cell>
        </row>
        <row r="124">
          <cell r="A124">
            <v>37016</v>
          </cell>
          <cell r="C124">
            <v>32</v>
          </cell>
          <cell r="D124">
            <v>34.5</v>
          </cell>
        </row>
        <row r="125">
          <cell r="A125">
            <v>37016</v>
          </cell>
          <cell r="C125">
            <v>25</v>
          </cell>
          <cell r="D125">
            <v>18</v>
          </cell>
        </row>
        <row r="126">
          <cell r="A126">
            <v>37016</v>
          </cell>
          <cell r="C126">
            <v>25</v>
          </cell>
          <cell r="D126">
            <v>18</v>
          </cell>
        </row>
        <row r="127">
          <cell r="A127">
            <v>37017</v>
          </cell>
          <cell r="C127">
            <v>25</v>
          </cell>
          <cell r="D127">
            <v>18</v>
          </cell>
        </row>
        <row r="128">
          <cell r="A128">
            <v>37017</v>
          </cell>
          <cell r="C128">
            <v>25</v>
          </cell>
          <cell r="D128">
            <v>18</v>
          </cell>
        </row>
        <row r="129">
          <cell r="A129">
            <v>37017</v>
          </cell>
          <cell r="C129">
            <v>25</v>
          </cell>
          <cell r="D129">
            <v>18</v>
          </cell>
        </row>
        <row r="130">
          <cell r="A130">
            <v>37017</v>
          </cell>
          <cell r="C130">
            <v>25</v>
          </cell>
          <cell r="D130">
            <v>18</v>
          </cell>
        </row>
        <row r="131">
          <cell r="A131">
            <v>37017</v>
          </cell>
          <cell r="C131">
            <v>25</v>
          </cell>
          <cell r="D131">
            <v>18</v>
          </cell>
        </row>
        <row r="132">
          <cell r="A132">
            <v>37017</v>
          </cell>
          <cell r="C132">
            <v>25</v>
          </cell>
          <cell r="D132">
            <v>18</v>
          </cell>
        </row>
        <row r="133">
          <cell r="A133">
            <v>37017</v>
          </cell>
          <cell r="C133">
            <v>15.804331473479021</v>
          </cell>
          <cell r="D133">
            <v>34.5</v>
          </cell>
        </row>
        <row r="134">
          <cell r="A134">
            <v>37017</v>
          </cell>
          <cell r="C134">
            <v>16.951998414931062</v>
          </cell>
          <cell r="D134">
            <v>34.5</v>
          </cell>
        </row>
        <row r="135">
          <cell r="A135">
            <v>37017</v>
          </cell>
          <cell r="C135">
            <v>19.00823272962694</v>
          </cell>
          <cell r="D135">
            <v>34.5</v>
          </cell>
        </row>
        <row r="136">
          <cell r="A136">
            <v>37017</v>
          </cell>
          <cell r="C136">
            <v>21.766221019647201</v>
          </cell>
          <cell r="D136">
            <v>34.5</v>
          </cell>
        </row>
        <row r="137">
          <cell r="A137">
            <v>37017</v>
          </cell>
          <cell r="C137">
            <v>22</v>
          </cell>
          <cell r="D137">
            <v>34.5</v>
          </cell>
        </row>
        <row r="138">
          <cell r="A138">
            <v>37017</v>
          </cell>
          <cell r="C138">
            <v>23</v>
          </cell>
          <cell r="D138">
            <v>34.5</v>
          </cell>
        </row>
        <row r="139">
          <cell r="A139">
            <v>37017</v>
          </cell>
          <cell r="C139">
            <v>23</v>
          </cell>
          <cell r="D139">
            <v>34.5</v>
          </cell>
        </row>
        <row r="140">
          <cell r="A140">
            <v>37017</v>
          </cell>
          <cell r="C140">
            <v>23</v>
          </cell>
          <cell r="D140">
            <v>34.5</v>
          </cell>
        </row>
        <row r="141">
          <cell r="A141">
            <v>37017</v>
          </cell>
          <cell r="C141">
            <v>23</v>
          </cell>
          <cell r="D141">
            <v>34.5</v>
          </cell>
        </row>
        <row r="142">
          <cell r="A142">
            <v>37017</v>
          </cell>
          <cell r="C142">
            <v>24</v>
          </cell>
          <cell r="D142">
            <v>34.5</v>
          </cell>
        </row>
        <row r="143">
          <cell r="A143">
            <v>37017</v>
          </cell>
          <cell r="C143">
            <v>22</v>
          </cell>
          <cell r="D143">
            <v>34.5</v>
          </cell>
        </row>
        <row r="144">
          <cell r="A144">
            <v>37017</v>
          </cell>
          <cell r="C144">
            <v>22</v>
          </cell>
          <cell r="D144">
            <v>34.5</v>
          </cell>
        </row>
        <row r="145">
          <cell r="A145">
            <v>37017</v>
          </cell>
          <cell r="C145">
            <v>23</v>
          </cell>
          <cell r="D145">
            <v>34.5</v>
          </cell>
        </row>
        <row r="146">
          <cell r="A146">
            <v>37017</v>
          </cell>
          <cell r="C146">
            <v>23</v>
          </cell>
          <cell r="D146">
            <v>34.5</v>
          </cell>
        </row>
        <row r="147">
          <cell r="A147">
            <v>37017</v>
          </cell>
          <cell r="C147">
            <v>27</v>
          </cell>
          <cell r="D147">
            <v>34.5</v>
          </cell>
        </row>
        <row r="148">
          <cell r="A148">
            <v>37017</v>
          </cell>
          <cell r="C148">
            <v>27</v>
          </cell>
          <cell r="D148">
            <v>34.5</v>
          </cell>
        </row>
        <row r="149">
          <cell r="A149">
            <v>37017</v>
          </cell>
          <cell r="C149">
            <v>25</v>
          </cell>
          <cell r="D149">
            <v>18</v>
          </cell>
        </row>
        <row r="150">
          <cell r="A150">
            <v>37017</v>
          </cell>
          <cell r="C150">
            <v>25</v>
          </cell>
          <cell r="D150">
            <v>18</v>
          </cell>
        </row>
        <row r="151">
          <cell r="A151">
            <v>37018</v>
          </cell>
          <cell r="C151">
            <v>25</v>
          </cell>
          <cell r="D151">
            <v>18</v>
          </cell>
        </row>
        <row r="152">
          <cell r="A152">
            <v>37018</v>
          </cell>
          <cell r="C152">
            <v>25</v>
          </cell>
          <cell r="D152">
            <v>18</v>
          </cell>
        </row>
        <row r="153">
          <cell r="A153">
            <v>37018</v>
          </cell>
          <cell r="C153">
            <v>25</v>
          </cell>
          <cell r="D153">
            <v>18</v>
          </cell>
        </row>
        <row r="154">
          <cell r="A154">
            <v>37018</v>
          </cell>
          <cell r="C154">
            <v>25</v>
          </cell>
          <cell r="D154">
            <v>18</v>
          </cell>
        </row>
        <row r="155">
          <cell r="A155">
            <v>37018</v>
          </cell>
          <cell r="C155">
            <v>25</v>
          </cell>
          <cell r="D155">
            <v>18</v>
          </cell>
        </row>
        <row r="156">
          <cell r="A156">
            <v>37018</v>
          </cell>
          <cell r="C156">
            <v>25</v>
          </cell>
          <cell r="D156">
            <v>18</v>
          </cell>
        </row>
        <row r="157">
          <cell r="A157">
            <v>37018</v>
          </cell>
          <cell r="C157">
            <v>22</v>
          </cell>
          <cell r="D157">
            <v>45</v>
          </cell>
        </row>
        <row r="158">
          <cell r="A158">
            <v>37018</v>
          </cell>
          <cell r="C158">
            <v>26</v>
          </cell>
          <cell r="D158">
            <v>45</v>
          </cell>
        </row>
        <row r="159">
          <cell r="A159">
            <v>37018</v>
          </cell>
          <cell r="C159">
            <v>32</v>
          </cell>
          <cell r="D159">
            <v>45</v>
          </cell>
        </row>
        <row r="160">
          <cell r="A160">
            <v>37018</v>
          </cell>
          <cell r="C160">
            <v>32</v>
          </cell>
          <cell r="D160">
            <v>45</v>
          </cell>
        </row>
        <row r="161">
          <cell r="A161">
            <v>37018</v>
          </cell>
          <cell r="C161">
            <v>32</v>
          </cell>
          <cell r="D161">
            <v>45</v>
          </cell>
        </row>
        <row r="162">
          <cell r="A162">
            <v>37018</v>
          </cell>
          <cell r="C162">
            <v>33</v>
          </cell>
          <cell r="D162">
            <v>45</v>
          </cell>
        </row>
        <row r="163">
          <cell r="A163">
            <v>37018</v>
          </cell>
          <cell r="C163">
            <v>33</v>
          </cell>
          <cell r="D163">
            <v>45</v>
          </cell>
        </row>
        <row r="164">
          <cell r="A164">
            <v>37018</v>
          </cell>
          <cell r="C164">
            <v>33</v>
          </cell>
          <cell r="D164">
            <v>45</v>
          </cell>
        </row>
        <row r="165">
          <cell r="A165">
            <v>37018</v>
          </cell>
          <cell r="C165">
            <v>33</v>
          </cell>
          <cell r="D165">
            <v>45</v>
          </cell>
        </row>
        <row r="166">
          <cell r="A166">
            <v>37018</v>
          </cell>
          <cell r="C166">
            <v>33</v>
          </cell>
          <cell r="D166">
            <v>45</v>
          </cell>
        </row>
        <row r="167">
          <cell r="A167">
            <v>37018</v>
          </cell>
          <cell r="C167">
            <v>33</v>
          </cell>
          <cell r="D167">
            <v>45</v>
          </cell>
        </row>
        <row r="168">
          <cell r="A168">
            <v>37018</v>
          </cell>
          <cell r="C168">
            <v>30</v>
          </cell>
          <cell r="D168">
            <v>45</v>
          </cell>
        </row>
        <row r="169">
          <cell r="A169">
            <v>37018</v>
          </cell>
          <cell r="C169">
            <v>30</v>
          </cell>
          <cell r="D169">
            <v>45</v>
          </cell>
        </row>
        <row r="170">
          <cell r="A170">
            <v>37018</v>
          </cell>
          <cell r="C170">
            <v>30</v>
          </cell>
          <cell r="D170">
            <v>45</v>
          </cell>
        </row>
        <row r="171">
          <cell r="A171">
            <v>37018</v>
          </cell>
          <cell r="C171">
            <v>33</v>
          </cell>
          <cell r="D171">
            <v>45</v>
          </cell>
        </row>
        <row r="172">
          <cell r="A172">
            <v>37018</v>
          </cell>
          <cell r="C172">
            <v>33</v>
          </cell>
          <cell r="D172">
            <v>45</v>
          </cell>
        </row>
        <row r="173">
          <cell r="A173">
            <v>37018</v>
          </cell>
          <cell r="C173">
            <v>25</v>
          </cell>
          <cell r="D173">
            <v>18</v>
          </cell>
        </row>
        <row r="174">
          <cell r="A174">
            <v>37018</v>
          </cell>
          <cell r="C174">
            <v>25</v>
          </cell>
          <cell r="D174">
            <v>18</v>
          </cell>
        </row>
        <row r="175">
          <cell r="A175">
            <v>37019</v>
          </cell>
          <cell r="C175">
            <v>15</v>
          </cell>
          <cell r="D175">
            <v>17</v>
          </cell>
        </row>
        <row r="176">
          <cell r="A176">
            <v>37019</v>
          </cell>
          <cell r="C176">
            <v>15</v>
          </cell>
          <cell r="D176">
            <v>17</v>
          </cell>
        </row>
        <row r="177">
          <cell r="A177">
            <v>37019</v>
          </cell>
          <cell r="C177">
            <v>15</v>
          </cell>
          <cell r="D177">
            <v>17</v>
          </cell>
        </row>
        <row r="178">
          <cell r="A178">
            <v>37019</v>
          </cell>
          <cell r="C178">
            <v>15</v>
          </cell>
          <cell r="D178">
            <v>17</v>
          </cell>
        </row>
        <row r="179">
          <cell r="A179">
            <v>37019</v>
          </cell>
          <cell r="C179">
            <v>15</v>
          </cell>
          <cell r="D179">
            <v>17</v>
          </cell>
        </row>
        <row r="180">
          <cell r="A180">
            <v>37019</v>
          </cell>
          <cell r="C180">
            <v>15</v>
          </cell>
          <cell r="D180">
            <v>17</v>
          </cell>
        </row>
        <row r="181">
          <cell r="A181">
            <v>37019</v>
          </cell>
          <cell r="C181">
            <v>20</v>
          </cell>
          <cell r="D181">
            <v>36.5</v>
          </cell>
        </row>
        <row r="182">
          <cell r="A182">
            <v>37019</v>
          </cell>
          <cell r="C182">
            <v>25</v>
          </cell>
          <cell r="D182">
            <v>36.5</v>
          </cell>
        </row>
        <row r="183">
          <cell r="A183">
            <v>37019</v>
          </cell>
          <cell r="C183">
            <v>30</v>
          </cell>
          <cell r="D183">
            <v>36.5</v>
          </cell>
        </row>
        <row r="184">
          <cell r="A184">
            <v>37019</v>
          </cell>
          <cell r="C184">
            <v>30</v>
          </cell>
          <cell r="D184">
            <v>36.5</v>
          </cell>
        </row>
        <row r="185">
          <cell r="A185">
            <v>37019</v>
          </cell>
          <cell r="C185">
            <v>30</v>
          </cell>
          <cell r="D185">
            <v>36.5</v>
          </cell>
        </row>
        <row r="186">
          <cell r="A186">
            <v>37019</v>
          </cell>
          <cell r="C186">
            <v>30</v>
          </cell>
          <cell r="D186">
            <v>36.5</v>
          </cell>
        </row>
        <row r="187">
          <cell r="A187">
            <v>37019</v>
          </cell>
          <cell r="C187">
            <v>30</v>
          </cell>
          <cell r="D187">
            <v>36.5</v>
          </cell>
        </row>
        <row r="188">
          <cell r="A188">
            <v>37019</v>
          </cell>
          <cell r="C188">
            <v>30</v>
          </cell>
          <cell r="D188">
            <v>36.5</v>
          </cell>
        </row>
        <row r="189">
          <cell r="A189">
            <v>37019</v>
          </cell>
          <cell r="C189">
            <v>30</v>
          </cell>
          <cell r="D189">
            <v>36.5</v>
          </cell>
        </row>
        <row r="190">
          <cell r="A190">
            <v>37019</v>
          </cell>
          <cell r="C190">
            <v>30</v>
          </cell>
          <cell r="D190">
            <v>36.5</v>
          </cell>
        </row>
        <row r="191">
          <cell r="A191">
            <v>37019</v>
          </cell>
          <cell r="C191">
            <v>30</v>
          </cell>
          <cell r="D191">
            <v>36.5</v>
          </cell>
        </row>
        <row r="192">
          <cell r="A192">
            <v>37019</v>
          </cell>
          <cell r="C192">
            <v>30</v>
          </cell>
          <cell r="D192">
            <v>36.5</v>
          </cell>
        </row>
        <row r="193">
          <cell r="A193">
            <v>37019</v>
          </cell>
          <cell r="C193">
            <v>30</v>
          </cell>
          <cell r="D193">
            <v>36.5</v>
          </cell>
        </row>
        <row r="194">
          <cell r="A194">
            <v>37019</v>
          </cell>
          <cell r="C194">
            <v>30</v>
          </cell>
          <cell r="D194">
            <v>36.5</v>
          </cell>
        </row>
        <row r="195">
          <cell r="A195">
            <v>37019</v>
          </cell>
          <cell r="C195">
            <v>30</v>
          </cell>
          <cell r="D195">
            <v>36.5</v>
          </cell>
        </row>
        <row r="196">
          <cell r="A196">
            <v>37019</v>
          </cell>
          <cell r="C196">
            <v>30</v>
          </cell>
          <cell r="D196">
            <v>36.5</v>
          </cell>
        </row>
        <row r="197">
          <cell r="A197">
            <v>37019</v>
          </cell>
          <cell r="C197">
            <v>15</v>
          </cell>
          <cell r="D197">
            <v>17</v>
          </cell>
        </row>
        <row r="198">
          <cell r="A198">
            <v>37019</v>
          </cell>
          <cell r="C198">
            <v>15</v>
          </cell>
          <cell r="D198">
            <v>17</v>
          </cell>
        </row>
        <row r="199">
          <cell r="A199">
            <v>37020</v>
          </cell>
          <cell r="C199">
            <v>15</v>
          </cell>
          <cell r="D199">
            <v>16.5</v>
          </cell>
        </row>
        <row r="200">
          <cell r="A200">
            <v>37020</v>
          </cell>
          <cell r="C200">
            <v>15</v>
          </cell>
          <cell r="D200">
            <v>16.5</v>
          </cell>
        </row>
        <row r="201">
          <cell r="A201">
            <v>37020</v>
          </cell>
          <cell r="C201">
            <v>15</v>
          </cell>
          <cell r="D201">
            <v>16.5</v>
          </cell>
        </row>
        <row r="202">
          <cell r="A202">
            <v>37020</v>
          </cell>
          <cell r="C202">
            <v>15</v>
          </cell>
          <cell r="D202">
            <v>16.5</v>
          </cell>
        </row>
        <row r="203">
          <cell r="A203">
            <v>37020</v>
          </cell>
          <cell r="C203">
            <v>15</v>
          </cell>
          <cell r="D203">
            <v>16.5</v>
          </cell>
        </row>
        <row r="204">
          <cell r="A204">
            <v>37020</v>
          </cell>
          <cell r="C204">
            <v>15</v>
          </cell>
          <cell r="D204">
            <v>16.5</v>
          </cell>
        </row>
        <row r="205">
          <cell r="A205">
            <v>37020</v>
          </cell>
          <cell r="C205">
            <v>20</v>
          </cell>
          <cell r="D205">
            <v>40</v>
          </cell>
        </row>
        <row r="206">
          <cell r="A206">
            <v>37020</v>
          </cell>
          <cell r="C206">
            <v>25</v>
          </cell>
          <cell r="D206">
            <v>40</v>
          </cell>
        </row>
        <row r="207">
          <cell r="A207">
            <v>37020</v>
          </cell>
          <cell r="C207">
            <v>30</v>
          </cell>
          <cell r="D207">
            <v>40</v>
          </cell>
        </row>
        <row r="208">
          <cell r="A208">
            <v>37020</v>
          </cell>
          <cell r="C208">
            <v>30</v>
          </cell>
          <cell r="D208">
            <v>40</v>
          </cell>
        </row>
        <row r="209">
          <cell r="A209">
            <v>37020</v>
          </cell>
          <cell r="C209">
            <v>30</v>
          </cell>
          <cell r="D209">
            <v>40</v>
          </cell>
        </row>
        <row r="210">
          <cell r="A210">
            <v>37020</v>
          </cell>
          <cell r="C210">
            <v>30</v>
          </cell>
          <cell r="D210">
            <v>40</v>
          </cell>
        </row>
        <row r="211">
          <cell r="A211">
            <v>37020</v>
          </cell>
          <cell r="C211">
            <v>30</v>
          </cell>
          <cell r="D211">
            <v>40</v>
          </cell>
        </row>
        <row r="212">
          <cell r="A212">
            <v>37020</v>
          </cell>
          <cell r="C212">
            <v>30</v>
          </cell>
          <cell r="D212">
            <v>40</v>
          </cell>
        </row>
        <row r="213">
          <cell r="A213">
            <v>37020</v>
          </cell>
          <cell r="C213">
            <v>30</v>
          </cell>
          <cell r="D213">
            <v>40</v>
          </cell>
        </row>
        <row r="214">
          <cell r="A214">
            <v>37020</v>
          </cell>
          <cell r="C214">
            <v>30</v>
          </cell>
          <cell r="D214">
            <v>40</v>
          </cell>
        </row>
        <row r="215">
          <cell r="A215">
            <v>37020</v>
          </cell>
          <cell r="C215">
            <v>30</v>
          </cell>
          <cell r="D215">
            <v>40</v>
          </cell>
        </row>
        <row r="216">
          <cell r="A216">
            <v>37020</v>
          </cell>
          <cell r="C216">
            <v>30</v>
          </cell>
          <cell r="D216">
            <v>40</v>
          </cell>
        </row>
        <row r="217">
          <cell r="A217">
            <v>37020</v>
          </cell>
          <cell r="C217">
            <v>30</v>
          </cell>
          <cell r="D217">
            <v>40</v>
          </cell>
        </row>
        <row r="218">
          <cell r="A218">
            <v>37020</v>
          </cell>
          <cell r="C218">
            <v>30</v>
          </cell>
          <cell r="D218">
            <v>40</v>
          </cell>
        </row>
        <row r="219">
          <cell r="A219">
            <v>37020</v>
          </cell>
          <cell r="C219">
            <v>30</v>
          </cell>
          <cell r="D219">
            <v>40</v>
          </cell>
        </row>
        <row r="220">
          <cell r="A220">
            <v>37020</v>
          </cell>
          <cell r="C220">
            <v>30</v>
          </cell>
          <cell r="D220">
            <v>40</v>
          </cell>
        </row>
        <row r="221">
          <cell r="A221">
            <v>37020</v>
          </cell>
          <cell r="C221">
            <v>15</v>
          </cell>
          <cell r="D221">
            <v>16.5</v>
          </cell>
        </row>
        <row r="222">
          <cell r="A222">
            <v>37020</v>
          </cell>
          <cell r="C222">
            <v>15</v>
          </cell>
          <cell r="D222">
            <v>16.5</v>
          </cell>
        </row>
        <row r="223">
          <cell r="A223">
            <v>37021</v>
          </cell>
          <cell r="C223">
            <v>15</v>
          </cell>
          <cell r="D223">
            <v>16.5</v>
          </cell>
        </row>
        <row r="224">
          <cell r="A224">
            <v>37021</v>
          </cell>
          <cell r="C224">
            <v>15</v>
          </cell>
          <cell r="D224">
            <v>16.5</v>
          </cell>
        </row>
        <row r="225">
          <cell r="A225">
            <v>37021</v>
          </cell>
          <cell r="C225">
            <v>15</v>
          </cell>
          <cell r="D225">
            <v>16.5</v>
          </cell>
        </row>
        <row r="226">
          <cell r="A226">
            <v>37021</v>
          </cell>
          <cell r="C226">
            <v>15</v>
          </cell>
          <cell r="D226">
            <v>16.5</v>
          </cell>
        </row>
        <row r="227">
          <cell r="A227">
            <v>37021</v>
          </cell>
          <cell r="C227">
            <v>15</v>
          </cell>
          <cell r="D227">
            <v>16.5</v>
          </cell>
        </row>
        <row r="228">
          <cell r="A228">
            <v>37021</v>
          </cell>
          <cell r="C228">
            <v>15</v>
          </cell>
          <cell r="D228">
            <v>16.5</v>
          </cell>
        </row>
        <row r="229">
          <cell r="A229">
            <v>37021</v>
          </cell>
          <cell r="C229">
            <v>20</v>
          </cell>
          <cell r="D229">
            <v>40</v>
          </cell>
        </row>
        <row r="230">
          <cell r="A230">
            <v>37021</v>
          </cell>
          <cell r="C230">
            <v>25</v>
          </cell>
          <cell r="D230">
            <v>40</v>
          </cell>
        </row>
        <row r="231">
          <cell r="A231">
            <v>37021</v>
          </cell>
          <cell r="C231">
            <v>30</v>
          </cell>
          <cell r="D231">
            <v>40</v>
          </cell>
        </row>
        <row r="232">
          <cell r="A232">
            <v>37021</v>
          </cell>
          <cell r="C232">
            <v>30</v>
          </cell>
          <cell r="D232">
            <v>40</v>
          </cell>
        </row>
        <row r="233">
          <cell r="A233">
            <v>37021</v>
          </cell>
          <cell r="C233">
            <v>30</v>
          </cell>
          <cell r="D233">
            <v>40</v>
          </cell>
        </row>
        <row r="234">
          <cell r="A234">
            <v>37021</v>
          </cell>
          <cell r="C234">
            <v>30</v>
          </cell>
          <cell r="D234">
            <v>40</v>
          </cell>
        </row>
        <row r="235">
          <cell r="A235">
            <v>37021</v>
          </cell>
          <cell r="C235">
            <v>30</v>
          </cell>
          <cell r="D235">
            <v>40</v>
          </cell>
        </row>
        <row r="236">
          <cell r="A236">
            <v>37021</v>
          </cell>
          <cell r="C236">
            <v>30</v>
          </cell>
          <cell r="D236">
            <v>40</v>
          </cell>
        </row>
        <row r="237">
          <cell r="A237">
            <v>37021</v>
          </cell>
          <cell r="C237">
            <v>30</v>
          </cell>
          <cell r="D237">
            <v>40</v>
          </cell>
        </row>
        <row r="238">
          <cell r="A238">
            <v>37021</v>
          </cell>
          <cell r="C238">
            <v>30</v>
          </cell>
          <cell r="D238">
            <v>40</v>
          </cell>
        </row>
        <row r="239">
          <cell r="A239">
            <v>37021</v>
          </cell>
          <cell r="C239">
            <v>30</v>
          </cell>
          <cell r="D239">
            <v>40</v>
          </cell>
        </row>
        <row r="240">
          <cell r="A240">
            <v>37021</v>
          </cell>
          <cell r="C240">
            <v>30</v>
          </cell>
          <cell r="D240">
            <v>40</v>
          </cell>
        </row>
        <row r="241">
          <cell r="A241">
            <v>37021</v>
          </cell>
          <cell r="C241">
            <v>30</v>
          </cell>
          <cell r="D241">
            <v>40</v>
          </cell>
        </row>
        <row r="242">
          <cell r="A242">
            <v>37021</v>
          </cell>
          <cell r="C242">
            <v>30</v>
          </cell>
          <cell r="D242">
            <v>40</v>
          </cell>
        </row>
        <row r="243">
          <cell r="A243">
            <v>37021</v>
          </cell>
          <cell r="C243">
            <v>30</v>
          </cell>
          <cell r="D243">
            <v>40</v>
          </cell>
        </row>
        <row r="244">
          <cell r="A244">
            <v>37021</v>
          </cell>
          <cell r="C244">
            <v>30</v>
          </cell>
          <cell r="D244">
            <v>40</v>
          </cell>
        </row>
        <row r="245">
          <cell r="A245">
            <v>37021</v>
          </cell>
          <cell r="C245">
            <v>15</v>
          </cell>
          <cell r="D245">
            <v>15</v>
          </cell>
        </row>
        <row r="246">
          <cell r="A246">
            <v>37021</v>
          </cell>
          <cell r="C246">
            <v>15</v>
          </cell>
          <cell r="D246">
            <v>15</v>
          </cell>
        </row>
        <row r="247">
          <cell r="A247">
            <v>37022</v>
          </cell>
          <cell r="C247">
            <v>15</v>
          </cell>
          <cell r="D247">
            <v>16.5</v>
          </cell>
        </row>
        <row r="248">
          <cell r="A248">
            <v>37022</v>
          </cell>
          <cell r="C248">
            <v>15</v>
          </cell>
          <cell r="D248">
            <v>16.5</v>
          </cell>
        </row>
        <row r="249">
          <cell r="A249">
            <v>37022</v>
          </cell>
          <cell r="C249">
            <v>15</v>
          </cell>
          <cell r="D249">
            <v>16.5</v>
          </cell>
        </row>
        <row r="250">
          <cell r="A250">
            <v>37022</v>
          </cell>
          <cell r="C250">
            <v>15</v>
          </cell>
          <cell r="D250">
            <v>16.5</v>
          </cell>
        </row>
        <row r="251">
          <cell r="A251">
            <v>37022</v>
          </cell>
          <cell r="C251">
            <v>15</v>
          </cell>
          <cell r="D251">
            <v>16.5</v>
          </cell>
        </row>
        <row r="252">
          <cell r="A252">
            <v>37022</v>
          </cell>
          <cell r="C252">
            <v>15</v>
          </cell>
          <cell r="D252">
            <v>16.5</v>
          </cell>
        </row>
        <row r="253">
          <cell r="A253">
            <v>37022</v>
          </cell>
          <cell r="C253">
            <v>20</v>
          </cell>
          <cell r="D253">
            <v>40</v>
          </cell>
        </row>
        <row r="254">
          <cell r="A254">
            <v>37022</v>
          </cell>
          <cell r="C254">
            <v>25</v>
          </cell>
          <cell r="D254">
            <v>40</v>
          </cell>
        </row>
        <row r="255">
          <cell r="A255">
            <v>37022</v>
          </cell>
          <cell r="C255">
            <v>30</v>
          </cell>
          <cell r="D255">
            <v>40</v>
          </cell>
        </row>
        <row r="256">
          <cell r="A256">
            <v>37022</v>
          </cell>
          <cell r="C256">
            <v>30</v>
          </cell>
          <cell r="D256">
            <v>40</v>
          </cell>
        </row>
        <row r="257">
          <cell r="A257">
            <v>37022</v>
          </cell>
          <cell r="C257">
            <v>30</v>
          </cell>
          <cell r="D257">
            <v>40</v>
          </cell>
        </row>
        <row r="258">
          <cell r="A258">
            <v>37022</v>
          </cell>
          <cell r="C258">
            <v>30</v>
          </cell>
          <cell r="D258">
            <v>40</v>
          </cell>
        </row>
        <row r="259">
          <cell r="A259">
            <v>37022</v>
          </cell>
          <cell r="C259">
            <v>30</v>
          </cell>
          <cell r="D259">
            <v>40</v>
          </cell>
        </row>
        <row r="260">
          <cell r="A260">
            <v>37022</v>
          </cell>
          <cell r="C260">
            <v>30</v>
          </cell>
          <cell r="D260">
            <v>40</v>
          </cell>
        </row>
        <row r="261">
          <cell r="A261">
            <v>37022</v>
          </cell>
          <cell r="C261">
            <v>30</v>
          </cell>
          <cell r="D261">
            <v>40</v>
          </cell>
        </row>
        <row r="262">
          <cell r="A262">
            <v>37022</v>
          </cell>
          <cell r="C262">
            <v>30</v>
          </cell>
          <cell r="D262">
            <v>40</v>
          </cell>
        </row>
        <row r="263">
          <cell r="A263">
            <v>37022</v>
          </cell>
          <cell r="C263">
            <v>30</v>
          </cell>
          <cell r="D263">
            <v>40</v>
          </cell>
        </row>
        <row r="264">
          <cell r="A264">
            <v>37022</v>
          </cell>
          <cell r="C264">
            <v>30</v>
          </cell>
          <cell r="D264">
            <v>40</v>
          </cell>
        </row>
        <row r="265">
          <cell r="A265">
            <v>37022</v>
          </cell>
          <cell r="C265">
            <v>30</v>
          </cell>
          <cell r="D265">
            <v>40</v>
          </cell>
        </row>
        <row r="266">
          <cell r="A266">
            <v>37022</v>
          </cell>
          <cell r="C266">
            <v>30</v>
          </cell>
          <cell r="D266">
            <v>40</v>
          </cell>
        </row>
        <row r="267">
          <cell r="A267">
            <v>37022</v>
          </cell>
          <cell r="C267">
            <v>30</v>
          </cell>
          <cell r="D267">
            <v>40</v>
          </cell>
        </row>
        <row r="268">
          <cell r="A268">
            <v>37022</v>
          </cell>
          <cell r="C268">
            <v>30</v>
          </cell>
          <cell r="D268">
            <v>40</v>
          </cell>
        </row>
        <row r="269">
          <cell r="A269">
            <v>37022</v>
          </cell>
          <cell r="C269">
            <v>15</v>
          </cell>
          <cell r="D269">
            <v>16.5</v>
          </cell>
        </row>
        <row r="270">
          <cell r="A270">
            <v>37022</v>
          </cell>
          <cell r="C270">
            <v>15</v>
          </cell>
          <cell r="D270">
            <v>16.5</v>
          </cell>
        </row>
        <row r="271">
          <cell r="A271">
            <v>37023</v>
          </cell>
        </row>
        <row r="272">
          <cell r="A272">
            <v>37023</v>
          </cell>
        </row>
        <row r="273">
          <cell r="A273">
            <v>37023</v>
          </cell>
        </row>
        <row r="274">
          <cell r="A274">
            <v>37023</v>
          </cell>
        </row>
        <row r="275">
          <cell r="A275">
            <v>37023</v>
          </cell>
        </row>
        <row r="276">
          <cell r="A276">
            <v>37023</v>
          </cell>
        </row>
        <row r="277">
          <cell r="A277">
            <v>37023</v>
          </cell>
        </row>
        <row r="278">
          <cell r="A278">
            <v>37023</v>
          </cell>
        </row>
        <row r="279">
          <cell r="A279">
            <v>37023</v>
          </cell>
        </row>
        <row r="280">
          <cell r="A280">
            <v>37023</v>
          </cell>
        </row>
        <row r="281">
          <cell r="A281">
            <v>37023</v>
          </cell>
          <cell r="C281">
            <v>20</v>
          </cell>
          <cell r="D281">
            <v>35.5</v>
          </cell>
        </row>
        <row r="282">
          <cell r="A282">
            <v>37023</v>
          </cell>
          <cell r="C282">
            <v>25</v>
          </cell>
          <cell r="D282">
            <v>35.5</v>
          </cell>
        </row>
        <row r="283">
          <cell r="A283">
            <v>37023</v>
          </cell>
          <cell r="C283">
            <v>25</v>
          </cell>
          <cell r="D283">
            <v>35.5</v>
          </cell>
        </row>
        <row r="284">
          <cell r="A284">
            <v>37023</v>
          </cell>
          <cell r="C284">
            <v>25</v>
          </cell>
          <cell r="D284">
            <v>35.5</v>
          </cell>
        </row>
        <row r="285">
          <cell r="A285">
            <v>37023</v>
          </cell>
          <cell r="C285">
            <v>25</v>
          </cell>
          <cell r="D285">
            <v>35.5</v>
          </cell>
        </row>
        <row r="286">
          <cell r="A286">
            <v>37023</v>
          </cell>
          <cell r="C286">
            <v>25</v>
          </cell>
          <cell r="D286">
            <v>35.5</v>
          </cell>
        </row>
        <row r="287">
          <cell r="A287">
            <v>37023</v>
          </cell>
          <cell r="C287">
            <v>25</v>
          </cell>
          <cell r="D287">
            <v>35.5</v>
          </cell>
        </row>
        <row r="288">
          <cell r="A288">
            <v>37023</v>
          </cell>
          <cell r="C288">
            <v>25</v>
          </cell>
          <cell r="D288">
            <v>35.5</v>
          </cell>
        </row>
        <row r="289">
          <cell r="A289">
            <v>37023</v>
          </cell>
          <cell r="C289">
            <v>25</v>
          </cell>
          <cell r="D289">
            <v>35.5</v>
          </cell>
        </row>
        <row r="290">
          <cell r="A290">
            <v>37023</v>
          </cell>
          <cell r="C290">
            <v>25</v>
          </cell>
          <cell r="D290">
            <v>35.5</v>
          </cell>
        </row>
        <row r="291">
          <cell r="A291">
            <v>37023</v>
          </cell>
          <cell r="C291">
            <v>25</v>
          </cell>
          <cell r="D291">
            <v>35.5</v>
          </cell>
        </row>
        <row r="292">
          <cell r="A292">
            <v>37023</v>
          </cell>
          <cell r="C292">
            <v>25</v>
          </cell>
          <cell r="D292">
            <v>35.5</v>
          </cell>
        </row>
        <row r="293">
          <cell r="A293">
            <v>37023</v>
          </cell>
          <cell r="C293">
            <v>20</v>
          </cell>
          <cell r="D293">
            <v>35.5</v>
          </cell>
        </row>
        <row r="294">
          <cell r="A294">
            <v>37023</v>
          </cell>
        </row>
        <row r="295">
          <cell r="A295">
            <v>37024</v>
          </cell>
        </row>
        <row r="296">
          <cell r="A296">
            <v>37024</v>
          </cell>
        </row>
        <row r="297">
          <cell r="A297">
            <v>37024</v>
          </cell>
        </row>
        <row r="298">
          <cell r="A298">
            <v>37024</v>
          </cell>
        </row>
        <row r="299">
          <cell r="A299">
            <v>37024</v>
          </cell>
        </row>
        <row r="300">
          <cell r="A300">
            <v>37024</v>
          </cell>
        </row>
        <row r="301">
          <cell r="A301">
            <v>37024</v>
          </cell>
        </row>
        <row r="302">
          <cell r="A302">
            <v>37024</v>
          </cell>
        </row>
        <row r="303">
          <cell r="A303">
            <v>37024</v>
          </cell>
        </row>
        <row r="304">
          <cell r="A304">
            <v>37024</v>
          </cell>
        </row>
        <row r="305">
          <cell r="A305">
            <v>37024</v>
          </cell>
        </row>
        <row r="306">
          <cell r="A306">
            <v>37024</v>
          </cell>
          <cell r="C306">
            <v>20</v>
          </cell>
          <cell r="D306">
            <v>38.75</v>
          </cell>
        </row>
        <row r="307">
          <cell r="A307">
            <v>37024</v>
          </cell>
          <cell r="C307">
            <v>20</v>
          </cell>
          <cell r="D307">
            <v>38.75</v>
          </cell>
        </row>
        <row r="308">
          <cell r="A308">
            <v>37024</v>
          </cell>
          <cell r="C308">
            <v>20</v>
          </cell>
          <cell r="D308">
            <v>38.75</v>
          </cell>
        </row>
        <row r="309">
          <cell r="A309">
            <v>37024</v>
          </cell>
          <cell r="C309">
            <v>20</v>
          </cell>
          <cell r="D309">
            <v>38.75</v>
          </cell>
        </row>
        <row r="310">
          <cell r="A310">
            <v>37024</v>
          </cell>
          <cell r="C310">
            <v>20</v>
          </cell>
          <cell r="D310">
            <v>38.75</v>
          </cell>
        </row>
        <row r="311">
          <cell r="A311">
            <v>37024</v>
          </cell>
          <cell r="C311">
            <v>20</v>
          </cell>
          <cell r="D311">
            <v>38.75</v>
          </cell>
        </row>
        <row r="312">
          <cell r="A312">
            <v>37024</v>
          </cell>
          <cell r="C312">
            <v>20</v>
          </cell>
          <cell r="D312">
            <v>38.75</v>
          </cell>
        </row>
        <row r="313">
          <cell r="A313">
            <v>37024</v>
          </cell>
          <cell r="C313">
            <v>20</v>
          </cell>
          <cell r="D313">
            <v>38.75</v>
          </cell>
        </row>
        <row r="314">
          <cell r="A314">
            <v>37024</v>
          </cell>
          <cell r="C314">
            <v>20</v>
          </cell>
          <cell r="D314">
            <v>38.75</v>
          </cell>
        </row>
        <row r="315">
          <cell r="A315">
            <v>37024</v>
          </cell>
          <cell r="C315">
            <v>20</v>
          </cell>
          <cell r="D315">
            <v>38.75</v>
          </cell>
        </row>
        <row r="316">
          <cell r="A316">
            <v>37024</v>
          </cell>
          <cell r="C316">
            <v>20</v>
          </cell>
          <cell r="D316">
            <v>38.75</v>
          </cell>
        </row>
        <row r="317">
          <cell r="A317">
            <v>37024</v>
          </cell>
          <cell r="C317">
            <v>20</v>
          </cell>
          <cell r="D317">
            <v>38.75</v>
          </cell>
        </row>
        <row r="318">
          <cell r="A318">
            <v>37024</v>
          </cell>
        </row>
        <row r="319">
          <cell r="A319">
            <v>37025</v>
          </cell>
        </row>
        <row r="320">
          <cell r="A320">
            <v>37025</v>
          </cell>
        </row>
        <row r="321">
          <cell r="A321">
            <v>37025</v>
          </cell>
        </row>
        <row r="322">
          <cell r="A322">
            <v>37025</v>
          </cell>
        </row>
        <row r="323">
          <cell r="A323">
            <v>37025</v>
          </cell>
        </row>
        <row r="324">
          <cell r="A324">
            <v>37025</v>
          </cell>
        </row>
        <row r="325">
          <cell r="A325">
            <v>37025</v>
          </cell>
          <cell r="C325">
            <v>20</v>
          </cell>
          <cell r="D325">
            <v>44.5</v>
          </cell>
        </row>
        <row r="326">
          <cell r="A326">
            <v>37025</v>
          </cell>
          <cell r="C326">
            <v>30</v>
          </cell>
          <cell r="D326">
            <v>44.5</v>
          </cell>
        </row>
        <row r="327">
          <cell r="A327">
            <v>37025</v>
          </cell>
          <cell r="C327">
            <v>30</v>
          </cell>
          <cell r="D327">
            <v>44.5</v>
          </cell>
        </row>
        <row r="328">
          <cell r="A328">
            <v>37025</v>
          </cell>
          <cell r="C328">
            <v>30</v>
          </cell>
          <cell r="D328">
            <v>44.5</v>
          </cell>
        </row>
        <row r="329">
          <cell r="A329">
            <v>37025</v>
          </cell>
          <cell r="C329">
            <v>30</v>
          </cell>
          <cell r="D329">
            <v>44.5</v>
          </cell>
        </row>
        <row r="330">
          <cell r="A330">
            <v>37025</v>
          </cell>
          <cell r="C330">
            <v>30</v>
          </cell>
          <cell r="D330">
            <v>44.5</v>
          </cell>
        </row>
        <row r="331">
          <cell r="A331">
            <v>37025</v>
          </cell>
          <cell r="C331">
            <v>30</v>
          </cell>
          <cell r="D331">
            <v>44.5</v>
          </cell>
        </row>
        <row r="332">
          <cell r="A332">
            <v>37025</v>
          </cell>
          <cell r="C332">
            <v>30</v>
          </cell>
          <cell r="D332">
            <v>44.5</v>
          </cell>
        </row>
        <row r="333">
          <cell r="A333">
            <v>37025</v>
          </cell>
          <cell r="C333">
            <v>30</v>
          </cell>
          <cell r="D333">
            <v>44.5</v>
          </cell>
        </row>
        <row r="334">
          <cell r="A334">
            <v>37025</v>
          </cell>
          <cell r="C334">
            <v>30</v>
          </cell>
          <cell r="D334">
            <v>44.5</v>
          </cell>
        </row>
        <row r="335">
          <cell r="A335">
            <v>37025</v>
          </cell>
          <cell r="C335">
            <v>30</v>
          </cell>
          <cell r="D335">
            <v>44.5</v>
          </cell>
        </row>
        <row r="336">
          <cell r="A336">
            <v>37025</v>
          </cell>
          <cell r="C336">
            <v>30</v>
          </cell>
          <cell r="D336">
            <v>44.5</v>
          </cell>
        </row>
        <row r="337">
          <cell r="A337">
            <v>37025</v>
          </cell>
          <cell r="C337">
            <v>30</v>
          </cell>
          <cell r="D337">
            <v>44.5</v>
          </cell>
        </row>
        <row r="338">
          <cell r="A338">
            <v>37025</v>
          </cell>
          <cell r="C338">
            <v>30</v>
          </cell>
          <cell r="D338">
            <v>44.5</v>
          </cell>
        </row>
        <row r="339">
          <cell r="A339">
            <v>37025</v>
          </cell>
          <cell r="C339">
            <v>30</v>
          </cell>
          <cell r="D339">
            <v>44.5</v>
          </cell>
        </row>
        <row r="340">
          <cell r="A340">
            <v>37025</v>
          </cell>
          <cell r="C340">
            <v>30</v>
          </cell>
          <cell r="D340">
            <v>44.5</v>
          </cell>
        </row>
        <row r="341">
          <cell r="A341">
            <v>37025</v>
          </cell>
        </row>
        <row r="342">
          <cell r="A342">
            <v>37025</v>
          </cell>
        </row>
        <row r="343">
          <cell r="A343">
            <v>37026</v>
          </cell>
          <cell r="C343">
            <v>20</v>
          </cell>
          <cell r="D343">
            <v>15.5</v>
          </cell>
        </row>
        <row r="344">
          <cell r="A344">
            <v>37026</v>
          </cell>
          <cell r="C344">
            <v>20</v>
          </cell>
          <cell r="D344">
            <v>15.5</v>
          </cell>
        </row>
        <row r="345">
          <cell r="A345">
            <v>37026</v>
          </cell>
          <cell r="C345">
            <v>20</v>
          </cell>
          <cell r="D345">
            <v>15.5</v>
          </cell>
        </row>
        <row r="346">
          <cell r="A346">
            <v>37026</v>
          </cell>
          <cell r="C346">
            <v>20</v>
          </cell>
          <cell r="D346">
            <v>15.5</v>
          </cell>
        </row>
        <row r="347">
          <cell r="A347">
            <v>37026</v>
          </cell>
          <cell r="C347">
            <v>20</v>
          </cell>
          <cell r="D347">
            <v>15.5</v>
          </cell>
        </row>
        <row r="348">
          <cell r="A348">
            <v>37026</v>
          </cell>
          <cell r="C348">
            <v>20</v>
          </cell>
          <cell r="D348">
            <v>15.5</v>
          </cell>
        </row>
        <row r="349">
          <cell r="A349">
            <v>37026</v>
          </cell>
          <cell r="C349">
            <v>35</v>
          </cell>
          <cell r="D349">
            <v>43.5</v>
          </cell>
        </row>
        <row r="350">
          <cell r="A350">
            <v>37026</v>
          </cell>
          <cell r="C350">
            <v>35</v>
          </cell>
          <cell r="D350">
            <v>43.5</v>
          </cell>
        </row>
        <row r="351">
          <cell r="A351">
            <v>37026</v>
          </cell>
          <cell r="C351">
            <v>35</v>
          </cell>
          <cell r="D351">
            <v>43.5</v>
          </cell>
        </row>
        <row r="352">
          <cell r="A352">
            <v>37026</v>
          </cell>
          <cell r="C352">
            <v>35</v>
          </cell>
          <cell r="D352">
            <v>43.5</v>
          </cell>
        </row>
        <row r="353">
          <cell r="A353">
            <v>37026</v>
          </cell>
          <cell r="C353">
            <v>35</v>
          </cell>
          <cell r="D353">
            <v>43.5</v>
          </cell>
        </row>
        <row r="354">
          <cell r="A354">
            <v>37026</v>
          </cell>
          <cell r="C354">
            <v>35</v>
          </cell>
          <cell r="D354">
            <v>43.5</v>
          </cell>
        </row>
        <row r="355">
          <cell r="A355">
            <v>37026</v>
          </cell>
          <cell r="C355">
            <v>35</v>
          </cell>
          <cell r="D355">
            <v>43.5</v>
          </cell>
        </row>
        <row r="356">
          <cell r="A356">
            <v>37026</v>
          </cell>
          <cell r="C356">
            <v>35</v>
          </cell>
          <cell r="D356">
            <v>43.5</v>
          </cell>
        </row>
        <row r="357">
          <cell r="A357">
            <v>37026</v>
          </cell>
          <cell r="C357">
            <v>35</v>
          </cell>
          <cell r="D357">
            <v>43.5</v>
          </cell>
        </row>
        <row r="358">
          <cell r="A358">
            <v>37026</v>
          </cell>
          <cell r="C358">
            <v>35</v>
          </cell>
          <cell r="D358">
            <v>43.5</v>
          </cell>
        </row>
        <row r="359">
          <cell r="A359">
            <v>37026</v>
          </cell>
          <cell r="C359">
            <v>35</v>
          </cell>
          <cell r="D359">
            <v>43.5</v>
          </cell>
        </row>
        <row r="360">
          <cell r="A360">
            <v>37026</v>
          </cell>
          <cell r="C360">
            <v>35</v>
          </cell>
          <cell r="D360">
            <v>43.5</v>
          </cell>
        </row>
        <row r="361">
          <cell r="A361">
            <v>37026</v>
          </cell>
          <cell r="C361">
            <v>35</v>
          </cell>
          <cell r="D361">
            <v>43.5</v>
          </cell>
        </row>
        <row r="362">
          <cell r="A362">
            <v>37026</v>
          </cell>
          <cell r="C362">
            <v>35</v>
          </cell>
          <cell r="D362">
            <v>43.5</v>
          </cell>
        </row>
        <row r="363">
          <cell r="A363">
            <v>37026</v>
          </cell>
          <cell r="C363">
            <v>35</v>
          </cell>
          <cell r="D363">
            <v>43.5</v>
          </cell>
        </row>
        <row r="364">
          <cell r="A364">
            <v>37026</v>
          </cell>
          <cell r="C364">
            <v>35</v>
          </cell>
          <cell r="D364">
            <v>43.5</v>
          </cell>
        </row>
        <row r="365">
          <cell r="A365">
            <v>37026</v>
          </cell>
          <cell r="C365">
            <v>20</v>
          </cell>
          <cell r="D365">
            <v>15.5</v>
          </cell>
        </row>
        <row r="366">
          <cell r="A366">
            <v>37026</v>
          </cell>
          <cell r="C366">
            <v>20</v>
          </cell>
          <cell r="D366">
            <v>15.5</v>
          </cell>
        </row>
        <row r="367">
          <cell r="A367">
            <v>37027</v>
          </cell>
        </row>
        <row r="368">
          <cell r="A368">
            <v>37027</v>
          </cell>
        </row>
        <row r="369">
          <cell r="A369">
            <v>37027</v>
          </cell>
        </row>
        <row r="370">
          <cell r="A370">
            <v>37027</v>
          </cell>
        </row>
        <row r="371">
          <cell r="A371">
            <v>37027</v>
          </cell>
        </row>
        <row r="372">
          <cell r="A372">
            <v>37027</v>
          </cell>
        </row>
        <row r="373">
          <cell r="A373">
            <v>37027</v>
          </cell>
        </row>
        <row r="374">
          <cell r="A374">
            <v>37027</v>
          </cell>
        </row>
        <row r="375">
          <cell r="A375">
            <v>37027</v>
          </cell>
        </row>
        <row r="376">
          <cell r="A376">
            <v>37027</v>
          </cell>
        </row>
        <row r="377">
          <cell r="A377">
            <v>37027</v>
          </cell>
        </row>
        <row r="378">
          <cell r="A378">
            <v>37027</v>
          </cell>
        </row>
        <row r="379">
          <cell r="A379">
            <v>37027</v>
          </cell>
        </row>
        <row r="380">
          <cell r="A380">
            <v>37027</v>
          </cell>
        </row>
        <row r="381">
          <cell r="A381">
            <v>37027</v>
          </cell>
        </row>
        <row r="382">
          <cell r="A382">
            <v>37027</v>
          </cell>
        </row>
        <row r="383">
          <cell r="A383">
            <v>37027</v>
          </cell>
        </row>
        <row r="384">
          <cell r="A384">
            <v>37027</v>
          </cell>
        </row>
        <row r="385">
          <cell r="A385">
            <v>37027</v>
          </cell>
        </row>
        <row r="386">
          <cell r="A386">
            <v>37027</v>
          </cell>
        </row>
        <row r="387">
          <cell r="A387">
            <v>37027</v>
          </cell>
        </row>
        <row r="388">
          <cell r="A388">
            <v>37027</v>
          </cell>
        </row>
        <row r="389">
          <cell r="A389">
            <v>37027</v>
          </cell>
        </row>
        <row r="390">
          <cell r="A390">
            <v>37027</v>
          </cell>
        </row>
        <row r="391">
          <cell r="A391">
            <v>37028</v>
          </cell>
        </row>
        <row r="392">
          <cell r="A392">
            <v>37028</v>
          </cell>
        </row>
        <row r="393">
          <cell r="A393">
            <v>37028</v>
          </cell>
        </row>
        <row r="394">
          <cell r="A394">
            <v>37028</v>
          </cell>
        </row>
        <row r="395">
          <cell r="A395">
            <v>37028</v>
          </cell>
        </row>
        <row r="396">
          <cell r="A396">
            <v>37028</v>
          </cell>
        </row>
        <row r="397">
          <cell r="A397">
            <v>37028</v>
          </cell>
        </row>
        <row r="398">
          <cell r="A398">
            <v>37028</v>
          </cell>
        </row>
        <row r="399">
          <cell r="A399">
            <v>37028</v>
          </cell>
        </row>
        <row r="400">
          <cell r="A400">
            <v>37028</v>
          </cell>
        </row>
        <row r="401">
          <cell r="A401">
            <v>37028</v>
          </cell>
        </row>
        <row r="402">
          <cell r="A402">
            <v>37028</v>
          </cell>
        </row>
        <row r="403">
          <cell r="A403">
            <v>37028</v>
          </cell>
        </row>
        <row r="404">
          <cell r="A404">
            <v>37028</v>
          </cell>
        </row>
        <row r="405">
          <cell r="A405">
            <v>37028</v>
          </cell>
        </row>
        <row r="406">
          <cell r="A406">
            <v>37028</v>
          </cell>
        </row>
        <row r="407">
          <cell r="A407">
            <v>37028</v>
          </cell>
        </row>
        <row r="408">
          <cell r="A408">
            <v>37028</v>
          </cell>
        </row>
        <row r="409">
          <cell r="A409">
            <v>37028</v>
          </cell>
        </row>
        <row r="410">
          <cell r="A410">
            <v>37028</v>
          </cell>
        </row>
        <row r="411">
          <cell r="A411">
            <v>37028</v>
          </cell>
        </row>
        <row r="412">
          <cell r="A412">
            <v>37028</v>
          </cell>
        </row>
        <row r="413">
          <cell r="A413">
            <v>37028</v>
          </cell>
        </row>
        <row r="414">
          <cell r="A414">
            <v>37028</v>
          </cell>
        </row>
        <row r="415">
          <cell r="A415">
            <v>37029</v>
          </cell>
        </row>
        <row r="416">
          <cell r="A416">
            <v>37029</v>
          </cell>
        </row>
        <row r="417">
          <cell r="A417">
            <v>37029</v>
          </cell>
        </row>
        <row r="418">
          <cell r="A418">
            <v>37029</v>
          </cell>
        </row>
        <row r="419">
          <cell r="A419">
            <v>37029</v>
          </cell>
        </row>
        <row r="420">
          <cell r="A420">
            <v>37029</v>
          </cell>
        </row>
        <row r="421">
          <cell r="A421">
            <v>37029</v>
          </cell>
        </row>
        <row r="422">
          <cell r="A422">
            <v>37029</v>
          </cell>
        </row>
        <row r="423">
          <cell r="A423">
            <v>37029</v>
          </cell>
        </row>
        <row r="424">
          <cell r="A424">
            <v>37029</v>
          </cell>
        </row>
        <row r="425">
          <cell r="A425">
            <v>37029</v>
          </cell>
        </row>
        <row r="426">
          <cell r="A426">
            <v>37029</v>
          </cell>
        </row>
        <row r="427">
          <cell r="A427">
            <v>37029</v>
          </cell>
        </row>
        <row r="428">
          <cell r="A428">
            <v>37029</v>
          </cell>
        </row>
        <row r="429">
          <cell r="A429">
            <v>37029</v>
          </cell>
        </row>
        <row r="430">
          <cell r="A430">
            <v>37029</v>
          </cell>
        </row>
        <row r="431">
          <cell r="A431">
            <v>37029</v>
          </cell>
        </row>
        <row r="432">
          <cell r="A432">
            <v>37029</v>
          </cell>
        </row>
        <row r="433">
          <cell r="A433">
            <v>37029</v>
          </cell>
        </row>
        <row r="434">
          <cell r="A434">
            <v>37029</v>
          </cell>
        </row>
        <row r="435">
          <cell r="A435">
            <v>37029</v>
          </cell>
        </row>
        <row r="436">
          <cell r="A436">
            <v>37029</v>
          </cell>
        </row>
        <row r="437">
          <cell r="A437">
            <v>37029</v>
          </cell>
        </row>
        <row r="438">
          <cell r="A438">
            <v>37029</v>
          </cell>
        </row>
        <row r="439">
          <cell r="A439">
            <v>37030</v>
          </cell>
        </row>
        <row r="440">
          <cell r="A440">
            <v>37030</v>
          </cell>
        </row>
        <row r="441">
          <cell r="A441">
            <v>37030</v>
          </cell>
        </row>
        <row r="442">
          <cell r="A442">
            <v>37030</v>
          </cell>
        </row>
        <row r="443">
          <cell r="A443">
            <v>37030</v>
          </cell>
        </row>
        <row r="444">
          <cell r="A444">
            <v>37030</v>
          </cell>
        </row>
        <row r="445">
          <cell r="A445">
            <v>37030</v>
          </cell>
        </row>
        <row r="446">
          <cell r="A446">
            <v>37030</v>
          </cell>
        </row>
        <row r="447">
          <cell r="A447">
            <v>37030</v>
          </cell>
        </row>
        <row r="448">
          <cell r="A448">
            <v>37030</v>
          </cell>
        </row>
        <row r="449">
          <cell r="A449">
            <v>37030</v>
          </cell>
        </row>
        <row r="450">
          <cell r="A450">
            <v>37030</v>
          </cell>
        </row>
        <row r="451">
          <cell r="A451">
            <v>37030</v>
          </cell>
        </row>
        <row r="452">
          <cell r="A452">
            <v>37030</v>
          </cell>
        </row>
        <row r="453">
          <cell r="A453">
            <v>37030</v>
          </cell>
        </row>
        <row r="454">
          <cell r="A454">
            <v>37030</v>
          </cell>
        </row>
        <row r="455">
          <cell r="A455">
            <v>37030</v>
          </cell>
        </row>
        <row r="456">
          <cell r="A456">
            <v>37030</v>
          </cell>
        </row>
        <row r="457">
          <cell r="A457">
            <v>37030</v>
          </cell>
        </row>
        <row r="458">
          <cell r="A458">
            <v>37030</v>
          </cell>
        </row>
        <row r="459">
          <cell r="A459">
            <v>37030</v>
          </cell>
        </row>
        <row r="460">
          <cell r="A460">
            <v>37030</v>
          </cell>
        </row>
        <row r="461">
          <cell r="A461">
            <v>37030</v>
          </cell>
        </row>
        <row r="462">
          <cell r="A462">
            <v>37030</v>
          </cell>
        </row>
        <row r="463">
          <cell r="A463">
            <v>37031</v>
          </cell>
        </row>
        <row r="464">
          <cell r="A464">
            <v>37031</v>
          </cell>
        </row>
        <row r="465">
          <cell r="A465">
            <v>37031</v>
          </cell>
        </row>
        <row r="466">
          <cell r="A466">
            <v>37031</v>
          </cell>
        </row>
        <row r="467">
          <cell r="A467">
            <v>37031</v>
          </cell>
        </row>
        <row r="468">
          <cell r="A468">
            <v>37031</v>
          </cell>
        </row>
        <row r="469">
          <cell r="A469">
            <v>37031</v>
          </cell>
        </row>
        <row r="470">
          <cell r="A470">
            <v>37031</v>
          </cell>
        </row>
        <row r="471">
          <cell r="A471">
            <v>37031</v>
          </cell>
        </row>
        <row r="472">
          <cell r="A472">
            <v>37031</v>
          </cell>
        </row>
        <row r="473">
          <cell r="A473">
            <v>37031</v>
          </cell>
        </row>
        <row r="474">
          <cell r="A474">
            <v>37031</v>
          </cell>
        </row>
        <row r="475">
          <cell r="A475">
            <v>37031</v>
          </cell>
        </row>
        <row r="476">
          <cell r="A476">
            <v>37031</v>
          </cell>
        </row>
        <row r="477">
          <cell r="A477">
            <v>37031</v>
          </cell>
        </row>
        <row r="478">
          <cell r="A478">
            <v>37031</v>
          </cell>
        </row>
        <row r="479">
          <cell r="A479">
            <v>37031</v>
          </cell>
        </row>
        <row r="480">
          <cell r="A480">
            <v>37031</v>
          </cell>
        </row>
        <row r="481">
          <cell r="A481">
            <v>37031</v>
          </cell>
        </row>
        <row r="482">
          <cell r="A482">
            <v>37031</v>
          </cell>
        </row>
        <row r="483">
          <cell r="A483">
            <v>37031</v>
          </cell>
        </row>
        <row r="484">
          <cell r="A484">
            <v>37031</v>
          </cell>
        </row>
        <row r="485">
          <cell r="A485">
            <v>37031</v>
          </cell>
        </row>
        <row r="486">
          <cell r="A486">
            <v>37031</v>
          </cell>
        </row>
        <row r="487">
          <cell r="A487">
            <v>37032</v>
          </cell>
        </row>
        <row r="488">
          <cell r="A488">
            <v>37032</v>
          </cell>
        </row>
        <row r="489">
          <cell r="A489">
            <v>37032</v>
          </cell>
        </row>
        <row r="490">
          <cell r="A490">
            <v>37032</v>
          </cell>
        </row>
        <row r="491">
          <cell r="A491">
            <v>37032</v>
          </cell>
        </row>
        <row r="492">
          <cell r="A492">
            <v>37032</v>
          </cell>
        </row>
        <row r="493">
          <cell r="A493">
            <v>37032</v>
          </cell>
        </row>
        <row r="494">
          <cell r="A494">
            <v>37032</v>
          </cell>
        </row>
        <row r="495">
          <cell r="A495">
            <v>37032</v>
          </cell>
        </row>
        <row r="496">
          <cell r="A496">
            <v>37032</v>
          </cell>
        </row>
        <row r="497">
          <cell r="A497">
            <v>37032</v>
          </cell>
        </row>
        <row r="498">
          <cell r="A498">
            <v>37032</v>
          </cell>
        </row>
        <row r="499">
          <cell r="A499">
            <v>37032</v>
          </cell>
        </row>
        <row r="500">
          <cell r="A500">
            <v>37032</v>
          </cell>
        </row>
        <row r="501">
          <cell r="A501">
            <v>37032</v>
          </cell>
        </row>
        <row r="502">
          <cell r="A502">
            <v>37032</v>
          </cell>
        </row>
        <row r="503">
          <cell r="A503">
            <v>37032</v>
          </cell>
        </row>
        <row r="504">
          <cell r="A504">
            <v>37032</v>
          </cell>
        </row>
        <row r="505">
          <cell r="A505">
            <v>37032</v>
          </cell>
        </row>
        <row r="506">
          <cell r="A506">
            <v>37032</v>
          </cell>
        </row>
        <row r="507">
          <cell r="A507">
            <v>37032</v>
          </cell>
        </row>
        <row r="508">
          <cell r="A508">
            <v>37032</v>
          </cell>
        </row>
        <row r="509">
          <cell r="A509">
            <v>37032</v>
          </cell>
        </row>
        <row r="510">
          <cell r="A510">
            <v>37032</v>
          </cell>
        </row>
        <row r="511">
          <cell r="A511">
            <v>37033</v>
          </cell>
        </row>
        <row r="512">
          <cell r="A512">
            <v>37033</v>
          </cell>
        </row>
        <row r="513">
          <cell r="A513">
            <v>37033</v>
          </cell>
        </row>
        <row r="514">
          <cell r="A514">
            <v>37033</v>
          </cell>
        </row>
        <row r="515">
          <cell r="A515">
            <v>37033</v>
          </cell>
        </row>
        <row r="516">
          <cell r="A516">
            <v>37033</v>
          </cell>
        </row>
        <row r="517">
          <cell r="A517">
            <v>37033</v>
          </cell>
        </row>
        <row r="518">
          <cell r="A518">
            <v>37033</v>
          </cell>
        </row>
        <row r="519">
          <cell r="A519">
            <v>37033</v>
          </cell>
        </row>
        <row r="520">
          <cell r="A520">
            <v>37033</v>
          </cell>
        </row>
        <row r="521">
          <cell r="A521">
            <v>37033</v>
          </cell>
        </row>
        <row r="522">
          <cell r="A522">
            <v>37033</v>
          </cell>
        </row>
        <row r="523">
          <cell r="A523">
            <v>37033</v>
          </cell>
        </row>
        <row r="524">
          <cell r="A524">
            <v>37033</v>
          </cell>
        </row>
        <row r="525">
          <cell r="A525">
            <v>37033</v>
          </cell>
        </row>
        <row r="526">
          <cell r="A526">
            <v>37033</v>
          </cell>
        </row>
        <row r="527">
          <cell r="A527">
            <v>37033</v>
          </cell>
        </row>
        <row r="528">
          <cell r="A528">
            <v>37033</v>
          </cell>
        </row>
        <row r="529">
          <cell r="A529">
            <v>37033</v>
          </cell>
        </row>
        <row r="530">
          <cell r="A530">
            <v>37033</v>
          </cell>
        </row>
        <row r="531">
          <cell r="A531">
            <v>37033</v>
          </cell>
        </row>
        <row r="532">
          <cell r="A532">
            <v>37033</v>
          </cell>
        </row>
        <row r="533">
          <cell r="A533">
            <v>37033</v>
          </cell>
        </row>
        <row r="534">
          <cell r="A534">
            <v>37033</v>
          </cell>
        </row>
        <row r="535">
          <cell r="A535">
            <v>37034</v>
          </cell>
        </row>
        <row r="536">
          <cell r="A536">
            <v>37034</v>
          </cell>
        </row>
        <row r="537">
          <cell r="A537">
            <v>37034</v>
          </cell>
        </row>
        <row r="538">
          <cell r="A538">
            <v>37034</v>
          </cell>
        </row>
        <row r="539">
          <cell r="A539">
            <v>37034</v>
          </cell>
        </row>
        <row r="540">
          <cell r="A540">
            <v>37034</v>
          </cell>
        </row>
        <row r="541">
          <cell r="A541">
            <v>37034</v>
          </cell>
        </row>
        <row r="542">
          <cell r="A542">
            <v>37034</v>
          </cell>
        </row>
        <row r="543">
          <cell r="A543">
            <v>37034</v>
          </cell>
        </row>
        <row r="544">
          <cell r="A544">
            <v>37034</v>
          </cell>
        </row>
        <row r="545">
          <cell r="A545">
            <v>37034</v>
          </cell>
        </row>
        <row r="546">
          <cell r="A546">
            <v>37034</v>
          </cell>
        </row>
        <row r="547">
          <cell r="A547">
            <v>37034</v>
          </cell>
        </row>
        <row r="548">
          <cell r="A548">
            <v>37034</v>
          </cell>
        </row>
        <row r="549">
          <cell r="A549">
            <v>37034</v>
          </cell>
        </row>
        <row r="550">
          <cell r="A550">
            <v>37034</v>
          </cell>
        </row>
        <row r="551">
          <cell r="A551">
            <v>37034</v>
          </cell>
        </row>
        <row r="552">
          <cell r="A552">
            <v>37034</v>
          </cell>
        </row>
        <row r="553">
          <cell r="A553">
            <v>37034</v>
          </cell>
        </row>
        <row r="554">
          <cell r="A554">
            <v>37034</v>
          </cell>
        </row>
        <row r="555">
          <cell r="A555">
            <v>37034</v>
          </cell>
        </row>
        <row r="556">
          <cell r="A556">
            <v>37034</v>
          </cell>
        </row>
        <row r="557">
          <cell r="A557">
            <v>37034</v>
          </cell>
        </row>
        <row r="558">
          <cell r="A558">
            <v>37034</v>
          </cell>
        </row>
        <row r="559">
          <cell r="A559">
            <v>37035</v>
          </cell>
        </row>
        <row r="560">
          <cell r="A560">
            <v>37035</v>
          </cell>
        </row>
        <row r="561">
          <cell r="A561">
            <v>37035</v>
          </cell>
        </row>
        <row r="562">
          <cell r="A562">
            <v>37035</v>
          </cell>
        </row>
        <row r="563">
          <cell r="A563">
            <v>37035</v>
          </cell>
        </row>
        <row r="564">
          <cell r="A564">
            <v>37035</v>
          </cell>
        </row>
        <row r="565">
          <cell r="A565">
            <v>37035</v>
          </cell>
        </row>
        <row r="566">
          <cell r="A566">
            <v>37035</v>
          </cell>
        </row>
        <row r="567">
          <cell r="A567">
            <v>37035</v>
          </cell>
        </row>
        <row r="568">
          <cell r="A568">
            <v>37035</v>
          </cell>
        </row>
        <row r="569">
          <cell r="A569">
            <v>37035</v>
          </cell>
        </row>
        <row r="570">
          <cell r="A570">
            <v>37035</v>
          </cell>
        </row>
        <row r="571">
          <cell r="A571">
            <v>37035</v>
          </cell>
        </row>
        <row r="572">
          <cell r="A572">
            <v>37035</v>
          </cell>
        </row>
        <row r="573">
          <cell r="A573">
            <v>37035</v>
          </cell>
        </row>
        <row r="574">
          <cell r="A574">
            <v>37035</v>
          </cell>
        </row>
        <row r="575">
          <cell r="A575">
            <v>37035</v>
          </cell>
        </row>
        <row r="576">
          <cell r="A576">
            <v>37035</v>
          </cell>
        </row>
        <row r="577">
          <cell r="A577">
            <v>37035</v>
          </cell>
        </row>
        <row r="578">
          <cell r="A578">
            <v>37035</v>
          </cell>
        </row>
        <row r="579">
          <cell r="A579">
            <v>37035</v>
          </cell>
        </row>
        <row r="580">
          <cell r="A580">
            <v>37035</v>
          </cell>
        </row>
        <row r="581">
          <cell r="A581">
            <v>37035</v>
          </cell>
        </row>
        <row r="582">
          <cell r="A582">
            <v>37035</v>
          </cell>
        </row>
      </sheetData>
      <sheetData sheetId="3">
        <row r="7">
          <cell r="A7">
            <v>37012</v>
          </cell>
          <cell r="C7">
            <v>15</v>
          </cell>
          <cell r="D7">
            <v>22</v>
          </cell>
        </row>
        <row r="8">
          <cell r="A8">
            <v>37012</v>
          </cell>
          <cell r="C8">
            <v>12</v>
          </cell>
          <cell r="D8">
            <v>22</v>
          </cell>
        </row>
        <row r="9">
          <cell r="A9">
            <v>37012</v>
          </cell>
          <cell r="C9">
            <v>12</v>
          </cell>
          <cell r="D9">
            <v>22</v>
          </cell>
        </row>
        <row r="10">
          <cell r="A10">
            <v>37012</v>
          </cell>
          <cell r="C10">
            <v>12</v>
          </cell>
          <cell r="D10">
            <v>22</v>
          </cell>
        </row>
        <row r="11">
          <cell r="A11">
            <v>37012</v>
          </cell>
          <cell r="C11">
            <v>13</v>
          </cell>
          <cell r="D11">
            <v>22</v>
          </cell>
        </row>
        <row r="12">
          <cell r="A12">
            <v>37012</v>
          </cell>
          <cell r="C12">
            <v>16</v>
          </cell>
          <cell r="D12">
            <v>22</v>
          </cell>
        </row>
        <row r="13">
          <cell r="A13">
            <v>37012</v>
          </cell>
        </row>
        <row r="14">
          <cell r="A14">
            <v>37012</v>
          </cell>
        </row>
        <row r="15">
          <cell r="A15">
            <v>37012</v>
          </cell>
        </row>
        <row r="16">
          <cell r="A16">
            <v>37012</v>
          </cell>
        </row>
        <row r="17">
          <cell r="A17">
            <v>37012</v>
          </cell>
        </row>
        <row r="18">
          <cell r="A18">
            <v>37012</v>
          </cell>
        </row>
        <row r="19">
          <cell r="A19">
            <v>37012</v>
          </cell>
        </row>
        <row r="20">
          <cell r="A20">
            <v>37012</v>
          </cell>
        </row>
        <row r="21">
          <cell r="A21">
            <v>37012</v>
          </cell>
        </row>
        <row r="22">
          <cell r="A22">
            <v>37012</v>
          </cell>
          <cell r="C22">
            <v>7</v>
          </cell>
          <cell r="D22">
            <v>60.42</v>
          </cell>
        </row>
        <row r="23">
          <cell r="A23">
            <v>37012</v>
          </cell>
          <cell r="C23">
            <v>7</v>
          </cell>
          <cell r="D23">
            <v>60.42</v>
          </cell>
        </row>
        <row r="24">
          <cell r="A24">
            <v>37012</v>
          </cell>
          <cell r="C24">
            <v>7</v>
          </cell>
          <cell r="D24">
            <v>60.42</v>
          </cell>
        </row>
        <row r="25">
          <cell r="A25">
            <v>37012</v>
          </cell>
          <cell r="C25">
            <v>7</v>
          </cell>
          <cell r="D25">
            <v>60.42</v>
          </cell>
        </row>
        <row r="26">
          <cell r="A26">
            <v>37012</v>
          </cell>
          <cell r="C26">
            <v>7</v>
          </cell>
          <cell r="D26">
            <v>60.42</v>
          </cell>
        </row>
        <row r="27">
          <cell r="A27">
            <v>37012</v>
          </cell>
        </row>
        <row r="28">
          <cell r="A28">
            <v>37012</v>
          </cell>
        </row>
        <row r="29">
          <cell r="A29">
            <v>37012</v>
          </cell>
          <cell r="C29">
            <v>25</v>
          </cell>
          <cell r="D29">
            <v>59</v>
          </cell>
        </row>
        <row r="30">
          <cell r="A30">
            <v>37012</v>
          </cell>
          <cell r="C30">
            <v>20</v>
          </cell>
          <cell r="D30">
            <v>58</v>
          </cell>
        </row>
        <row r="31">
          <cell r="A31">
            <v>37013</v>
          </cell>
          <cell r="C31">
            <v>17</v>
          </cell>
          <cell r="D31">
            <v>23</v>
          </cell>
        </row>
        <row r="32">
          <cell r="A32">
            <v>37013</v>
          </cell>
          <cell r="C32">
            <v>19</v>
          </cell>
          <cell r="D32">
            <v>20</v>
          </cell>
        </row>
        <row r="33">
          <cell r="A33">
            <v>37013</v>
          </cell>
          <cell r="C33">
            <v>17</v>
          </cell>
          <cell r="D33">
            <v>20</v>
          </cell>
        </row>
        <row r="34">
          <cell r="A34">
            <v>37013</v>
          </cell>
          <cell r="C34">
            <v>17</v>
          </cell>
          <cell r="D34">
            <v>20</v>
          </cell>
        </row>
        <row r="35">
          <cell r="A35">
            <v>37013</v>
          </cell>
          <cell r="C35">
            <v>16</v>
          </cell>
          <cell r="D35">
            <v>20</v>
          </cell>
        </row>
        <row r="36">
          <cell r="A36">
            <v>37013</v>
          </cell>
          <cell r="C36">
            <v>13</v>
          </cell>
          <cell r="D36">
            <v>20</v>
          </cell>
        </row>
        <row r="37">
          <cell r="A37">
            <v>37013</v>
          </cell>
        </row>
        <row r="38">
          <cell r="A38">
            <v>37013</v>
          </cell>
        </row>
        <row r="39">
          <cell r="A39">
            <v>37013</v>
          </cell>
        </row>
        <row r="40">
          <cell r="A40">
            <v>37013</v>
          </cell>
        </row>
        <row r="41">
          <cell r="A41">
            <v>37013</v>
          </cell>
        </row>
        <row r="42">
          <cell r="A42">
            <v>37013</v>
          </cell>
        </row>
        <row r="43">
          <cell r="A43">
            <v>37013</v>
          </cell>
        </row>
        <row r="44">
          <cell r="A44">
            <v>37013</v>
          </cell>
        </row>
        <row r="45">
          <cell r="A45">
            <v>37013</v>
          </cell>
        </row>
        <row r="46">
          <cell r="A46">
            <v>37013</v>
          </cell>
        </row>
        <row r="47">
          <cell r="A47">
            <v>37013</v>
          </cell>
        </row>
        <row r="48">
          <cell r="A48">
            <v>37013</v>
          </cell>
        </row>
        <row r="49">
          <cell r="A49">
            <v>37013</v>
          </cell>
        </row>
        <row r="50">
          <cell r="A50">
            <v>37013</v>
          </cell>
        </row>
        <row r="51">
          <cell r="A51">
            <v>37013</v>
          </cell>
        </row>
        <row r="52">
          <cell r="A52">
            <v>37013</v>
          </cell>
        </row>
        <row r="53">
          <cell r="A53">
            <v>37013</v>
          </cell>
          <cell r="C53">
            <v>24</v>
          </cell>
          <cell r="D53">
            <v>55</v>
          </cell>
        </row>
        <row r="54">
          <cell r="A54">
            <v>37013</v>
          </cell>
          <cell r="C54">
            <v>22</v>
          </cell>
          <cell r="D54">
            <v>35</v>
          </cell>
        </row>
        <row r="55">
          <cell r="A55">
            <v>37014</v>
          </cell>
        </row>
        <row r="56">
          <cell r="A56">
            <v>37014</v>
          </cell>
        </row>
        <row r="57">
          <cell r="A57">
            <v>37014</v>
          </cell>
        </row>
        <row r="58">
          <cell r="A58">
            <v>37014</v>
          </cell>
        </row>
        <row r="59">
          <cell r="A59">
            <v>37014</v>
          </cell>
        </row>
        <row r="60">
          <cell r="A60">
            <v>37014</v>
          </cell>
        </row>
        <row r="61">
          <cell r="A61">
            <v>37014</v>
          </cell>
        </row>
        <row r="62">
          <cell r="A62">
            <v>37014</v>
          </cell>
        </row>
        <row r="63">
          <cell r="A63">
            <v>37014</v>
          </cell>
        </row>
        <row r="64">
          <cell r="A64">
            <v>37014</v>
          </cell>
        </row>
        <row r="65">
          <cell r="A65">
            <v>37014</v>
          </cell>
        </row>
        <row r="66">
          <cell r="A66">
            <v>37014</v>
          </cell>
        </row>
        <row r="67">
          <cell r="A67">
            <v>37014</v>
          </cell>
        </row>
        <row r="68">
          <cell r="A68">
            <v>37014</v>
          </cell>
        </row>
        <row r="69">
          <cell r="A69">
            <v>37014</v>
          </cell>
        </row>
        <row r="70">
          <cell r="A70">
            <v>37014</v>
          </cell>
          <cell r="C70">
            <v>7</v>
          </cell>
          <cell r="D70">
            <v>50</v>
          </cell>
        </row>
        <row r="71">
          <cell r="A71">
            <v>37014</v>
          </cell>
        </row>
        <row r="72">
          <cell r="A72">
            <v>37014</v>
          </cell>
        </row>
        <row r="73">
          <cell r="A73">
            <v>37014</v>
          </cell>
          <cell r="C73">
            <v>10</v>
          </cell>
          <cell r="D73">
            <v>75</v>
          </cell>
        </row>
        <row r="74">
          <cell r="A74">
            <v>37014</v>
          </cell>
          <cell r="C74">
            <v>10</v>
          </cell>
          <cell r="D74">
            <v>75</v>
          </cell>
        </row>
        <row r="75">
          <cell r="A75">
            <v>37014</v>
          </cell>
          <cell r="C75">
            <v>8</v>
          </cell>
          <cell r="D75">
            <v>69</v>
          </cell>
        </row>
        <row r="76">
          <cell r="A76">
            <v>37014</v>
          </cell>
          <cell r="C76">
            <v>7</v>
          </cell>
          <cell r="D76">
            <v>55</v>
          </cell>
        </row>
        <row r="77">
          <cell r="A77">
            <v>37014</v>
          </cell>
          <cell r="C77">
            <v>20</v>
          </cell>
          <cell r="D77">
            <v>45</v>
          </cell>
        </row>
        <row r="78">
          <cell r="A78">
            <v>37014</v>
          </cell>
          <cell r="C78">
            <v>14</v>
          </cell>
          <cell r="D78">
            <v>40</v>
          </cell>
        </row>
        <row r="79">
          <cell r="A79">
            <v>37015</v>
          </cell>
          <cell r="C79">
            <v>10</v>
          </cell>
          <cell r="D79">
            <v>28</v>
          </cell>
        </row>
        <row r="80">
          <cell r="A80">
            <v>37015</v>
          </cell>
          <cell r="C80">
            <v>6</v>
          </cell>
          <cell r="D80">
            <v>22</v>
          </cell>
        </row>
        <row r="81">
          <cell r="A81">
            <v>37015</v>
          </cell>
          <cell r="C81">
            <v>3</v>
          </cell>
          <cell r="D81">
            <v>20</v>
          </cell>
        </row>
        <row r="82">
          <cell r="A82">
            <v>37015</v>
          </cell>
          <cell r="C82">
            <v>3</v>
          </cell>
          <cell r="D82">
            <v>20</v>
          </cell>
        </row>
        <row r="83">
          <cell r="A83">
            <v>37015</v>
          </cell>
          <cell r="C83">
            <v>4</v>
          </cell>
          <cell r="D83">
            <v>20</v>
          </cell>
        </row>
        <row r="84">
          <cell r="A84">
            <v>37015</v>
          </cell>
        </row>
        <row r="85">
          <cell r="A85">
            <v>37015</v>
          </cell>
        </row>
        <row r="86">
          <cell r="A86">
            <v>37015</v>
          </cell>
        </row>
        <row r="87">
          <cell r="A87">
            <v>37015</v>
          </cell>
          <cell r="C87">
            <v>3</v>
          </cell>
          <cell r="D87">
            <v>30</v>
          </cell>
        </row>
        <row r="88">
          <cell r="A88">
            <v>37015</v>
          </cell>
        </row>
        <row r="89">
          <cell r="A89">
            <v>37015</v>
          </cell>
          <cell r="C89">
            <v>6</v>
          </cell>
          <cell r="D89">
            <v>45</v>
          </cell>
        </row>
        <row r="90">
          <cell r="A90">
            <v>37015</v>
          </cell>
          <cell r="C90">
            <v>6</v>
          </cell>
          <cell r="D90">
            <v>51</v>
          </cell>
        </row>
        <row r="91">
          <cell r="A91">
            <v>37015</v>
          </cell>
        </row>
        <row r="92">
          <cell r="A92">
            <v>37015</v>
          </cell>
        </row>
        <row r="93">
          <cell r="A93">
            <v>37015</v>
          </cell>
          <cell r="C93">
            <v>5</v>
          </cell>
          <cell r="D93">
            <v>60</v>
          </cell>
        </row>
        <row r="94">
          <cell r="A94">
            <v>37015</v>
          </cell>
          <cell r="C94">
            <v>5</v>
          </cell>
          <cell r="D94">
            <v>65</v>
          </cell>
        </row>
        <row r="95">
          <cell r="A95">
            <v>37015</v>
          </cell>
          <cell r="C95">
            <v>5</v>
          </cell>
          <cell r="D95">
            <v>65</v>
          </cell>
        </row>
        <row r="96">
          <cell r="A96">
            <v>37015</v>
          </cell>
          <cell r="C96">
            <v>5</v>
          </cell>
          <cell r="D96">
            <v>65</v>
          </cell>
        </row>
        <row r="97">
          <cell r="A97">
            <v>37015</v>
          </cell>
          <cell r="C97">
            <v>5</v>
          </cell>
          <cell r="D97">
            <v>65</v>
          </cell>
        </row>
        <row r="98">
          <cell r="A98">
            <v>37015</v>
          </cell>
          <cell r="C98">
            <v>5</v>
          </cell>
          <cell r="D98">
            <v>65</v>
          </cell>
        </row>
        <row r="99">
          <cell r="A99">
            <v>37015</v>
          </cell>
          <cell r="C99">
            <v>5</v>
          </cell>
          <cell r="D99">
            <v>65</v>
          </cell>
        </row>
        <row r="100">
          <cell r="A100">
            <v>37015</v>
          </cell>
          <cell r="C100">
            <v>5</v>
          </cell>
          <cell r="D100">
            <v>65</v>
          </cell>
        </row>
        <row r="101">
          <cell r="A101">
            <v>37015</v>
          </cell>
        </row>
        <row r="102">
          <cell r="A102">
            <v>37015</v>
          </cell>
        </row>
        <row r="103">
          <cell r="A103">
            <v>37016</v>
          </cell>
        </row>
        <row r="104">
          <cell r="A104">
            <v>37016</v>
          </cell>
        </row>
        <row r="105">
          <cell r="A105">
            <v>37016</v>
          </cell>
        </row>
        <row r="106">
          <cell r="A106">
            <v>37016</v>
          </cell>
        </row>
        <row r="107">
          <cell r="A107">
            <v>37016</v>
          </cell>
        </row>
        <row r="108">
          <cell r="A108">
            <v>37016</v>
          </cell>
        </row>
        <row r="109">
          <cell r="A109">
            <v>37016</v>
          </cell>
        </row>
        <row r="110">
          <cell r="A110">
            <v>37016</v>
          </cell>
        </row>
        <row r="111">
          <cell r="A111">
            <v>37016</v>
          </cell>
        </row>
        <row r="112">
          <cell r="A112">
            <v>37016</v>
          </cell>
        </row>
        <row r="113">
          <cell r="A113">
            <v>37016</v>
          </cell>
        </row>
        <row r="114">
          <cell r="A114">
            <v>37016</v>
          </cell>
        </row>
        <row r="115">
          <cell r="A115">
            <v>37016</v>
          </cell>
        </row>
        <row r="116">
          <cell r="A116">
            <v>37016</v>
          </cell>
        </row>
        <row r="117">
          <cell r="A117">
            <v>37016</v>
          </cell>
        </row>
        <row r="118">
          <cell r="A118">
            <v>37016</v>
          </cell>
        </row>
        <row r="119">
          <cell r="A119">
            <v>37016</v>
          </cell>
        </row>
        <row r="120">
          <cell r="A120">
            <v>37016</v>
          </cell>
        </row>
        <row r="121">
          <cell r="A121">
            <v>37016</v>
          </cell>
        </row>
        <row r="122">
          <cell r="A122">
            <v>37016</v>
          </cell>
        </row>
        <row r="123">
          <cell r="A123">
            <v>37016</v>
          </cell>
        </row>
        <row r="124">
          <cell r="A124">
            <v>37016</v>
          </cell>
        </row>
        <row r="125">
          <cell r="A125">
            <v>37016</v>
          </cell>
        </row>
        <row r="126">
          <cell r="A126">
            <v>37016</v>
          </cell>
        </row>
        <row r="127">
          <cell r="A127">
            <v>37017</v>
          </cell>
        </row>
        <row r="128">
          <cell r="A128">
            <v>37017</v>
          </cell>
        </row>
        <row r="129">
          <cell r="A129">
            <v>37017</v>
          </cell>
        </row>
        <row r="130">
          <cell r="A130">
            <v>37017</v>
          </cell>
        </row>
        <row r="131">
          <cell r="A131">
            <v>37017</v>
          </cell>
        </row>
        <row r="132">
          <cell r="A132">
            <v>37017</v>
          </cell>
        </row>
        <row r="133">
          <cell r="A133">
            <v>37017</v>
          </cell>
        </row>
        <row r="134">
          <cell r="A134">
            <v>37017</v>
          </cell>
        </row>
        <row r="135">
          <cell r="A135">
            <v>37017</v>
          </cell>
        </row>
        <row r="136">
          <cell r="A136">
            <v>37017</v>
          </cell>
        </row>
        <row r="137">
          <cell r="A137">
            <v>37017</v>
          </cell>
        </row>
        <row r="138">
          <cell r="A138">
            <v>37017</v>
          </cell>
        </row>
        <row r="139">
          <cell r="A139">
            <v>37017</v>
          </cell>
        </row>
        <row r="140">
          <cell r="A140">
            <v>37017</v>
          </cell>
        </row>
        <row r="141">
          <cell r="A141">
            <v>37017</v>
          </cell>
        </row>
        <row r="142">
          <cell r="A142">
            <v>37017</v>
          </cell>
        </row>
        <row r="143">
          <cell r="A143">
            <v>37017</v>
          </cell>
          <cell r="C143">
            <v>5</v>
          </cell>
          <cell r="D143">
            <v>35</v>
          </cell>
        </row>
        <row r="144">
          <cell r="A144">
            <v>37017</v>
          </cell>
          <cell r="C144">
            <v>5</v>
          </cell>
          <cell r="D144">
            <v>35</v>
          </cell>
        </row>
        <row r="145">
          <cell r="A145">
            <v>37017</v>
          </cell>
          <cell r="C145">
            <v>5</v>
          </cell>
          <cell r="D145">
            <v>40</v>
          </cell>
        </row>
        <row r="146">
          <cell r="A146">
            <v>37017</v>
          </cell>
          <cell r="C146">
            <v>8</v>
          </cell>
          <cell r="D146">
            <v>40</v>
          </cell>
        </row>
        <row r="147">
          <cell r="A147">
            <v>37017</v>
          </cell>
          <cell r="C147">
            <v>6</v>
          </cell>
          <cell r="D147">
            <v>51</v>
          </cell>
        </row>
        <row r="148">
          <cell r="A148">
            <v>37017</v>
          </cell>
        </row>
        <row r="149">
          <cell r="A149">
            <v>37017</v>
          </cell>
          <cell r="C149">
            <v>4</v>
          </cell>
          <cell r="D149">
            <v>30</v>
          </cell>
        </row>
        <row r="150">
          <cell r="A150">
            <v>37017</v>
          </cell>
          <cell r="C150">
            <v>4</v>
          </cell>
          <cell r="D150">
            <v>28</v>
          </cell>
        </row>
        <row r="151">
          <cell r="A151">
            <v>37018</v>
          </cell>
        </row>
        <row r="152">
          <cell r="A152">
            <v>37018</v>
          </cell>
        </row>
        <row r="153">
          <cell r="A153">
            <v>37018</v>
          </cell>
        </row>
        <row r="154">
          <cell r="A154">
            <v>37018</v>
          </cell>
        </row>
        <row r="155">
          <cell r="A155">
            <v>37018</v>
          </cell>
        </row>
        <row r="156">
          <cell r="A156">
            <v>37018</v>
          </cell>
        </row>
        <row r="157">
          <cell r="A157">
            <v>37018</v>
          </cell>
        </row>
        <row r="158">
          <cell r="A158">
            <v>37018</v>
          </cell>
        </row>
        <row r="159">
          <cell r="A159">
            <v>37018</v>
          </cell>
        </row>
        <row r="160">
          <cell r="A160">
            <v>37018</v>
          </cell>
        </row>
        <row r="161">
          <cell r="A161">
            <v>37018</v>
          </cell>
        </row>
        <row r="162">
          <cell r="A162">
            <v>37018</v>
          </cell>
        </row>
        <row r="163">
          <cell r="A163">
            <v>37018</v>
          </cell>
        </row>
        <row r="164">
          <cell r="A164">
            <v>37018</v>
          </cell>
        </row>
        <row r="165">
          <cell r="A165">
            <v>37018</v>
          </cell>
        </row>
        <row r="166">
          <cell r="A166">
            <v>37018</v>
          </cell>
        </row>
        <row r="167">
          <cell r="A167">
            <v>37018</v>
          </cell>
        </row>
        <row r="168">
          <cell r="A168">
            <v>37018</v>
          </cell>
        </row>
        <row r="169">
          <cell r="A169">
            <v>37018</v>
          </cell>
        </row>
        <row r="170">
          <cell r="A170">
            <v>37018</v>
          </cell>
        </row>
        <row r="171">
          <cell r="A171">
            <v>37018</v>
          </cell>
        </row>
        <row r="172">
          <cell r="A172">
            <v>37018</v>
          </cell>
        </row>
        <row r="173">
          <cell r="A173">
            <v>37018</v>
          </cell>
          <cell r="C173">
            <v>6</v>
          </cell>
          <cell r="D173">
            <v>33</v>
          </cell>
        </row>
        <row r="174">
          <cell r="A174">
            <v>37018</v>
          </cell>
          <cell r="C174">
            <v>5</v>
          </cell>
          <cell r="D174">
            <v>29</v>
          </cell>
        </row>
        <row r="175">
          <cell r="A175">
            <v>37019</v>
          </cell>
          <cell r="C175">
            <v>13</v>
          </cell>
          <cell r="D175">
            <v>18</v>
          </cell>
        </row>
        <row r="176">
          <cell r="A176">
            <v>37019</v>
          </cell>
          <cell r="C176">
            <v>8</v>
          </cell>
          <cell r="D176">
            <v>18</v>
          </cell>
        </row>
        <row r="177">
          <cell r="A177">
            <v>37019</v>
          </cell>
          <cell r="C177">
            <v>4</v>
          </cell>
          <cell r="D177">
            <v>18</v>
          </cell>
        </row>
        <row r="178">
          <cell r="A178">
            <v>37019</v>
          </cell>
          <cell r="C178">
            <v>3</v>
          </cell>
          <cell r="D178">
            <v>18</v>
          </cell>
        </row>
        <row r="179">
          <cell r="A179">
            <v>37019</v>
          </cell>
          <cell r="C179">
            <v>3</v>
          </cell>
          <cell r="D179">
            <v>17</v>
          </cell>
        </row>
        <row r="180">
          <cell r="A180">
            <v>37019</v>
          </cell>
          <cell r="C180">
            <v>4</v>
          </cell>
          <cell r="D180">
            <v>18</v>
          </cell>
        </row>
        <row r="181">
          <cell r="A181">
            <v>37019</v>
          </cell>
        </row>
        <row r="182">
          <cell r="A182">
            <v>37019</v>
          </cell>
        </row>
        <row r="183">
          <cell r="A183">
            <v>37019</v>
          </cell>
        </row>
        <row r="184">
          <cell r="A184">
            <v>37019</v>
          </cell>
        </row>
        <row r="185">
          <cell r="A185">
            <v>37019</v>
          </cell>
        </row>
        <row r="186">
          <cell r="A186">
            <v>37019</v>
          </cell>
        </row>
        <row r="187">
          <cell r="A187">
            <v>37019</v>
          </cell>
        </row>
        <row r="188">
          <cell r="A188">
            <v>37019</v>
          </cell>
        </row>
        <row r="189">
          <cell r="A189">
            <v>37019</v>
          </cell>
        </row>
        <row r="190">
          <cell r="A190">
            <v>37019</v>
          </cell>
        </row>
        <row r="191">
          <cell r="A191">
            <v>37019</v>
          </cell>
        </row>
        <row r="192">
          <cell r="A192">
            <v>37019</v>
          </cell>
        </row>
        <row r="193">
          <cell r="A193">
            <v>37019</v>
          </cell>
        </row>
        <row r="194">
          <cell r="A194">
            <v>37019</v>
          </cell>
        </row>
        <row r="195">
          <cell r="A195">
            <v>37019</v>
          </cell>
        </row>
        <row r="196">
          <cell r="A196">
            <v>37019</v>
          </cell>
        </row>
        <row r="197">
          <cell r="A197">
            <v>37019</v>
          </cell>
          <cell r="C197">
            <v>13</v>
          </cell>
          <cell r="D197">
            <v>28.33</v>
          </cell>
        </row>
        <row r="198">
          <cell r="A198">
            <v>37019</v>
          </cell>
          <cell r="C198">
            <v>12</v>
          </cell>
          <cell r="D198">
            <v>21.43</v>
          </cell>
        </row>
        <row r="199">
          <cell r="A199">
            <v>37020</v>
          </cell>
          <cell r="C199">
            <v>10</v>
          </cell>
          <cell r="D199">
            <v>19</v>
          </cell>
        </row>
        <row r="200">
          <cell r="A200">
            <v>37020</v>
          </cell>
          <cell r="C200">
            <v>5</v>
          </cell>
          <cell r="D200">
            <v>19</v>
          </cell>
        </row>
        <row r="201">
          <cell r="A201">
            <v>37020</v>
          </cell>
          <cell r="C201">
            <v>4</v>
          </cell>
          <cell r="D201">
            <v>19</v>
          </cell>
        </row>
        <row r="202">
          <cell r="A202">
            <v>37020</v>
          </cell>
          <cell r="C202">
            <v>4</v>
          </cell>
          <cell r="D202">
            <v>19</v>
          </cell>
        </row>
        <row r="203">
          <cell r="A203">
            <v>37020</v>
          </cell>
          <cell r="C203">
            <v>4</v>
          </cell>
          <cell r="D203">
            <v>19</v>
          </cell>
        </row>
        <row r="204">
          <cell r="A204">
            <v>37020</v>
          </cell>
          <cell r="C204">
            <v>4</v>
          </cell>
          <cell r="D204">
            <v>19</v>
          </cell>
        </row>
        <row r="205">
          <cell r="A205">
            <v>37020</v>
          </cell>
        </row>
        <row r="206">
          <cell r="A206">
            <v>37020</v>
          </cell>
        </row>
        <row r="207">
          <cell r="A207">
            <v>37020</v>
          </cell>
        </row>
        <row r="208">
          <cell r="A208">
            <v>37020</v>
          </cell>
        </row>
        <row r="209">
          <cell r="A209">
            <v>37020</v>
          </cell>
        </row>
        <row r="210">
          <cell r="A210">
            <v>37020</v>
          </cell>
        </row>
        <row r="211">
          <cell r="A211">
            <v>37020</v>
          </cell>
        </row>
        <row r="212">
          <cell r="A212">
            <v>37020</v>
          </cell>
        </row>
        <row r="213">
          <cell r="A213">
            <v>37020</v>
          </cell>
        </row>
        <row r="214">
          <cell r="A214">
            <v>37020</v>
          </cell>
        </row>
        <row r="215">
          <cell r="A215">
            <v>37020</v>
          </cell>
        </row>
        <row r="216">
          <cell r="A216">
            <v>37020</v>
          </cell>
          <cell r="C216">
            <v>6</v>
          </cell>
          <cell r="D216">
            <v>48</v>
          </cell>
        </row>
        <row r="217">
          <cell r="A217">
            <v>37020</v>
          </cell>
          <cell r="C217">
            <v>6</v>
          </cell>
          <cell r="D217">
            <v>48</v>
          </cell>
        </row>
        <row r="218">
          <cell r="A218">
            <v>37020</v>
          </cell>
          <cell r="C218">
            <v>3</v>
          </cell>
          <cell r="D218">
            <v>48</v>
          </cell>
        </row>
        <row r="219">
          <cell r="A219">
            <v>37020</v>
          </cell>
          <cell r="C219">
            <v>6</v>
          </cell>
          <cell r="D219">
            <v>38</v>
          </cell>
        </row>
        <row r="220">
          <cell r="A220">
            <v>37020</v>
          </cell>
          <cell r="C220">
            <v>4</v>
          </cell>
          <cell r="D220">
            <v>38</v>
          </cell>
        </row>
        <row r="221">
          <cell r="A221">
            <v>37020</v>
          </cell>
          <cell r="C221">
            <v>17</v>
          </cell>
          <cell r="D221">
            <v>28</v>
          </cell>
        </row>
        <row r="222">
          <cell r="A222">
            <v>37020</v>
          </cell>
          <cell r="C222">
            <v>14</v>
          </cell>
          <cell r="D222">
            <v>22</v>
          </cell>
        </row>
        <row r="223">
          <cell r="A223">
            <v>37021</v>
          </cell>
          <cell r="C223">
            <v>10</v>
          </cell>
          <cell r="D223">
            <v>19</v>
          </cell>
        </row>
        <row r="224">
          <cell r="A224">
            <v>37021</v>
          </cell>
          <cell r="C224">
            <v>6</v>
          </cell>
          <cell r="D224">
            <v>19</v>
          </cell>
        </row>
        <row r="225">
          <cell r="A225">
            <v>37021</v>
          </cell>
          <cell r="C225">
            <v>4</v>
          </cell>
          <cell r="D225">
            <v>17</v>
          </cell>
        </row>
        <row r="226">
          <cell r="A226">
            <v>37021</v>
          </cell>
          <cell r="C226">
            <v>4</v>
          </cell>
          <cell r="D226">
            <v>17</v>
          </cell>
        </row>
        <row r="227">
          <cell r="A227">
            <v>37021</v>
          </cell>
          <cell r="C227">
            <v>4</v>
          </cell>
          <cell r="D227">
            <v>17</v>
          </cell>
        </row>
        <row r="228">
          <cell r="A228">
            <v>37021</v>
          </cell>
          <cell r="C228">
            <v>4</v>
          </cell>
          <cell r="D228">
            <v>17</v>
          </cell>
        </row>
        <row r="229">
          <cell r="A229">
            <v>37021</v>
          </cell>
          <cell r="C229">
            <v>3</v>
          </cell>
          <cell r="D229">
            <v>24</v>
          </cell>
        </row>
        <row r="230">
          <cell r="A230">
            <v>37021</v>
          </cell>
        </row>
        <row r="231">
          <cell r="A231">
            <v>37021</v>
          </cell>
        </row>
        <row r="232">
          <cell r="A232">
            <v>37021</v>
          </cell>
        </row>
        <row r="233">
          <cell r="A233">
            <v>37021</v>
          </cell>
        </row>
        <row r="234">
          <cell r="A234">
            <v>37021</v>
          </cell>
        </row>
        <row r="235">
          <cell r="A235">
            <v>37021</v>
          </cell>
          <cell r="C235">
            <v>5</v>
          </cell>
          <cell r="D235">
            <v>50</v>
          </cell>
        </row>
        <row r="236">
          <cell r="A236">
            <v>37021</v>
          </cell>
          <cell r="C236">
            <v>5</v>
          </cell>
          <cell r="D236">
            <v>45</v>
          </cell>
        </row>
        <row r="237">
          <cell r="A237">
            <v>37021</v>
          </cell>
          <cell r="C237">
            <v>5</v>
          </cell>
          <cell r="D237">
            <v>45</v>
          </cell>
        </row>
        <row r="238">
          <cell r="A238">
            <v>37021</v>
          </cell>
          <cell r="C238">
            <v>5</v>
          </cell>
          <cell r="D238">
            <v>45</v>
          </cell>
        </row>
        <row r="239">
          <cell r="A239">
            <v>37021</v>
          </cell>
          <cell r="C239">
            <v>5</v>
          </cell>
          <cell r="D239">
            <v>45</v>
          </cell>
        </row>
        <row r="240">
          <cell r="A240">
            <v>37021</v>
          </cell>
          <cell r="C240">
            <v>5</v>
          </cell>
          <cell r="D240">
            <v>45</v>
          </cell>
        </row>
        <row r="241">
          <cell r="A241">
            <v>37021</v>
          </cell>
        </row>
        <row r="242">
          <cell r="A242">
            <v>37021</v>
          </cell>
        </row>
        <row r="243">
          <cell r="A243">
            <v>37021</v>
          </cell>
        </row>
        <row r="244">
          <cell r="A244">
            <v>37021</v>
          </cell>
        </row>
        <row r="245">
          <cell r="A245">
            <v>37021</v>
          </cell>
          <cell r="C245">
            <v>14</v>
          </cell>
          <cell r="D245">
            <v>36</v>
          </cell>
        </row>
        <row r="246">
          <cell r="A246">
            <v>37021</v>
          </cell>
          <cell r="C246">
            <v>12</v>
          </cell>
          <cell r="D246">
            <v>25</v>
          </cell>
        </row>
        <row r="247">
          <cell r="A247">
            <v>37022</v>
          </cell>
          <cell r="C247">
            <v>9</v>
          </cell>
          <cell r="D247">
            <v>19</v>
          </cell>
        </row>
        <row r="248">
          <cell r="A248">
            <v>37022</v>
          </cell>
          <cell r="C248">
            <v>6</v>
          </cell>
          <cell r="D248">
            <v>19</v>
          </cell>
        </row>
        <row r="249">
          <cell r="A249">
            <v>37022</v>
          </cell>
          <cell r="C249">
            <v>4</v>
          </cell>
          <cell r="D249">
            <v>19</v>
          </cell>
        </row>
        <row r="250">
          <cell r="A250">
            <v>37022</v>
          </cell>
          <cell r="C250">
            <v>4</v>
          </cell>
          <cell r="D250">
            <v>19</v>
          </cell>
        </row>
        <row r="251">
          <cell r="A251">
            <v>37022</v>
          </cell>
          <cell r="C251">
            <v>4</v>
          </cell>
          <cell r="D251">
            <v>19</v>
          </cell>
        </row>
        <row r="252">
          <cell r="A252">
            <v>37022</v>
          </cell>
          <cell r="C252">
            <v>4</v>
          </cell>
          <cell r="D252">
            <v>19</v>
          </cell>
        </row>
        <row r="253">
          <cell r="A253">
            <v>37022</v>
          </cell>
          <cell r="C253">
            <v>3</v>
          </cell>
          <cell r="D253">
            <v>27</v>
          </cell>
        </row>
        <row r="254">
          <cell r="A254">
            <v>37022</v>
          </cell>
        </row>
        <row r="255">
          <cell r="A255">
            <v>37022</v>
          </cell>
        </row>
        <row r="256">
          <cell r="A256">
            <v>37022</v>
          </cell>
        </row>
        <row r="257">
          <cell r="A257">
            <v>37022</v>
          </cell>
        </row>
        <row r="258">
          <cell r="A258">
            <v>37022</v>
          </cell>
        </row>
        <row r="259">
          <cell r="A259">
            <v>37022</v>
          </cell>
        </row>
        <row r="260">
          <cell r="A260">
            <v>37022</v>
          </cell>
          <cell r="C260">
            <v>5</v>
          </cell>
          <cell r="D260">
            <v>59</v>
          </cell>
        </row>
        <row r="261">
          <cell r="A261">
            <v>37022</v>
          </cell>
          <cell r="C261">
            <v>5</v>
          </cell>
          <cell r="D261">
            <v>59</v>
          </cell>
        </row>
        <row r="262">
          <cell r="A262">
            <v>37022</v>
          </cell>
          <cell r="C262">
            <v>5</v>
          </cell>
          <cell r="D262">
            <v>59</v>
          </cell>
        </row>
        <row r="263">
          <cell r="A263">
            <v>37022</v>
          </cell>
          <cell r="C263">
            <v>5</v>
          </cell>
          <cell r="D263">
            <v>59</v>
          </cell>
        </row>
        <row r="264">
          <cell r="A264">
            <v>37022</v>
          </cell>
          <cell r="C264">
            <v>5</v>
          </cell>
          <cell r="D264">
            <v>59</v>
          </cell>
        </row>
        <row r="265">
          <cell r="A265">
            <v>37022</v>
          </cell>
        </row>
        <row r="266">
          <cell r="A266">
            <v>37022</v>
          </cell>
          <cell r="C266">
            <v>3</v>
          </cell>
          <cell r="D266">
            <v>35</v>
          </cell>
        </row>
        <row r="267">
          <cell r="A267">
            <v>37022</v>
          </cell>
          <cell r="C267">
            <v>4</v>
          </cell>
          <cell r="D267">
            <v>32</v>
          </cell>
        </row>
        <row r="268">
          <cell r="A268">
            <v>37022</v>
          </cell>
        </row>
        <row r="269">
          <cell r="A269">
            <v>37022</v>
          </cell>
          <cell r="C269">
            <v>17</v>
          </cell>
          <cell r="D269">
            <v>25</v>
          </cell>
        </row>
        <row r="270">
          <cell r="A270">
            <v>37022</v>
          </cell>
          <cell r="C270">
            <v>13</v>
          </cell>
          <cell r="D270">
            <v>21</v>
          </cell>
        </row>
        <row r="271">
          <cell r="A271">
            <v>37023</v>
          </cell>
          <cell r="C271">
            <v>25</v>
          </cell>
          <cell r="D271">
            <v>18</v>
          </cell>
        </row>
        <row r="272">
          <cell r="A272">
            <v>37023</v>
          </cell>
          <cell r="C272">
            <v>24</v>
          </cell>
          <cell r="D272">
            <v>20</v>
          </cell>
        </row>
        <row r="273">
          <cell r="A273">
            <v>37023</v>
          </cell>
          <cell r="C273">
            <v>23</v>
          </cell>
          <cell r="D273">
            <v>20</v>
          </cell>
        </row>
        <row r="274">
          <cell r="A274">
            <v>37023</v>
          </cell>
          <cell r="C274">
            <v>21</v>
          </cell>
          <cell r="D274">
            <v>20</v>
          </cell>
        </row>
        <row r="275">
          <cell r="A275">
            <v>37023</v>
          </cell>
          <cell r="C275">
            <v>20</v>
          </cell>
          <cell r="D275">
            <v>20</v>
          </cell>
        </row>
        <row r="276">
          <cell r="A276">
            <v>37023</v>
          </cell>
          <cell r="C276">
            <v>20</v>
          </cell>
          <cell r="D276">
            <v>22</v>
          </cell>
        </row>
        <row r="277">
          <cell r="A277">
            <v>37023</v>
          </cell>
          <cell r="C277">
            <v>20</v>
          </cell>
          <cell r="D277">
            <v>22</v>
          </cell>
        </row>
        <row r="278">
          <cell r="A278">
            <v>37023</v>
          </cell>
          <cell r="C278">
            <v>20</v>
          </cell>
          <cell r="D278">
            <v>22</v>
          </cell>
        </row>
        <row r="279">
          <cell r="A279">
            <v>37023</v>
          </cell>
          <cell r="C279">
            <v>20</v>
          </cell>
          <cell r="D279">
            <v>22</v>
          </cell>
        </row>
        <row r="280">
          <cell r="A280">
            <v>37023</v>
          </cell>
          <cell r="C280">
            <v>20</v>
          </cell>
          <cell r="D280">
            <v>26</v>
          </cell>
        </row>
        <row r="281">
          <cell r="A281">
            <v>37023</v>
          </cell>
          <cell r="C281">
            <v>10</v>
          </cell>
          <cell r="D281">
            <v>27</v>
          </cell>
        </row>
        <row r="282">
          <cell r="A282">
            <v>37023</v>
          </cell>
          <cell r="C282">
            <v>7</v>
          </cell>
          <cell r="D282">
            <v>28</v>
          </cell>
        </row>
        <row r="283">
          <cell r="A283">
            <v>37023</v>
          </cell>
          <cell r="C283">
            <v>5</v>
          </cell>
          <cell r="D283">
            <v>30</v>
          </cell>
        </row>
        <row r="284">
          <cell r="A284">
            <v>37023</v>
          </cell>
          <cell r="C284">
            <v>10</v>
          </cell>
          <cell r="D284">
            <v>40</v>
          </cell>
        </row>
        <row r="285">
          <cell r="A285">
            <v>37023</v>
          </cell>
          <cell r="C285">
            <v>13</v>
          </cell>
          <cell r="D285">
            <v>38</v>
          </cell>
        </row>
        <row r="286">
          <cell r="A286">
            <v>37023</v>
          </cell>
          <cell r="C286">
            <v>13</v>
          </cell>
          <cell r="D286">
            <v>35</v>
          </cell>
        </row>
        <row r="287">
          <cell r="A287">
            <v>37023</v>
          </cell>
          <cell r="C287">
            <v>13</v>
          </cell>
          <cell r="D287">
            <v>35</v>
          </cell>
        </row>
        <row r="288">
          <cell r="A288">
            <v>37023</v>
          </cell>
          <cell r="C288">
            <v>13</v>
          </cell>
          <cell r="D288">
            <v>35</v>
          </cell>
        </row>
        <row r="289">
          <cell r="A289">
            <v>37023</v>
          </cell>
          <cell r="C289">
            <v>13</v>
          </cell>
          <cell r="D289">
            <v>35</v>
          </cell>
        </row>
        <row r="290">
          <cell r="A290">
            <v>37023</v>
          </cell>
          <cell r="C290">
            <v>10</v>
          </cell>
          <cell r="D290">
            <v>30</v>
          </cell>
        </row>
        <row r="291">
          <cell r="A291">
            <v>37023</v>
          </cell>
          <cell r="C291">
            <v>5</v>
          </cell>
          <cell r="D291">
            <v>30</v>
          </cell>
        </row>
        <row r="292">
          <cell r="A292">
            <v>37023</v>
          </cell>
          <cell r="C292">
            <v>7</v>
          </cell>
          <cell r="D292">
            <v>24</v>
          </cell>
        </row>
        <row r="293">
          <cell r="A293">
            <v>37023</v>
          </cell>
          <cell r="C293">
            <v>9</v>
          </cell>
          <cell r="D293">
            <v>22</v>
          </cell>
        </row>
        <row r="294">
          <cell r="A294">
            <v>37023</v>
          </cell>
          <cell r="C294">
            <v>27</v>
          </cell>
          <cell r="D294">
            <v>21</v>
          </cell>
        </row>
        <row r="295">
          <cell r="A295">
            <v>37024</v>
          </cell>
          <cell r="C295">
            <v>24</v>
          </cell>
          <cell r="D295">
            <v>18</v>
          </cell>
        </row>
        <row r="296">
          <cell r="A296">
            <v>37024</v>
          </cell>
          <cell r="C296">
            <v>21</v>
          </cell>
          <cell r="D296">
            <v>18</v>
          </cell>
        </row>
        <row r="297">
          <cell r="A297">
            <v>37024</v>
          </cell>
          <cell r="C297">
            <v>20</v>
          </cell>
          <cell r="D297">
            <v>15</v>
          </cell>
        </row>
        <row r="298">
          <cell r="A298">
            <v>37024</v>
          </cell>
          <cell r="C298">
            <v>18</v>
          </cell>
          <cell r="D298">
            <v>15</v>
          </cell>
        </row>
        <row r="299">
          <cell r="A299">
            <v>37024</v>
          </cell>
          <cell r="C299">
            <v>17</v>
          </cell>
          <cell r="D299">
            <v>15</v>
          </cell>
        </row>
        <row r="300">
          <cell r="A300">
            <v>37024</v>
          </cell>
          <cell r="C300">
            <v>18</v>
          </cell>
          <cell r="D300">
            <v>15</v>
          </cell>
        </row>
        <row r="301">
          <cell r="A301">
            <v>37024</v>
          </cell>
          <cell r="C301">
            <v>18</v>
          </cell>
          <cell r="D301">
            <v>17</v>
          </cell>
        </row>
        <row r="302">
          <cell r="A302">
            <v>37024</v>
          </cell>
          <cell r="C302">
            <v>18</v>
          </cell>
          <cell r="D302">
            <v>17</v>
          </cell>
        </row>
        <row r="303">
          <cell r="A303">
            <v>37024</v>
          </cell>
          <cell r="C303">
            <v>18</v>
          </cell>
          <cell r="D303">
            <v>17</v>
          </cell>
        </row>
        <row r="304">
          <cell r="A304">
            <v>37024</v>
          </cell>
          <cell r="C304">
            <v>18</v>
          </cell>
          <cell r="D304">
            <v>19</v>
          </cell>
        </row>
        <row r="305">
          <cell r="A305">
            <v>37024</v>
          </cell>
          <cell r="C305">
            <v>18</v>
          </cell>
          <cell r="D305">
            <v>19</v>
          </cell>
        </row>
        <row r="306">
          <cell r="A306">
            <v>37024</v>
          </cell>
          <cell r="C306">
            <v>10</v>
          </cell>
          <cell r="D306">
            <v>20</v>
          </cell>
        </row>
        <row r="307">
          <cell r="A307">
            <v>37024</v>
          </cell>
          <cell r="C307">
            <v>10</v>
          </cell>
          <cell r="D307">
            <v>20</v>
          </cell>
        </row>
        <row r="308">
          <cell r="A308">
            <v>37024</v>
          </cell>
          <cell r="C308">
            <v>10</v>
          </cell>
          <cell r="D308">
            <v>20</v>
          </cell>
        </row>
        <row r="309">
          <cell r="A309">
            <v>37024</v>
          </cell>
          <cell r="C309">
            <v>10</v>
          </cell>
          <cell r="D309">
            <v>20</v>
          </cell>
        </row>
        <row r="310">
          <cell r="A310">
            <v>37024</v>
          </cell>
          <cell r="C310">
            <v>10</v>
          </cell>
          <cell r="D310">
            <v>21</v>
          </cell>
        </row>
        <row r="311">
          <cell r="A311">
            <v>37024</v>
          </cell>
          <cell r="C311">
            <v>10</v>
          </cell>
          <cell r="D311">
            <v>23</v>
          </cell>
        </row>
        <row r="312">
          <cell r="A312">
            <v>37024</v>
          </cell>
          <cell r="C312">
            <v>10</v>
          </cell>
          <cell r="D312">
            <v>23</v>
          </cell>
        </row>
        <row r="313">
          <cell r="A313">
            <v>37024</v>
          </cell>
          <cell r="C313">
            <v>15</v>
          </cell>
          <cell r="D313">
            <v>23</v>
          </cell>
        </row>
        <row r="314">
          <cell r="A314">
            <v>37024</v>
          </cell>
          <cell r="C314">
            <v>13</v>
          </cell>
          <cell r="D314">
            <v>23</v>
          </cell>
        </row>
        <row r="315">
          <cell r="A315">
            <v>37024</v>
          </cell>
          <cell r="C315">
            <v>11</v>
          </cell>
          <cell r="D315">
            <v>23</v>
          </cell>
        </row>
        <row r="316">
          <cell r="A316">
            <v>37024</v>
          </cell>
          <cell r="C316">
            <v>9</v>
          </cell>
          <cell r="D316">
            <v>23</v>
          </cell>
        </row>
        <row r="317">
          <cell r="A317">
            <v>37024</v>
          </cell>
          <cell r="C317">
            <v>6</v>
          </cell>
          <cell r="D317">
            <v>22</v>
          </cell>
        </row>
        <row r="318">
          <cell r="A318">
            <v>37024</v>
          </cell>
          <cell r="C318">
            <v>25</v>
          </cell>
          <cell r="D318">
            <v>21</v>
          </cell>
        </row>
        <row r="319">
          <cell r="A319">
            <v>37025</v>
          </cell>
          <cell r="C319">
            <v>23</v>
          </cell>
          <cell r="D319">
            <v>16</v>
          </cell>
        </row>
        <row r="320">
          <cell r="A320">
            <v>37025</v>
          </cell>
          <cell r="C320">
            <v>21</v>
          </cell>
          <cell r="D320">
            <v>16</v>
          </cell>
        </row>
        <row r="321">
          <cell r="A321">
            <v>37025</v>
          </cell>
          <cell r="C321">
            <v>19</v>
          </cell>
          <cell r="D321">
            <v>15</v>
          </cell>
        </row>
        <row r="322">
          <cell r="A322">
            <v>37025</v>
          </cell>
          <cell r="C322">
            <v>17</v>
          </cell>
          <cell r="D322">
            <v>15</v>
          </cell>
        </row>
        <row r="323">
          <cell r="A323">
            <v>37025</v>
          </cell>
          <cell r="C323">
            <v>17</v>
          </cell>
          <cell r="D323">
            <v>15</v>
          </cell>
        </row>
        <row r="324">
          <cell r="A324">
            <v>37025</v>
          </cell>
          <cell r="C324">
            <v>18</v>
          </cell>
          <cell r="D324">
            <v>17</v>
          </cell>
        </row>
        <row r="325">
          <cell r="A325">
            <v>37025</v>
          </cell>
        </row>
        <row r="326">
          <cell r="A326">
            <v>37025</v>
          </cell>
        </row>
        <row r="327">
          <cell r="A327">
            <v>37025</v>
          </cell>
        </row>
        <row r="328">
          <cell r="A328">
            <v>37025</v>
          </cell>
        </row>
        <row r="329">
          <cell r="A329">
            <v>37025</v>
          </cell>
        </row>
        <row r="330">
          <cell r="A330">
            <v>37025</v>
          </cell>
        </row>
        <row r="331">
          <cell r="A331">
            <v>37025</v>
          </cell>
        </row>
        <row r="332">
          <cell r="A332">
            <v>37025</v>
          </cell>
        </row>
        <row r="333">
          <cell r="A333">
            <v>37025</v>
          </cell>
        </row>
        <row r="334">
          <cell r="A334">
            <v>37025</v>
          </cell>
        </row>
        <row r="335">
          <cell r="A335">
            <v>37025</v>
          </cell>
          <cell r="C335">
            <v>5</v>
          </cell>
          <cell r="D335">
            <v>50</v>
          </cell>
        </row>
        <row r="336">
          <cell r="A336">
            <v>37025</v>
          </cell>
          <cell r="C336">
            <v>5</v>
          </cell>
          <cell r="D336">
            <v>50</v>
          </cell>
        </row>
        <row r="337">
          <cell r="A337">
            <v>37025</v>
          </cell>
          <cell r="C337">
            <v>5</v>
          </cell>
          <cell r="D337">
            <v>50</v>
          </cell>
        </row>
        <row r="338">
          <cell r="A338">
            <v>37025</v>
          </cell>
          <cell r="C338">
            <v>5</v>
          </cell>
          <cell r="D338">
            <v>50</v>
          </cell>
        </row>
        <row r="339">
          <cell r="A339">
            <v>37025</v>
          </cell>
          <cell r="C339">
            <v>5</v>
          </cell>
          <cell r="D339">
            <v>50</v>
          </cell>
        </row>
        <row r="340">
          <cell r="A340">
            <v>37025</v>
          </cell>
        </row>
        <row r="341">
          <cell r="A341">
            <v>37025</v>
          </cell>
          <cell r="C341">
            <v>30</v>
          </cell>
          <cell r="D341">
            <v>42</v>
          </cell>
        </row>
        <row r="342">
          <cell r="A342">
            <v>37025</v>
          </cell>
          <cell r="C342">
            <v>28</v>
          </cell>
          <cell r="D342">
            <v>34</v>
          </cell>
        </row>
        <row r="343">
          <cell r="A343">
            <v>37026</v>
          </cell>
        </row>
        <row r="344">
          <cell r="A344">
            <v>37026</v>
          </cell>
        </row>
        <row r="345">
          <cell r="A345">
            <v>37026</v>
          </cell>
        </row>
        <row r="346">
          <cell r="A346">
            <v>37026</v>
          </cell>
        </row>
        <row r="347">
          <cell r="A347">
            <v>37026</v>
          </cell>
        </row>
        <row r="348">
          <cell r="A348">
            <v>37026</v>
          </cell>
        </row>
        <row r="349">
          <cell r="A349">
            <v>37026</v>
          </cell>
        </row>
        <row r="350">
          <cell r="A350">
            <v>37026</v>
          </cell>
        </row>
        <row r="351">
          <cell r="A351">
            <v>37026</v>
          </cell>
        </row>
        <row r="352">
          <cell r="A352">
            <v>37026</v>
          </cell>
        </row>
        <row r="353">
          <cell r="A353">
            <v>37026</v>
          </cell>
        </row>
        <row r="354">
          <cell r="A354">
            <v>37026</v>
          </cell>
        </row>
        <row r="355">
          <cell r="A355">
            <v>37026</v>
          </cell>
        </row>
        <row r="356">
          <cell r="A356">
            <v>37026</v>
          </cell>
        </row>
        <row r="357">
          <cell r="A357">
            <v>37026</v>
          </cell>
        </row>
        <row r="358">
          <cell r="A358">
            <v>37026</v>
          </cell>
        </row>
        <row r="359">
          <cell r="A359">
            <v>37026</v>
          </cell>
        </row>
        <row r="360">
          <cell r="A360">
            <v>37026</v>
          </cell>
        </row>
        <row r="361">
          <cell r="A361">
            <v>37026</v>
          </cell>
        </row>
        <row r="362">
          <cell r="A362">
            <v>37026</v>
          </cell>
        </row>
        <row r="363">
          <cell r="A363">
            <v>37026</v>
          </cell>
        </row>
        <row r="364">
          <cell r="A364">
            <v>37026</v>
          </cell>
        </row>
        <row r="365">
          <cell r="A365">
            <v>37026</v>
          </cell>
        </row>
        <row r="366">
          <cell r="A366">
            <v>37026</v>
          </cell>
        </row>
        <row r="367">
          <cell r="A367">
            <v>37027</v>
          </cell>
        </row>
        <row r="368">
          <cell r="A368">
            <v>37027</v>
          </cell>
        </row>
        <row r="369">
          <cell r="A369">
            <v>37027</v>
          </cell>
        </row>
        <row r="370">
          <cell r="A370">
            <v>37027</v>
          </cell>
        </row>
        <row r="371">
          <cell r="A371">
            <v>37027</v>
          </cell>
        </row>
        <row r="372">
          <cell r="A372">
            <v>37027</v>
          </cell>
        </row>
        <row r="373">
          <cell r="A373">
            <v>37027</v>
          </cell>
        </row>
        <row r="374">
          <cell r="A374">
            <v>37027</v>
          </cell>
        </row>
        <row r="375">
          <cell r="A375">
            <v>37027</v>
          </cell>
        </row>
        <row r="376">
          <cell r="A376">
            <v>37027</v>
          </cell>
        </row>
        <row r="377">
          <cell r="A377">
            <v>37027</v>
          </cell>
        </row>
        <row r="378">
          <cell r="A378">
            <v>37027</v>
          </cell>
        </row>
        <row r="379">
          <cell r="A379">
            <v>37027</v>
          </cell>
        </row>
        <row r="380">
          <cell r="A380">
            <v>37027</v>
          </cell>
        </row>
        <row r="381">
          <cell r="A381">
            <v>37027</v>
          </cell>
        </row>
        <row r="382">
          <cell r="A382">
            <v>37027</v>
          </cell>
        </row>
        <row r="383">
          <cell r="A383">
            <v>37027</v>
          </cell>
        </row>
        <row r="384">
          <cell r="A384">
            <v>37027</v>
          </cell>
        </row>
        <row r="385">
          <cell r="A385">
            <v>37027</v>
          </cell>
        </row>
        <row r="386">
          <cell r="A386">
            <v>37027</v>
          </cell>
        </row>
        <row r="387">
          <cell r="A387">
            <v>37027</v>
          </cell>
        </row>
        <row r="388">
          <cell r="A388">
            <v>37027</v>
          </cell>
        </row>
        <row r="389">
          <cell r="A389">
            <v>37027</v>
          </cell>
        </row>
        <row r="390">
          <cell r="A390">
            <v>37027</v>
          </cell>
        </row>
        <row r="391">
          <cell r="A391">
            <v>37028</v>
          </cell>
        </row>
        <row r="392">
          <cell r="A392">
            <v>37028</v>
          </cell>
        </row>
        <row r="393">
          <cell r="A393">
            <v>37028</v>
          </cell>
        </row>
        <row r="394">
          <cell r="A394">
            <v>37028</v>
          </cell>
        </row>
        <row r="395">
          <cell r="A395">
            <v>37028</v>
          </cell>
        </row>
        <row r="396">
          <cell r="A396">
            <v>37028</v>
          </cell>
        </row>
        <row r="397">
          <cell r="A397">
            <v>37028</v>
          </cell>
        </row>
        <row r="398">
          <cell r="A398">
            <v>37028</v>
          </cell>
        </row>
        <row r="399">
          <cell r="A399">
            <v>37028</v>
          </cell>
        </row>
        <row r="400">
          <cell r="A400">
            <v>37028</v>
          </cell>
        </row>
        <row r="401">
          <cell r="A401">
            <v>37028</v>
          </cell>
        </row>
        <row r="402">
          <cell r="A402">
            <v>37028</v>
          </cell>
        </row>
        <row r="403">
          <cell r="A403">
            <v>37028</v>
          </cell>
        </row>
        <row r="404">
          <cell r="A404">
            <v>37028</v>
          </cell>
        </row>
        <row r="405">
          <cell r="A405">
            <v>37028</v>
          </cell>
        </row>
        <row r="406">
          <cell r="A406">
            <v>37028</v>
          </cell>
        </row>
        <row r="407">
          <cell r="A407">
            <v>37028</v>
          </cell>
        </row>
        <row r="408">
          <cell r="A408">
            <v>37028</v>
          </cell>
        </row>
        <row r="409">
          <cell r="A409">
            <v>37028</v>
          </cell>
        </row>
        <row r="410">
          <cell r="A410">
            <v>37028</v>
          </cell>
        </row>
        <row r="411">
          <cell r="A411">
            <v>37028</v>
          </cell>
        </row>
        <row r="412">
          <cell r="A412">
            <v>37028</v>
          </cell>
        </row>
        <row r="413">
          <cell r="A413">
            <v>37028</v>
          </cell>
        </row>
        <row r="414">
          <cell r="A414">
            <v>37028</v>
          </cell>
        </row>
        <row r="415">
          <cell r="A415">
            <v>37029</v>
          </cell>
        </row>
        <row r="416">
          <cell r="A416">
            <v>37029</v>
          </cell>
        </row>
        <row r="417">
          <cell r="A417">
            <v>37029</v>
          </cell>
        </row>
        <row r="418">
          <cell r="A418">
            <v>37029</v>
          </cell>
        </row>
        <row r="419">
          <cell r="A419">
            <v>37029</v>
          </cell>
        </row>
        <row r="420">
          <cell r="A420">
            <v>37029</v>
          </cell>
        </row>
        <row r="421">
          <cell r="A421">
            <v>37029</v>
          </cell>
        </row>
        <row r="422">
          <cell r="A422">
            <v>37029</v>
          </cell>
        </row>
        <row r="423">
          <cell r="A423">
            <v>37029</v>
          </cell>
        </row>
        <row r="424">
          <cell r="A424">
            <v>37029</v>
          </cell>
        </row>
        <row r="425">
          <cell r="A425">
            <v>37029</v>
          </cell>
        </row>
        <row r="426">
          <cell r="A426">
            <v>37029</v>
          </cell>
        </row>
        <row r="427">
          <cell r="A427">
            <v>37029</v>
          </cell>
        </row>
        <row r="428">
          <cell r="A428">
            <v>37029</v>
          </cell>
        </row>
        <row r="429">
          <cell r="A429">
            <v>37029</v>
          </cell>
        </row>
        <row r="430">
          <cell r="A430">
            <v>37029</v>
          </cell>
        </row>
        <row r="431">
          <cell r="A431">
            <v>37029</v>
          </cell>
        </row>
        <row r="432">
          <cell r="A432">
            <v>37029</v>
          </cell>
        </row>
        <row r="433">
          <cell r="A433">
            <v>37029</v>
          </cell>
        </row>
        <row r="434">
          <cell r="A434">
            <v>37029</v>
          </cell>
        </row>
        <row r="435">
          <cell r="A435">
            <v>37029</v>
          </cell>
        </row>
        <row r="436">
          <cell r="A436">
            <v>37029</v>
          </cell>
        </row>
        <row r="437">
          <cell r="A437">
            <v>37029</v>
          </cell>
        </row>
        <row r="438">
          <cell r="A438">
            <v>37029</v>
          </cell>
        </row>
        <row r="439">
          <cell r="A439">
            <v>37030</v>
          </cell>
        </row>
        <row r="440">
          <cell r="A440">
            <v>37030</v>
          </cell>
        </row>
        <row r="441">
          <cell r="A441">
            <v>37030</v>
          </cell>
        </row>
        <row r="442">
          <cell r="A442">
            <v>37030</v>
          </cell>
        </row>
        <row r="443">
          <cell r="A443">
            <v>37030</v>
          </cell>
        </row>
        <row r="444">
          <cell r="A444">
            <v>37030</v>
          </cell>
        </row>
        <row r="445">
          <cell r="A445">
            <v>37030</v>
          </cell>
        </row>
        <row r="446">
          <cell r="A446">
            <v>37030</v>
          </cell>
        </row>
        <row r="447">
          <cell r="A447">
            <v>37030</v>
          </cell>
        </row>
        <row r="448">
          <cell r="A448">
            <v>37030</v>
          </cell>
        </row>
        <row r="449">
          <cell r="A449">
            <v>37030</v>
          </cell>
        </row>
        <row r="450">
          <cell r="A450">
            <v>37030</v>
          </cell>
        </row>
        <row r="451">
          <cell r="A451">
            <v>37030</v>
          </cell>
        </row>
        <row r="452">
          <cell r="A452">
            <v>37030</v>
          </cell>
        </row>
        <row r="453">
          <cell r="A453">
            <v>37030</v>
          </cell>
        </row>
        <row r="454">
          <cell r="A454">
            <v>37030</v>
          </cell>
        </row>
        <row r="455">
          <cell r="A455">
            <v>37030</v>
          </cell>
        </row>
        <row r="456">
          <cell r="A456">
            <v>37030</v>
          </cell>
        </row>
        <row r="457">
          <cell r="A457">
            <v>37030</v>
          </cell>
        </row>
        <row r="458">
          <cell r="A458">
            <v>37030</v>
          </cell>
        </row>
        <row r="459">
          <cell r="A459">
            <v>37030</v>
          </cell>
        </row>
        <row r="460">
          <cell r="A460">
            <v>37030</v>
          </cell>
        </row>
        <row r="461">
          <cell r="A461">
            <v>37030</v>
          </cell>
        </row>
        <row r="462">
          <cell r="A462">
            <v>37030</v>
          </cell>
        </row>
        <row r="463">
          <cell r="A463">
            <v>37031</v>
          </cell>
        </row>
        <row r="464">
          <cell r="A464">
            <v>37031</v>
          </cell>
        </row>
        <row r="465">
          <cell r="A465">
            <v>37031</v>
          </cell>
        </row>
        <row r="466">
          <cell r="A466">
            <v>37031</v>
          </cell>
        </row>
        <row r="467">
          <cell r="A467">
            <v>37031</v>
          </cell>
        </row>
        <row r="468">
          <cell r="A468">
            <v>37031</v>
          </cell>
        </row>
        <row r="469">
          <cell r="A469">
            <v>37031</v>
          </cell>
        </row>
        <row r="470">
          <cell r="A470">
            <v>37031</v>
          </cell>
        </row>
        <row r="471">
          <cell r="A471">
            <v>37031</v>
          </cell>
        </row>
        <row r="472">
          <cell r="A472">
            <v>37031</v>
          </cell>
        </row>
        <row r="473">
          <cell r="A473">
            <v>37031</v>
          </cell>
        </row>
        <row r="474">
          <cell r="A474">
            <v>37031</v>
          </cell>
        </row>
        <row r="475">
          <cell r="A475">
            <v>37031</v>
          </cell>
        </row>
        <row r="476">
          <cell r="A476">
            <v>37031</v>
          </cell>
        </row>
        <row r="477">
          <cell r="A477">
            <v>37031</v>
          </cell>
        </row>
        <row r="478">
          <cell r="A478">
            <v>37031</v>
          </cell>
        </row>
        <row r="479">
          <cell r="A479">
            <v>37031</v>
          </cell>
        </row>
        <row r="480">
          <cell r="A480">
            <v>37031</v>
          </cell>
        </row>
        <row r="481">
          <cell r="A481">
            <v>37031</v>
          </cell>
        </row>
        <row r="482">
          <cell r="A482">
            <v>37031</v>
          </cell>
        </row>
        <row r="483">
          <cell r="A483">
            <v>37031</v>
          </cell>
        </row>
        <row r="484">
          <cell r="A484">
            <v>37031</v>
          </cell>
        </row>
        <row r="485">
          <cell r="A485">
            <v>37031</v>
          </cell>
        </row>
        <row r="486">
          <cell r="A486">
            <v>37031</v>
          </cell>
        </row>
        <row r="487">
          <cell r="A487">
            <v>37032</v>
          </cell>
        </row>
        <row r="488">
          <cell r="A488">
            <v>37032</v>
          </cell>
        </row>
        <row r="489">
          <cell r="A489">
            <v>37032</v>
          </cell>
        </row>
        <row r="490">
          <cell r="A490">
            <v>37032</v>
          </cell>
        </row>
        <row r="491">
          <cell r="A491">
            <v>37032</v>
          </cell>
        </row>
        <row r="492">
          <cell r="A492">
            <v>37032</v>
          </cell>
        </row>
        <row r="493">
          <cell r="A493">
            <v>37032</v>
          </cell>
        </row>
        <row r="494">
          <cell r="A494">
            <v>37032</v>
          </cell>
        </row>
        <row r="495">
          <cell r="A495">
            <v>37032</v>
          </cell>
        </row>
        <row r="496">
          <cell r="A496">
            <v>37032</v>
          </cell>
        </row>
        <row r="497">
          <cell r="A497">
            <v>37032</v>
          </cell>
        </row>
        <row r="498">
          <cell r="A498">
            <v>37032</v>
          </cell>
        </row>
        <row r="499">
          <cell r="A499">
            <v>37032</v>
          </cell>
        </row>
        <row r="500">
          <cell r="A500">
            <v>37032</v>
          </cell>
        </row>
        <row r="501">
          <cell r="A501">
            <v>37032</v>
          </cell>
        </row>
        <row r="502">
          <cell r="A502">
            <v>37032</v>
          </cell>
        </row>
        <row r="503">
          <cell r="A503">
            <v>37032</v>
          </cell>
        </row>
        <row r="504">
          <cell r="A504">
            <v>37032</v>
          </cell>
        </row>
        <row r="505">
          <cell r="A505">
            <v>37032</v>
          </cell>
        </row>
        <row r="506">
          <cell r="A506">
            <v>37032</v>
          </cell>
        </row>
        <row r="507">
          <cell r="A507">
            <v>37032</v>
          </cell>
        </row>
        <row r="508">
          <cell r="A508">
            <v>37032</v>
          </cell>
        </row>
        <row r="509">
          <cell r="A509">
            <v>37032</v>
          </cell>
        </row>
        <row r="510">
          <cell r="A510">
            <v>37032</v>
          </cell>
        </row>
        <row r="511">
          <cell r="A511">
            <v>37033</v>
          </cell>
        </row>
        <row r="512">
          <cell r="A512">
            <v>37033</v>
          </cell>
        </row>
        <row r="513">
          <cell r="A513">
            <v>37033</v>
          </cell>
        </row>
        <row r="514">
          <cell r="A514">
            <v>37033</v>
          </cell>
        </row>
        <row r="515">
          <cell r="A515">
            <v>37033</v>
          </cell>
        </row>
        <row r="516">
          <cell r="A516">
            <v>37033</v>
          </cell>
        </row>
        <row r="517">
          <cell r="A517">
            <v>37033</v>
          </cell>
        </row>
        <row r="518">
          <cell r="A518">
            <v>37033</v>
          </cell>
        </row>
        <row r="519">
          <cell r="A519">
            <v>37033</v>
          </cell>
        </row>
        <row r="520">
          <cell r="A520">
            <v>37033</v>
          </cell>
        </row>
        <row r="521">
          <cell r="A521">
            <v>37033</v>
          </cell>
        </row>
        <row r="522">
          <cell r="A522">
            <v>37033</v>
          </cell>
        </row>
        <row r="523">
          <cell r="A523">
            <v>37033</v>
          </cell>
        </row>
        <row r="524">
          <cell r="A524">
            <v>37033</v>
          </cell>
        </row>
        <row r="525">
          <cell r="A525">
            <v>37033</v>
          </cell>
        </row>
        <row r="526">
          <cell r="A526">
            <v>37033</v>
          </cell>
        </row>
        <row r="527">
          <cell r="A527">
            <v>37033</v>
          </cell>
        </row>
        <row r="528">
          <cell r="A528">
            <v>37033</v>
          </cell>
        </row>
        <row r="529">
          <cell r="A529">
            <v>37033</v>
          </cell>
        </row>
        <row r="530">
          <cell r="A530">
            <v>37033</v>
          </cell>
        </row>
        <row r="531">
          <cell r="A531">
            <v>37033</v>
          </cell>
        </row>
        <row r="532">
          <cell r="A532">
            <v>37033</v>
          </cell>
        </row>
        <row r="533">
          <cell r="A533">
            <v>37033</v>
          </cell>
        </row>
        <row r="534">
          <cell r="A534">
            <v>37033</v>
          </cell>
        </row>
        <row r="535">
          <cell r="A535">
            <v>37034</v>
          </cell>
        </row>
        <row r="536">
          <cell r="A536">
            <v>37034</v>
          </cell>
        </row>
        <row r="537">
          <cell r="A537">
            <v>37034</v>
          </cell>
        </row>
        <row r="538">
          <cell r="A538">
            <v>37034</v>
          </cell>
        </row>
        <row r="539">
          <cell r="A539">
            <v>37034</v>
          </cell>
        </row>
        <row r="540">
          <cell r="A540">
            <v>37034</v>
          </cell>
        </row>
        <row r="541">
          <cell r="A541">
            <v>37034</v>
          </cell>
        </row>
        <row r="542">
          <cell r="A542">
            <v>37034</v>
          </cell>
        </row>
        <row r="543">
          <cell r="A543">
            <v>37034</v>
          </cell>
        </row>
        <row r="544">
          <cell r="A544">
            <v>37034</v>
          </cell>
        </row>
        <row r="545">
          <cell r="A545">
            <v>37034</v>
          </cell>
        </row>
        <row r="546">
          <cell r="A546">
            <v>37034</v>
          </cell>
        </row>
        <row r="547">
          <cell r="A547">
            <v>37034</v>
          </cell>
        </row>
        <row r="548">
          <cell r="A548">
            <v>37034</v>
          </cell>
        </row>
        <row r="549">
          <cell r="A549">
            <v>37034</v>
          </cell>
        </row>
        <row r="550">
          <cell r="A550">
            <v>37034</v>
          </cell>
        </row>
        <row r="551">
          <cell r="A551">
            <v>37034</v>
          </cell>
        </row>
        <row r="552">
          <cell r="A552">
            <v>37034</v>
          </cell>
        </row>
        <row r="553">
          <cell r="A553">
            <v>37034</v>
          </cell>
        </row>
        <row r="554">
          <cell r="A554">
            <v>37034</v>
          </cell>
        </row>
        <row r="555">
          <cell r="A555">
            <v>37034</v>
          </cell>
        </row>
        <row r="556">
          <cell r="A556">
            <v>37034</v>
          </cell>
        </row>
        <row r="557">
          <cell r="A557">
            <v>37034</v>
          </cell>
        </row>
        <row r="558">
          <cell r="A558">
            <v>37034</v>
          </cell>
        </row>
        <row r="559">
          <cell r="A559">
            <v>37035</v>
          </cell>
        </row>
        <row r="560">
          <cell r="A560">
            <v>37035</v>
          </cell>
        </row>
        <row r="561">
          <cell r="A561">
            <v>37035</v>
          </cell>
        </row>
        <row r="562">
          <cell r="A562">
            <v>37035</v>
          </cell>
        </row>
        <row r="563">
          <cell r="A563">
            <v>37035</v>
          </cell>
        </row>
        <row r="564">
          <cell r="A564">
            <v>37035</v>
          </cell>
        </row>
        <row r="565">
          <cell r="A565">
            <v>37035</v>
          </cell>
        </row>
        <row r="566">
          <cell r="A566">
            <v>37035</v>
          </cell>
        </row>
        <row r="567">
          <cell r="A567">
            <v>37035</v>
          </cell>
        </row>
        <row r="568">
          <cell r="A568">
            <v>37035</v>
          </cell>
        </row>
        <row r="569">
          <cell r="A569">
            <v>37035</v>
          </cell>
        </row>
        <row r="570">
          <cell r="A570">
            <v>37035</v>
          </cell>
        </row>
        <row r="571">
          <cell r="A571">
            <v>37035</v>
          </cell>
        </row>
        <row r="572">
          <cell r="A572">
            <v>37035</v>
          </cell>
        </row>
        <row r="573">
          <cell r="A573">
            <v>37035</v>
          </cell>
        </row>
        <row r="574">
          <cell r="A574">
            <v>37035</v>
          </cell>
        </row>
        <row r="575">
          <cell r="A575">
            <v>37035</v>
          </cell>
        </row>
        <row r="576">
          <cell r="A576">
            <v>37035</v>
          </cell>
        </row>
        <row r="577">
          <cell r="A577">
            <v>37035</v>
          </cell>
        </row>
        <row r="578">
          <cell r="A578">
            <v>37035</v>
          </cell>
        </row>
        <row r="579">
          <cell r="A579">
            <v>37035</v>
          </cell>
        </row>
        <row r="580">
          <cell r="A580">
            <v>37035</v>
          </cell>
        </row>
        <row r="581">
          <cell r="A581">
            <v>37035</v>
          </cell>
        </row>
        <row r="582">
          <cell r="A582">
            <v>37035</v>
          </cell>
        </row>
      </sheetData>
      <sheetData sheetId="4">
        <row r="3">
          <cell r="A3">
            <v>37012</v>
          </cell>
          <cell r="B3">
            <v>65.2</v>
          </cell>
          <cell r="D3">
            <v>5.01</v>
          </cell>
          <cell r="E3">
            <v>5.25</v>
          </cell>
        </row>
        <row r="4">
          <cell r="A4">
            <v>37013</v>
          </cell>
          <cell r="B4">
            <v>62.2</v>
          </cell>
          <cell r="D4">
            <v>4.75</v>
          </cell>
          <cell r="E4">
            <v>4.75</v>
          </cell>
        </row>
        <row r="5">
          <cell r="A5">
            <v>37014</v>
          </cell>
          <cell r="B5">
            <v>61.93</v>
          </cell>
          <cell r="D5">
            <v>4.78</v>
          </cell>
          <cell r="E5">
            <v>4.78</v>
          </cell>
        </row>
        <row r="6">
          <cell r="A6">
            <v>37015</v>
          </cell>
          <cell r="B6">
            <v>59.14</v>
          </cell>
          <cell r="D6">
            <v>4.78</v>
          </cell>
          <cell r="E6">
            <v>4.78</v>
          </cell>
        </row>
        <row r="7">
          <cell r="A7">
            <v>37016</v>
          </cell>
          <cell r="B7">
            <v>59.38</v>
          </cell>
          <cell r="D7">
            <v>4.6399999999999997</v>
          </cell>
          <cell r="E7">
            <v>4.6399999999999997</v>
          </cell>
        </row>
        <row r="8">
          <cell r="A8">
            <v>37017</v>
          </cell>
          <cell r="B8">
            <v>59.66</v>
          </cell>
          <cell r="D8">
            <v>4.6399999999999997</v>
          </cell>
          <cell r="E8">
            <v>4.6399999999999997</v>
          </cell>
        </row>
        <row r="9">
          <cell r="A9">
            <v>37018</v>
          </cell>
          <cell r="B9">
            <v>60.57</v>
          </cell>
          <cell r="D9">
            <v>4.76</v>
          </cell>
          <cell r="E9">
            <v>4.76</v>
          </cell>
        </row>
        <row r="10">
          <cell r="A10">
            <v>37019</v>
          </cell>
          <cell r="B10">
            <v>59.5</v>
          </cell>
          <cell r="D10">
            <v>4.6500000000000004</v>
          </cell>
          <cell r="E10">
            <v>4.6500000000000004</v>
          </cell>
        </row>
        <row r="11">
          <cell r="A11">
            <v>37020</v>
          </cell>
          <cell r="B11">
            <v>62.42</v>
          </cell>
          <cell r="D11">
            <v>4.45</v>
          </cell>
          <cell r="E11">
            <v>4.45</v>
          </cell>
        </row>
        <row r="12">
          <cell r="A12">
            <v>37021</v>
          </cell>
          <cell r="B12">
            <v>61.7</v>
          </cell>
          <cell r="D12">
            <v>4.38</v>
          </cell>
          <cell r="E12">
            <v>4.38</v>
          </cell>
        </row>
        <row r="13">
          <cell r="A13">
            <v>37022</v>
          </cell>
          <cell r="B13">
            <v>60.22</v>
          </cell>
          <cell r="D13">
            <v>4.32</v>
          </cell>
          <cell r="E13">
            <v>4.32</v>
          </cell>
        </row>
        <row r="14">
          <cell r="A14">
            <v>37023</v>
          </cell>
          <cell r="B14">
            <v>63.23</v>
          </cell>
          <cell r="D14">
            <v>4.5</v>
          </cell>
          <cell r="E14">
            <v>4.5</v>
          </cell>
        </row>
        <row r="15">
          <cell r="A15">
            <v>37024</v>
          </cell>
          <cell r="B15">
            <v>63.07</v>
          </cell>
          <cell r="D15">
            <v>4.5</v>
          </cell>
          <cell r="E15">
            <v>4.5</v>
          </cell>
        </row>
        <row r="16">
          <cell r="A16">
            <v>37025</v>
          </cell>
          <cell r="B16">
            <v>65.319999999999993</v>
          </cell>
          <cell r="D16">
            <v>4.55</v>
          </cell>
          <cell r="E16">
            <v>4.55</v>
          </cell>
        </row>
        <row r="17">
          <cell r="A17">
            <v>37026</v>
          </cell>
          <cell r="B17">
            <v>62.65</v>
          </cell>
          <cell r="D17">
            <v>4.45</v>
          </cell>
          <cell r="E17">
            <v>4.45</v>
          </cell>
        </row>
        <row r="18">
          <cell r="A18">
            <v>37027</v>
          </cell>
        </row>
        <row r="19">
          <cell r="A19">
            <v>37028</v>
          </cell>
        </row>
        <row r="20">
          <cell r="A20">
            <v>37029</v>
          </cell>
        </row>
        <row r="21">
          <cell r="A21">
            <v>37030</v>
          </cell>
        </row>
        <row r="22">
          <cell r="A22">
            <v>37031</v>
          </cell>
        </row>
        <row r="23">
          <cell r="A23">
            <v>37032</v>
          </cell>
        </row>
        <row r="24">
          <cell r="A24">
            <v>37033</v>
          </cell>
        </row>
        <row r="25">
          <cell r="A25">
            <v>37034</v>
          </cell>
        </row>
        <row r="26">
          <cell r="A26">
            <v>37035</v>
          </cell>
        </row>
        <row r="27">
          <cell r="A27">
            <v>37036</v>
          </cell>
        </row>
        <row r="28">
          <cell r="A28">
            <v>37037</v>
          </cell>
        </row>
        <row r="29">
          <cell r="A29">
            <v>37038</v>
          </cell>
        </row>
        <row r="30">
          <cell r="A30">
            <v>37039</v>
          </cell>
        </row>
        <row r="31">
          <cell r="A31">
            <v>37040</v>
          </cell>
        </row>
        <row r="32">
          <cell r="A32">
            <v>37041</v>
          </cell>
        </row>
        <row r="33">
          <cell r="A33">
            <v>37042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workbookViewId="0">
      <selection activeCell="C42" sqref="C42"/>
    </sheetView>
  </sheetViews>
  <sheetFormatPr defaultColWidth="10" defaultRowHeight="13.2" x14ac:dyDescent="0.25"/>
  <cols>
    <col min="1" max="1" width="6.5546875" bestFit="1" customWidth="1"/>
    <col min="2" max="2" width="10" customWidth="1"/>
    <col min="3" max="3" width="11.88671875" customWidth="1"/>
    <col min="4" max="4" width="24.109375" style="1" bestFit="1" customWidth="1"/>
    <col min="5" max="6" width="14.44140625" customWidth="1"/>
    <col min="7" max="7" width="14.5546875" bestFit="1" customWidth="1"/>
    <col min="8" max="8" width="29.109375" bestFit="1" customWidth="1"/>
    <col min="9" max="9" width="26.6640625" bestFit="1" customWidth="1"/>
    <col min="10" max="10" width="17.33203125" bestFit="1" customWidth="1"/>
    <col min="11" max="11" width="14.441406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1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3">
        <v>37012</v>
      </c>
      <c r="D2" s="4"/>
    </row>
    <row r="3" spans="1:22" s="5" customFormat="1" x14ac:dyDescent="0.25"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C4" s="11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v>37012</v>
      </c>
      <c r="B7" s="30">
        <v>1</v>
      </c>
      <c r="C7" s="31">
        <v>15</v>
      </c>
      <c r="D7" s="32">
        <v>22</v>
      </c>
      <c r="E7" s="33">
        <v>5.01</v>
      </c>
      <c r="F7" s="33">
        <v>5.25</v>
      </c>
      <c r="G7" s="34">
        <v>65.2</v>
      </c>
      <c r="H7" s="35">
        <f t="shared" ref="H7:H30" si="0">IF(C7&gt;0,G7-D7,"")</f>
        <v>43.2</v>
      </c>
      <c r="I7" s="36">
        <f t="shared" ref="I7:I30" si="1">IF(C7&gt;0,H7*ABS(C7),"")</f>
        <v>648</v>
      </c>
      <c r="J7" s="37">
        <f t="shared" ref="J7:J12" si="2">IF(C7=0,"",1)</f>
        <v>1</v>
      </c>
      <c r="K7" s="38">
        <f t="shared" ref="K7:K12" si="3">IF(C7=0,"",G7-(D7+1))</f>
        <v>42.2</v>
      </c>
      <c r="L7" s="38">
        <f t="shared" ref="L7:L12" si="4">IF(C7=0,"",C7*J7)</f>
        <v>15</v>
      </c>
      <c r="M7" s="39">
        <f>IF(C7=0,"",C7*K7)</f>
        <v>633</v>
      </c>
      <c r="N7" s="40">
        <f>IF(C7=0,"",D7)</f>
        <v>22</v>
      </c>
      <c r="O7" s="41">
        <f t="shared" ref="O7:O12" si="5">IF(C7=0,"",D7+1)</f>
        <v>23</v>
      </c>
      <c r="P7" s="38">
        <f>IF(C7=0,"",N7*C7)</f>
        <v>330</v>
      </c>
      <c r="Q7" s="42">
        <f t="shared" ref="Q7:Q30" si="6">IF(C7=0,"",O7*C7)</f>
        <v>345</v>
      </c>
      <c r="R7" s="43"/>
      <c r="S7" s="44">
        <f>IF(C7=0,"",L7)</f>
        <v>15</v>
      </c>
      <c r="T7" s="45">
        <f>IF(C7=0,"",M7)</f>
        <v>633</v>
      </c>
      <c r="U7" s="46"/>
    </row>
    <row r="8" spans="1:22" x14ac:dyDescent="0.25">
      <c r="A8" s="47">
        <v>37012</v>
      </c>
      <c r="B8" s="48">
        <v>2</v>
      </c>
      <c r="C8" s="49">
        <v>12</v>
      </c>
      <c r="D8" s="50">
        <v>22</v>
      </c>
      <c r="E8" s="51">
        <v>5.01</v>
      </c>
      <c r="F8" s="51">
        <v>5.25</v>
      </c>
      <c r="G8" s="52">
        <v>65.2</v>
      </c>
      <c r="H8" s="53">
        <f t="shared" si="0"/>
        <v>43.2</v>
      </c>
      <c r="I8" s="54">
        <f t="shared" si="1"/>
        <v>518.40000000000009</v>
      </c>
      <c r="J8" s="55">
        <f t="shared" si="2"/>
        <v>1</v>
      </c>
      <c r="K8" s="43">
        <f t="shared" si="3"/>
        <v>42.2</v>
      </c>
      <c r="L8" s="43">
        <f t="shared" si="4"/>
        <v>12</v>
      </c>
      <c r="M8" s="56">
        <f t="shared" ref="M8:M30" si="7">IF(C8=0,"",C8*K8)</f>
        <v>506.40000000000003</v>
      </c>
      <c r="N8" s="57">
        <f t="shared" ref="N8:N30" si="8">IF(C8=0,"",D8)</f>
        <v>22</v>
      </c>
      <c r="O8" s="58">
        <f t="shared" si="5"/>
        <v>23</v>
      </c>
      <c r="P8" s="43">
        <f t="shared" ref="P8:P30" si="9">IF(C8=0,"",N8*C8)</f>
        <v>264</v>
      </c>
      <c r="Q8" s="59">
        <f t="shared" si="6"/>
        <v>276</v>
      </c>
      <c r="R8" s="43"/>
      <c r="S8" s="60">
        <f t="shared" ref="S8:S30" si="10">IF(C8=0,"",L8)</f>
        <v>12</v>
      </c>
      <c r="T8" s="61">
        <f t="shared" ref="T8:T30" si="11">IF(C8=0,"",M8)</f>
        <v>506.40000000000003</v>
      </c>
      <c r="U8" s="46"/>
    </row>
    <row r="9" spans="1:22" x14ac:dyDescent="0.25">
      <c r="A9" s="47">
        <v>37012</v>
      </c>
      <c r="B9" s="48">
        <v>3</v>
      </c>
      <c r="C9" s="49">
        <v>12</v>
      </c>
      <c r="D9" s="50">
        <v>22</v>
      </c>
      <c r="E9" s="51">
        <v>5.01</v>
      </c>
      <c r="F9" s="51">
        <v>5.25</v>
      </c>
      <c r="G9" s="52">
        <v>65.2</v>
      </c>
      <c r="H9" s="53">
        <f t="shared" si="0"/>
        <v>43.2</v>
      </c>
      <c r="I9" s="54">
        <f t="shared" si="1"/>
        <v>518.40000000000009</v>
      </c>
      <c r="J9" s="55">
        <f t="shared" si="2"/>
        <v>1</v>
      </c>
      <c r="K9" s="43">
        <f t="shared" si="3"/>
        <v>42.2</v>
      </c>
      <c r="L9" s="43">
        <f t="shared" si="4"/>
        <v>12</v>
      </c>
      <c r="M9" s="56">
        <f t="shared" si="7"/>
        <v>506.40000000000003</v>
      </c>
      <c r="N9" s="57">
        <f t="shared" si="8"/>
        <v>22</v>
      </c>
      <c r="O9" s="58">
        <f t="shared" si="5"/>
        <v>23</v>
      </c>
      <c r="P9" s="43">
        <f t="shared" si="9"/>
        <v>264</v>
      </c>
      <c r="Q9" s="59">
        <f t="shared" si="6"/>
        <v>276</v>
      </c>
      <c r="R9" s="43"/>
      <c r="S9" s="60">
        <f t="shared" si="10"/>
        <v>12</v>
      </c>
      <c r="T9" s="61">
        <f t="shared" si="11"/>
        <v>506.40000000000003</v>
      </c>
      <c r="U9" s="46"/>
    </row>
    <row r="10" spans="1:22" x14ac:dyDescent="0.25">
      <c r="A10" s="47">
        <v>37012</v>
      </c>
      <c r="B10" s="48">
        <v>4</v>
      </c>
      <c r="C10" s="49">
        <v>12</v>
      </c>
      <c r="D10" s="50">
        <v>22</v>
      </c>
      <c r="E10" s="51">
        <v>5.01</v>
      </c>
      <c r="F10" s="51">
        <v>5.25</v>
      </c>
      <c r="G10" s="52">
        <v>65.2</v>
      </c>
      <c r="H10" s="53">
        <f t="shared" si="0"/>
        <v>43.2</v>
      </c>
      <c r="I10" s="54">
        <f t="shared" si="1"/>
        <v>518.40000000000009</v>
      </c>
      <c r="J10" s="55">
        <f t="shared" si="2"/>
        <v>1</v>
      </c>
      <c r="K10" s="43">
        <f t="shared" si="3"/>
        <v>42.2</v>
      </c>
      <c r="L10" s="43">
        <f t="shared" si="4"/>
        <v>12</v>
      </c>
      <c r="M10" s="56">
        <f t="shared" si="7"/>
        <v>506.40000000000003</v>
      </c>
      <c r="N10" s="57">
        <f t="shared" si="8"/>
        <v>22</v>
      </c>
      <c r="O10" s="58">
        <f t="shared" si="5"/>
        <v>23</v>
      </c>
      <c r="P10" s="43">
        <f t="shared" si="9"/>
        <v>264</v>
      </c>
      <c r="Q10" s="59">
        <f t="shared" si="6"/>
        <v>276</v>
      </c>
      <c r="R10" s="43"/>
      <c r="S10" s="60">
        <f t="shared" si="10"/>
        <v>12</v>
      </c>
      <c r="T10" s="61">
        <f t="shared" si="11"/>
        <v>506.40000000000003</v>
      </c>
      <c r="U10" s="46"/>
    </row>
    <row r="11" spans="1:22" x14ac:dyDescent="0.25">
      <c r="A11" s="47">
        <v>37012</v>
      </c>
      <c r="B11" s="48">
        <v>5</v>
      </c>
      <c r="C11" s="49">
        <v>13</v>
      </c>
      <c r="D11" s="50">
        <v>22</v>
      </c>
      <c r="E11" s="51">
        <v>5.01</v>
      </c>
      <c r="F11" s="51">
        <v>5.25</v>
      </c>
      <c r="G11" s="52">
        <v>65.2</v>
      </c>
      <c r="H11" s="53">
        <f t="shared" si="0"/>
        <v>43.2</v>
      </c>
      <c r="I11" s="54">
        <f t="shared" si="1"/>
        <v>561.6</v>
      </c>
      <c r="J11" s="55">
        <f t="shared" si="2"/>
        <v>1</v>
      </c>
      <c r="K11" s="43">
        <f t="shared" si="3"/>
        <v>42.2</v>
      </c>
      <c r="L11" s="43">
        <f t="shared" si="4"/>
        <v>13</v>
      </c>
      <c r="M11" s="56">
        <f t="shared" si="7"/>
        <v>548.6</v>
      </c>
      <c r="N11" s="57">
        <f t="shared" si="8"/>
        <v>22</v>
      </c>
      <c r="O11" s="58">
        <f t="shared" si="5"/>
        <v>23</v>
      </c>
      <c r="P11" s="43">
        <f t="shared" si="9"/>
        <v>286</v>
      </c>
      <c r="Q11" s="59">
        <f t="shared" si="6"/>
        <v>299</v>
      </c>
      <c r="R11" s="43"/>
      <c r="S11" s="60">
        <f t="shared" si="10"/>
        <v>13</v>
      </c>
      <c r="T11" s="61">
        <f t="shared" si="11"/>
        <v>548.6</v>
      </c>
      <c r="U11" s="46"/>
    </row>
    <row r="12" spans="1:22" x14ac:dyDescent="0.25">
      <c r="A12" s="47">
        <v>37012</v>
      </c>
      <c r="B12" s="48">
        <v>6</v>
      </c>
      <c r="C12" s="49">
        <v>16</v>
      </c>
      <c r="D12" s="50">
        <v>22</v>
      </c>
      <c r="E12" s="51">
        <v>5.01</v>
      </c>
      <c r="F12" s="51">
        <v>5.25</v>
      </c>
      <c r="G12" s="52">
        <v>65.2</v>
      </c>
      <c r="H12" s="53">
        <f t="shared" si="0"/>
        <v>43.2</v>
      </c>
      <c r="I12" s="54">
        <f t="shared" si="1"/>
        <v>691.2</v>
      </c>
      <c r="J12" s="55">
        <f t="shared" si="2"/>
        <v>1</v>
      </c>
      <c r="K12" s="43">
        <f t="shared" si="3"/>
        <v>42.2</v>
      </c>
      <c r="L12" s="43">
        <f t="shared" si="4"/>
        <v>16</v>
      </c>
      <c r="M12" s="56">
        <f t="shared" si="7"/>
        <v>675.2</v>
      </c>
      <c r="N12" s="57">
        <f t="shared" si="8"/>
        <v>22</v>
      </c>
      <c r="O12" s="58">
        <f t="shared" si="5"/>
        <v>23</v>
      </c>
      <c r="P12" s="43">
        <f t="shared" si="9"/>
        <v>352</v>
      </c>
      <c r="Q12" s="59">
        <f t="shared" si="6"/>
        <v>368</v>
      </c>
      <c r="R12" s="43"/>
      <c r="S12" s="60">
        <f t="shared" si="10"/>
        <v>16</v>
      </c>
      <c r="T12" s="61">
        <f t="shared" si="11"/>
        <v>675.2</v>
      </c>
      <c r="U12" s="46"/>
    </row>
    <row r="13" spans="1:22" x14ac:dyDescent="0.25">
      <c r="A13" s="47">
        <v>37012</v>
      </c>
      <c r="B13" s="48">
        <v>7</v>
      </c>
      <c r="C13" s="49">
        <v>0</v>
      </c>
      <c r="D13" s="50">
        <v>0</v>
      </c>
      <c r="E13" s="51">
        <v>5.01</v>
      </c>
      <c r="F13" s="51">
        <v>5.25</v>
      </c>
      <c r="G13" s="52">
        <v>65.2</v>
      </c>
      <c r="H13" s="53" t="str">
        <f t="shared" si="0"/>
        <v/>
      </c>
      <c r="I13" s="54" t="str">
        <f t="shared" si="1"/>
        <v/>
      </c>
      <c r="J13" s="62" t="str">
        <f>IF($C13=0,"",$H13*0.4)</f>
        <v/>
      </c>
      <c r="K13" s="63" t="str">
        <f t="shared" ref="K13:K28" si="12">IF($C13=0,"",$H13*0.6)</f>
        <v/>
      </c>
      <c r="L13" s="64" t="str">
        <f>IF(C13=0,"",J13*$C13)</f>
        <v/>
      </c>
      <c r="M13" s="56" t="str">
        <f t="shared" si="7"/>
        <v/>
      </c>
      <c r="N13" s="57" t="str">
        <f t="shared" si="8"/>
        <v/>
      </c>
      <c r="O13" s="58" t="str">
        <f>IF(C13=0,"",D13+J13)</f>
        <v/>
      </c>
      <c r="P13" s="43" t="str">
        <f t="shared" si="9"/>
        <v/>
      </c>
      <c r="Q13" s="59" t="str">
        <f t="shared" si="6"/>
        <v/>
      </c>
      <c r="R13" s="43"/>
      <c r="S13" s="60" t="str">
        <f t="shared" si="10"/>
        <v/>
      </c>
      <c r="T13" s="61" t="str">
        <f t="shared" si="11"/>
        <v/>
      </c>
      <c r="U13" s="46"/>
    </row>
    <row r="14" spans="1:22" x14ac:dyDescent="0.25">
      <c r="A14" s="47">
        <v>37012</v>
      </c>
      <c r="B14" s="48">
        <v>8</v>
      </c>
      <c r="C14" s="49">
        <v>0</v>
      </c>
      <c r="D14" s="50">
        <v>0</v>
      </c>
      <c r="E14" s="51">
        <v>5.01</v>
      </c>
      <c r="F14" s="51">
        <v>5.25</v>
      </c>
      <c r="G14" s="52">
        <v>65.2</v>
      </c>
      <c r="H14" s="53" t="str">
        <f t="shared" si="0"/>
        <v/>
      </c>
      <c r="I14" s="54" t="str">
        <f t="shared" si="1"/>
        <v/>
      </c>
      <c r="J14" s="62" t="str">
        <f t="shared" ref="J14:J28" si="13">IF($C14=0,"",$H14*0.4)</f>
        <v/>
      </c>
      <c r="K14" s="63" t="str">
        <f t="shared" si="12"/>
        <v/>
      </c>
      <c r="L14" s="64" t="str">
        <f t="shared" ref="L14:L28" si="14">IF(C14=0,"",J14*$C14)</f>
        <v/>
      </c>
      <c r="M14" s="56" t="str">
        <f t="shared" si="7"/>
        <v/>
      </c>
      <c r="N14" s="57" t="str">
        <f t="shared" si="8"/>
        <v/>
      </c>
      <c r="O14" s="58" t="str">
        <f t="shared" ref="O14:O28" si="15">IF(C14=0,"",D14+J14)</f>
        <v/>
      </c>
      <c r="P14" s="43" t="str">
        <f t="shared" si="9"/>
        <v/>
      </c>
      <c r="Q14" s="59" t="str">
        <f t="shared" si="6"/>
        <v/>
      </c>
      <c r="R14" s="43"/>
      <c r="S14" s="60" t="str">
        <f t="shared" si="10"/>
        <v/>
      </c>
      <c r="T14" s="61" t="str">
        <f t="shared" si="11"/>
        <v/>
      </c>
      <c r="U14" s="46"/>
    </row>
    <row r="15" spans="1:22" x14ac:dyDescent="0.25">
      <c r="A15" s="47">
        <v>37012</v>
      </c>
      <c r="B15" s="48">
        <v>9</v>
      </c>
      <c r="C15" s="49">
        <v>0</v>
      </c>
      <c r="D15" s="50">
        <v>0</v>
      </c>
      <c r="E15" s="51">
        <v>5.01</v>
      </c>
      <c r="F15" s="51">
        <v>5.25</v>
      </c>
      <c r="G15" s="52">
        <v>65.2</v>
      </c>
      <c r="H15" s="53" t="str">
        <f t="shared" si="0"/>
        <v/>
      </c>
      <c r="I15" s="54" t="str">
        <f t="shared" si="1"/>
        <v/>
      </c>
      <c r="J15" s="62" t="str">
        <f t="shared" si="13"/>
        <v/>
      </c>
      <c r="K15" s="63" t="str">
        <f t="shared" si="12"/>
        <v/>
      </c>
      <c r="L15" s="64" t="str">
        <f t="shared" si="14"/>
        <v/>
      </c>
      <c r="M15" s="56" t="str">
        <f t="shared" si="7"/>
        <v/>
      </c>
      <c r="N15" s="57" t="str">
        <f t="shared" si="8"/>
        <v/>
      </c>
      <c r="O15" s="58" t="str">
        <f t="shared" si="15"/>
        <v/>
      </c>
      <c r="P15" s="43" t="str">
        <f t="shared" si="9"/>
        <v/>
      </c>
      <c r="Q15" s="59" t="str">
        <f t="shared" si="6"/>
        <v/>
      </c>
      <c r="R15" s="43"/>
      <c r="S15" s="60" t="str">
        <f t="shared" si="10"/>
        <v/>
      </c>
      <c r="T15" s="61" t="str">
        <f t="shared" si="11"/>
        <v/>
      </c>
      <c r="U15" s="46"/>
    </row>
    <row r="16" spans="1:22" x14ac:dyDescent="0.25">
      <c r="A16" s="47">
        <v>37012</v>
      </c>
      <c r="B16" s="48">
        <v>10</v>
      </c>
      <c r="C16" s="49">
        <v>0</v>
      </c>
      <c r="D16" s="50">
        <v>0</v>
      </c>
      <c r="E16" s="51">
        <v>5.01</v>
      </c>
      <c r="F16" s="51">
        <v>5.25</v>
      </c>
      <c r="G16" s="52">
        <v>65.2</v>
      </c>
      <c r="H16" s="53" t="str">
        <f t="shared" si="0"/>
        <v/>
      </c>
      <c r="I16" s="54" t="str">
        <f t="shared" si="1"/>
        <v/>
      </c>
      <c r="J16" s="62" t="str">
        <f t="shared" si="13"/>
        <v/>
      </c>
      <c r="K16" s="63" t="str">
        <f t="shared" si="12"/>
        <v/>
      </c>
      <c r="L16" s="64" t="str">
        <f t="shared" si="14"/>
        <v/>
      </c>
      <c r="M16" s="56" t="str">
        <f t="shared" si="7"/>
        <v/>
      </c>
      <c r="N16" s="57" t="str">
        <f t="shared" si="8"/>
        <v/>
      </c>
      <c r="O16" s="58" t="str">
        <f t="shared" si="15"/>
        <v/>
      </c>
      <c r="P16" s="43" t="str">
        <f t="shared" si="9"/>
        <v/>
      </c>
      <c r="Q16" s="59" t="str">
        <f t="shared" si="6"/>
        <v/>
      </c>
      <c r="R16" s="43"/>
      <c r="S16" s="60" t="str">
        <f t="shared" si="10"/>
        <v/>
      </c>
      <c r="T16" s="61" t="str">
        <f t="shared" si="11"/>
        <v/>
      </c>
      <c r="U16" s="46"/>
    </row>
    <row r="17" spans="1:21" x14ac:dyDescent="0.25">
      <c r="A17" s="47">
        <v>37012</v>
      </c>
      <c r="B17" s="48">
        <v>11</v>
      </c>
      <c r="C17" s="49">
        <v>0</v>
      </c>
      <c r="D17" s="50">
        <v>0</v>
      </c>
      <c r="E17" s="51">
        <v>5.01</v>
      </c>
      <c r="F17" s="51">
        <v>5.25</v>
      </c>
      <c r="G17" s="52">
        <v>65.2</v>
      </c>
      <c r="H17" s="53" t="str">
        <f t="shared" si="0"/>
        <v/>
      </c>
      <c r="I17" s="54" t="str">
        <f t="shared" si="1"/>
        <v/>
      </c>
      <c r="J17" s="62" t="str">
        <f t="shared" si="13"/>
        <v/>
      </c>
      <c r="K17" s="63" t="str">
        <f t="shared" si="12"/>
        <v/>
      </c>
      <c r="L17" s="64" t="str">
        <f t="shared" si="14"/>
        <v/>
      </c>
      <c r="M17" s="56" t="str">
        <f t="shared" si="7"/>
        <v/>
      </c>
      <c r="N17" s="57" t="str">
        <f t="shared" si="8"/>
        <v/>
      </c>
      <c r="O17" s="58" t="str">
        <f t="shared" si="15"/>
        <v/>
      </c>
      <c r="P17" s="43" t="str">
        <f t="shared" si="9"/>
        <v/>
      </c>
      <c r="Q17" s="59" t="str">
        <f t="shared" si="6"/>
        <v/>
      </c>
      <c r="R17" s="43"/>
      <c r="S17" s="60" t="str">
        <f t="shared" si="10"/>
        <v/>
      </c>
      <c r="T17" s="61" t="str">
        <f t="shared" si="11"/>
        <v/>
      </c>
      <c r="U17" s="46"/>
    </row>
    <row r="18" spans="1:21" x14ac:dyDescent="0.25">
      <c r="A18" s="47">
        <v>37012</v>
      </c>
      <c r="B18" s="48">
        <v>12</v>
      </c>
      <c r="C18" s="49">
        <v>0</v>
      </c>
      <c r="D18" s="50">
        <v>0</v>
      </c>
      <c r="E18" s="51">
        <v>5.01</v>
      </c>
      <c r="F18" s="51">
        <v>5.25</v>
      </c>
      <c r="G18" s="52">
        <v>65.2</v>
      </c>
      <c r="H18" s="53" t="str">
        <f t="shared" si="0"/>
        <v/>
      </c>
      <c r="I18" s="54" t="str">
        <f t="shared" si="1"/>
        <v/>
      </c>
      <c r="J18" s="62" t="str">
        <f t="shared" si="13"/>
        <v/>
      </c>
      <c r="K18" s="63" t="str">
        <f t="shared" si="12"/>
        <v/>
      </c>
      <c r="L18" s="64" t="str">
        <f t="shared" si="14"/>
        <v/>
      </c>
      <c r="M18" s="56" t="str">
        <f t="shared" si="7"/>
        <v/>
      </c>
      <c r="N18" s="57" t="str">
        <f t="shared" si="8"/>
        <v/>
      </c>
      <c r="O18" s="58" t="str">
        <f t="shared" si="15"/>
        <v/>
      </c>
      <c r="P18" s="43" t="str">
        <f t="shared" si="9"/>
        <v/>
      </c>
      <c r="Q18" s="59" t="str">
        <f t="shared" si="6"/>
        <v/>
      </c>
      <c r="R18" s="43"/>
      <c r="S18" s="60" t="str">
        <f t="shared" si="10"/>
        <v/>
      </c>
      <c r="T18" s="61" t="str">
        <f t="shared" si="11"/>
        <v/>
      </c>
      <c r="U18" s="46"/>
    </row>
    <row r="19" spans="1:21" x14ac:dyDescent="0.25">
      <c r="A19" s="47">
        <v>37012</v>
      </c>
      <c r="B19" s="48">
        <v>13</v>
      </c>
      <c r="C19" s="49">
        <v>0</v>
      </c>
      <c r="D19" s="50">
        <v>0</v>
      </c>
      <c r="E19" s="51">
        <v>5.01</v>
      </c>
      <c r="F19" s="51">
        <v>5.25</v>
      </c>
      <c r="G19" s="52">
        <v>65.2</v>
      </c>
      <c r="H19" s="53" t="str">
        <f t="shared" si="0"/>
        <v/>
      </c>
      <c r="I19" s="54" t="str">
        <f t="shared" si="1"/>
        <v/>
      </c>
      <c r="J19" s="62" t="str">
        <f t="shared" si="13"/>
        <v/>
      </c>
      <c r="K19" s="63" t="str">
        <f t="shared" si="12"/>
        <v/>
      </c>
      <c r="L19" s="64" t="str">
        <f t="shared" si="14"/>
        <v/>
      </c>
      <c r="M19" s="56" t="str">
        <f t="shared" si="7"/>
        <v/>
      </c>
      <c r="N19" s="57" t="str">
        <f t="shared" si="8"/>
        <v/>
      </c>
      <c r="O19" s="58" t="str">
        <f t="shared" si="15"/>
        <v/>
      </c>
      <c r="P19" s="43" t="str">
        <f t="shared" si="9"/>
        <v/>
      </c>
      <c r="Q19" s="59" t="str">
        <f t="shared" si="6"/>
        <v/>
      </c>
      <c r="R19" s="43"/>
      <c r="S19" s="60" t="str">
        <f t="shared" si="10"/>
        <v/>
      </c>
      <c r="T19" s="61" t="str">
        <f t="shared" si="11"/>
        <v/>
      </c>
      <c r="U19" s="46"/>
    </row>
    <row r="20" spans="1:21" x14ac:dyDescent="0.25">
      <c r="A20" s="47">
        <v>37012</v>
      </c>
      <c r="B20" s="48">
        <v>14</v>
      </c>
      <c r="C20" s="49">
        <v>0</v>
      </c>
      <c r="D20" s="50">
        <v>0</v>
      </c>
      <c r="E20" s="51">
        <v>5.01</v>
      </c>
      <c r="F20" s="51">
        <v>5.25</v>
      </c>
      <c r="G20" s="52">
        <v>65.2</v>
      </c>
      <c r="H20" s="53" t="str">
        <f t="shared" si="0"/>
        <v/>
      </c>
      <c r="I20" s="54" t="str">
        <f t="shared" si="1"/>
        <v/>
      </c>
      <c r="J20" s="62" t="str">
        <f t="shared" si="13"/>
        <v/>
      </c>
      <c r="K20" s="63" t="str">
        <f t="shared" si="12"/>
        <v/>
      </c>
      <c r="L20" s="64" t="str">
        <f t="shared" si="14"/>
        <v/>
      </c>
      <c r="M20" s="56" t="str">
        <f t="shared" si="7"/>
        <v/>
      </c>
      <c r="N20" s="57" t="str">
        <f t="shared" si="8"/>
        <v/>
      </c>
      <c r="O20" s="58" t="str">
        <f t="shared" si="15"/>
        <v/>
      </c>
      <c r="P20" s="43" t="str">
        <f t="shared" si="9"/>
        <v/>
      </c>
      <c r="Q20" s="59" t="str">
        <f t="shared" si="6"/>
        <v/>
      </c>
      <c r="R20" s="43"/>
      <c r="S20" s="60" t="str">
        <f t="shared" si="10"/>
        <v/>
      </c>
      <c r="T20" s="61" t="str">
        <f t="shared" si="11"/>
        <v/>
      </c>
      <c r="U20" s="46"/>
    </row>
    <row r="21" spans="1:21" x14ac:dyDescent="0.25">
      <c r="A21" s="47">
        <v>37012</v>
      </c>
      <c r="B21" s="48">
        <v>15</v>
      </c>
      <c r="C21" s="49">
        <v>0</v>
      </c>
      <c r="D21" s="50">
        <v>0</v>
      </c>
      <c r="E21" s="51">
        <v>5.01</v>
      </c>
      <c r="F21" s="51">
        <v>5.25</v>
      </c>
      <c r="G21" s="52">
        <v>65.2</v>
      </c>
      <c r="H21" s="53" t="str">
        <f t="shared" si="0"/>
        <v/>
      </c>
      <c r="I21" s="54" t="str">
        <f t="shared" si="1"/>
        <v/>
      </c>
      <c r="J21" s="62" t="str">
        <f t="shared" si="13"/>
        <v/>
      </c>
      <c r="K21" s="63" t="str">
        <f t="shared" si="12"/>
        <v/>
      </c>
      <c r="L21" s="64" t="str">
        <f t="shared" si="14"/>
        <v/>
      </c>
      <c r="M21" s="56" t="str">
        <f t="shared" si="7"/>
        <v/>
      </c>
      <c r="N21" s="57" t="str">
        <f t="shared" si="8"/>
        <v/>
      </c>
      <c r="O21" s="58" t="str">
        <f t="shared" si="15"/>
        <v/>
      </c>
      <c r="P21" s="43" t="str">
        <f t="shared" si="9"/>
        <v/>
      </c>
      <c r="Q21" s="59" t="str">
        <f t="shared" si="6"/>
        <v/>
      </c>
      <c r="R21" s="43"/>
      <c r="S21" s="60" t="str">
        <f t="shared" si="10"/>
        <v/>
      </c>
      <c r="T21" s="61" t="str">
        <f t="shared" si="11"/>
        <v/>
      </c>
      <c r="U21" s="46"/>
    </row>
    <row r="22" spans="1:21" x14ac:dyDescent="0.25">
      <c r="A22" s="47">
        <v>37012</v>
      </c>
      <c r="B22" s="48">
        <v>16</v>
      </c>
      <c r="C22" s="49">
        <v>7</v>
      </c>
      <c r="D22" s="50">
        <v>60.42</v>
      </c>
      <c r="E22" s="51">
        <v>5.01</v>
      </c>
      <c r="F22" s="51">
        <v>5.25</v>
      </c>
      <c r="G22" s="52">
        <v>65.2</v>
      </c>
      <c r="H22" s="53">
        <f t="shared" si="0"/>
        <v>4.7800000000000011</v>
      </c>
      <c r="I22" s="54">
        <f t="shared" si="1"/>
        <v>33.460000000000008</v>
      </c>
      <c r="J22" s="62">
        <f t="shared" si="13"/>
        <v>1.9120000000000006</v>
      </c>
      <c r="K22" s="63">
        <f t="shared" si="12"/>
        <v>2.8680000000000008</v>
      </c>
      <c r="L22" s="64">
        <f t="shared" si="14"/>
        <v>13.384000000000004</v>
      </c>
      <c r="M22" s="56">
        <f t="shared" si="7"/>
        <v>20.076000000000004</v>
      </c>
      <c r="N22" s="57">
        <f t="shared" si="8"/>
        <v>60.42</v>
      </c>
      <c r="O22" s="58">
        <f t="shared" si="15"/>
        <v>62.332000000000001</v>
      </c>
      <c r="P22" s="43">
        <f t="shared" si="9"/>
        <v>422.94</v>
      </c>
      <c r="Q22" s="59">
        <f t="shared" si="6"/>
        <v>436.32400000000001</v>
      </c>
      <c r="R22" s="43"/>
      <c r="S22" s="60">
        <f t="shared" si="10"/>
        <v>13.384000000000004</v>
      </c>
      <c r="T22" s="61">
        <f t="shared" si="11"/>
        <v>20.076000000000004</v>
      </c>
      <c r="U22" s="46"/>
    </row>
    <row r="23" spans="1:21" x14ac:dyDescent="0.25">
      <c r="A23" s="47">
        <v>37012</v>
      </c>
      <c r="B23" s="48">
        <v>17</v>
      </c>
      <c r="C23" s="49">
        <v>7</v>
      </c>
      <c r="D23" s="50">
        <v>60.42</v>
      </c>
      <c r="E23" s="51">
        <v>5.01</v>
      </c>
      <c r="F23" s="51">
        <v>5.25</v>
      </c>
      <c r="G23" s="52">
        <v>65.2</v>
      </c>
      <c r="H23" s="53">
        <f t="shared" si="0"/>
        <v>4.7800000000000011</v>
      </c>
      <c r="I23" s="54">
        <f t="shared" si="1"/>
        <v>33.460000000000008</v>
      </c>
      <c r="J23" s="62">
        <f t="shared" si="13"/>
        <v>1.9120000000000006</v>
      </c>
      <c r="K23" s="63">
        <f t="shared" si="12"/>
        <v>2.8680000000000008</v>
      </c>
      <c r="L23" s="64">
        <f t="shared" si="14"/>
        <v>13.384000000000004</v>
      </c>
      <c r="M23" s="56">
        <f t="shared" si="7"/>
        <v>20.076000000000004</v>
      </c>
      <c r="N23" s="57">
        <f t="shared" si="8"/>
        <v>60.42</v>
      </c>
      <c r="O23" s="58">
        <f t="shared" si="15"/>
        <v>62.332000000000001</v>
      </c>
      <c r="P23" s="43">
        <f t="shared" si="9"/>
        <v>422.94</v>
      </c>
      <c r="Q23" s="59">
        <f t="shared" si="6"/>
        <v>436.32400000000001</v>
      </c>
      <c r="R23" s="43"/>
      <c r="S23" s="60">
        <f t="shared" si="10"/>
        <v>13.384000000000004</v>
      </c>
      <c r="T23" s="61">
        <f t="shared" si="11"/>
        <v>20.076000000000004</v>
      </c>
      <c r="U23" s="46"/>
    </row>
    <row r="24" spans="1:21" x14ac:dyDescent="0.25">
      <c r="A24" s="47">
        <v>37012</v>
      </c>
      <c r="B24" s="48">
        <v>18</v>
      </c>
      <c r="C24" s="49">
        <v>7</v>
      </c>
      <c r="D24" s="50">
        <v>60.42</v>
      </c>
      <c r="E24" s="51">
        <v>5.01</v>
      </c>
      <c r="F24" s="51">
        <v>5.25</v>
      </c>
      <c r="G24" s="52">
        <v>65.2</v>
      </c>
      <c r="H24" s="53">
        <f t="shared" si="0"/>
        <v>4.7800000000000011</v>
      </c>
      <c r="I24" s="54">
        <f t="shared" si="1"/>
        <v>33.460000000000008</v>
      </c>
      <c r="J24" s="62">
        <f t="shared" si="13"/>
        <v>1.9120000000000006</v>
      </c>
      <c r="K24" s="63">
        <f t="shared" si="12"/>
        <v>2.8680000000000008</v>
      </c>
      <c r="L24" s="64">
        <f t="shared" si="14"/>
        <v>13.384000000000004</v>
      </c>
      <c r="M24" s="56">
        <f t="shared" si="7"/>
        <v>20.076000000000004</v>
      </c>
      <c r="N24" s="57">
        <f t="shared" si="8"/>
        <v>60.42</v>
      </c>
      <c r="O24" s="58">
        <f t="shared" si="15"/>
        <v>62.332000000000001</v>
      </c>
      <c r="P24" s="43">
        <f t="shared" si="9"/>
        <v>422.94</v>
      </c>
      <c r="Q24" s="59">
        <f t="shared" si="6"/>
        <v>436.32400000000001</v>
      </c>
      <c r="R24" s="43"/>
      <c r="S24" s="60">
        <f t="shared" si="10"/>
        <v>13.384000000000004</v>
      </c>
      <c r="T24" s="61">
        <f t="shared" si="11"/>
        <v>20.076000000000004</v>
      </c>
      <c r="U24" s="46"/>
    </row>
    <row r="25" spans="1:21" x14ac:dyDescent="0.25">
      <c r="A25" s="47">
        <v>37012</v>
      </c>
      <c r="B25" s="48">
        <v>19</v>
      </c>
      <c r="C25" s="49">
        <v>7</v>
      </c>
      <c r="D25" s="50">
        <v>60.42</v>
      </c>
      <c r="E25" s="51">
        <v>5.01</v>
      </c>
      <c r="F25" s="51">
        <v>5.25</v>
      </c>
      <c r="G25" s="52">
        <v>65.2</v>
      </c>
      <c r="H25" s="53">
        <f t="shared" si="0"/>
        <v>4.7800000000000011</v>
      </c>
      <c r="I25" s="54">
        <f t="shared" si="1"/>
        <v>33.460000000000008</v>
      </c>
      <c r="J25" s="62">
        <f t="shared" si="13"/>
        <v>1.9120000000000006</v>
      </c>
      <c r="K25" s="63">
        <f t="shared" si="12"/>
        <v>2.8680000000000008</v>
      </c>
      <c r="L25" s="64">
        <f t="shared" si="14"/>
        <v>13.384000000000004</v>
      </c>
      <c r="M25" s="56">
        <f t="shared" si="7"/>
        <v>20.076000000000004</v>
      </c>
      <c r="N25" s="57">
        <f t="shared" si="8"/>
        <v>60.42</v>
      </c>
      <c r="O25" s="58">
        <f t="shared" si="15"/>
        <v>62.332000000000001</v>
      </c>
      <c r="P25" s="43">
        <f t="shared" si="9"/>
        <v>422.94</v>
      </c>
      <c r="Q25" s="59">
        <f t="shared" si="6"/>
        <v>436.32400000000001</v>
      </c>
      <c r="R25" s="43"/>
      <c r="S25" s="60">
        <f t="shared" si="10"/>
        <v>13.384000000000004</v>
      </c>
      <c r="T25" s="61">
        <f t="shared" si="11"/>
        <v>20.076000000000004</v>
      </c>
      <c r="U25" s="46"/>
    </row>
    <row r="26" spans="1:21" x14ac:dyDescent="0.25">
      <c r="A26" s="47">
        <v>37012</v>
      </c>
      <c r="B26" s="48">
        <v>20</v>
      </c>
      <c r="C26" s="49">
        <v>7</v>
      </c>
      <c r="D26" s="50">
        <v>60.42</v>
      </c>
      <c r="E26" s="51">
        <v>5.01</v>
      </c>
      <c r="F26" s="51">
        <v>5.25</v>
      </c>
      <c r="G26" s="52">
        <v>65.2</v>
      </c>
      <c r="H26" s="53">
        <f t="shared" si="0"/>
        <v>4.7800000000000011</v>
      </c>
      <c r="I26" s="54">
        <f t="shared" si="1"/>
        <v>33.460000000000008</v>
      </c>
      <c r="J26" s="62">
        <f t="shared" si="13"/>
        <v>1.9120000000000006</v>
      </c>
      <c r="K26" s="63">
        <f t="shared" si="12"/>
        <v>2.8680000000000008</v>
      </c>
      <c r="L26" s="64">
        <f t="shared" si="14"/>
        <v>13.384000000000004</v>
      </c>
      <c r="M26" s="56">
        <f t="shared" si="7"/>
        <v>20.076000000000004</v>
      </c>
      <c r="N26" s="57">
        <f t="shared" si="8"/>
        <v>60.42</v>
      </c>
      <c r="O26" s="58">
        <f t="shared" si="15"/>
        <v>62.332000000000001</v>
      </c>
      <c r="P26" s="43">
        <f t="shared" si="9"/>
        <v>422.94</v>
      </c>
      <c r="Q26" s="59">
        <f t="shared" si="6"/>
        <v>436.32400000000001</v>
      </c>
      <c r="R26" s="43"/>
      <c r="S26" s="60">
        <f t="shared" si="10"/>
        <v>13.384000000000004</v>
      </c>
      <c r="T26" s="61">
        <f t="shared" si="11"/>
        <v>20.076000000000004</v>
      </c>
      <c r="U26" s="46"/>
    </row>
    <row r="27" spans="1:21" x14ac:dyDescent="0.25">
      <c r="A27" s="47">
        <v>37012</v>
      </c>
      <c r="B27" s="48">
        <v>21</v>
      </c>
      <c r="C27" s="49">
        <v>0</v>
      </c>
      <c r="D27" s="50">
        <v>0</v>
      </c>
      <c r="E27" s="51">
        <v>5.01</v>
      </c>
      <c r="F27" s="51">
        <v>5.25</v>
      </c>
      <c r="G27" s="52">
        <v>65.2</v>
      </c>
      <c r="H27" s="53" t="str">
        <f t="shared" si="0"/>
        <v/>
      </c>
      <c r="I27" s="54" t="str">
        <f t="shared" si="1"/>
        <v/>
      </c>
      <c r="J27" s="62" t="str">
        <f t="shared" si="13"/>
        <v/>
      </c>
      <c r="K27" s="63" t="str">
        <f t="shared" si="12"/>
        <v/>
      </c>
      <c r="L27" s="64" t="str">
        <f t="shared" si="14"/>
        <v/>
      </c>
      <c r="M27" s="56" t="str">
        <f t="shared" si="7"/>
        <v/>
      </c>
      <c r="N27" s="57" t="str">
        <f t="shared" si="8"/>
        <v/>
      </c>
      <c r="O27" s="58" t="str">
        <f t="shared" si="15"/>
        <v/>
      </c>
      <c r="P27" s="43" t="str">
        <f t="shared" si="9"/>
        <v/>
      </c>
      <c r="Q27" s="59" t="str">
        <f t="shared" si="6"/>
        <v/>
      </c>
      <c r="R27" s="43"/>
      <c r="S27" s="60" t="str">
        <f t="shared" si="10"/>
        <v/>
      </c>
      <c r="T27" s="61" t="str">
        <f t="shared" si="11"/>
        <v/>
      </c>
      <c r="U27" s="46"/>
    </row>
    <row r="28" spans="1:21" x14ac:dyDescent="0.25">
      <c r="A28" s="47">
        <v>37012</v>
      </c>
      <c r="B28" s="48">
        <v>22</v>
      </c>
      <c r="C28" s="49">
        <v>0</v>
      </c>
      <c r="D28" s="50">
        <v>0</v>
      </c>
      <c r="E28" s="51">
        <v>5.01</v>
      </c>
      <c r="F28" s="51">
        <v>5.25</v>
      </c>
      <c r="G28" s="52">
        <v>65.2</v>
      </c>
      <c r="H28" s="53" t="str">
        <f t="shared" si="0"/>
        <v/>
      </c>
      <c r="I28" s="54" t="str">
        <f t="shared" si="1"/>
        <v/>
      </c>
      <c r="J28" s="62" t="str">
        <f t="shared" si="13"/>
        <v/>
      </c>
      <c r="K28" s="63" t="str">
        <f t="shared" si="12"/>
        <v/>
      </c>
      <c r="L28" s="64" t="str">
        <f t="shared" si="14"/>
        <v/>
      </c>
      <c r="M28" s="56" t="str">
        <f t="shared" si="7"/>
        <v/>
      </c>
      <c r="N28" s="57" t="str">
        <f t="shared" si="8"/>
        <v/>
      </c>
      <c r="O28" s="58" t="str">
        <f t="shared" si="15"/>
        <v/>
      </c>
      <c r="P28" s="43" t="str">
        <f t="shared" si="9"/>
        <v/>
      </c>
      <c r="Q28" s="59" t="str">
        <f t="shared" si="6"/>
        <v/>
      </c>
      <c r="R28" s="43"/>
      <c r="S28" s="60" t="str">
        <f t="shared" si="10"/>
        <v/>
      </c>
      <c r="T28" s="61" t="str">
        <f t="shared" si="11"/>
        <v/>
      </c>
      <c r="U28" s="46"/>
    </row>
    <row r="29" spans="1:21" x14ac:dyDescent="0.25">
      <c r="A29" s="47">
        <v>37012</v>
      </c>
      <c r="B29" s="48">
        <v>23</v>
      </c>
      <c r="C29" s="49">
        <v>25</v>
      </c>
      <c r="D29" s="50">
        <v>59</v>
      </c>
      <c r="E29" s="51">
        <v>5.01</v>
      </c>
      <c r="F29" s="51">
        <v>5.25</v>
      </c>
      <c r="G29" s="52">
        <v>65.2</v>
      </c>
      <c r="H29" s="53">
        <f t="shared" si="0"/>
        <v>6.2000000000000028</v>
      </c>
      <c r="I29" s="54">
        <f t="shared" si="1"/>
        <v>155.00000000000006</v>
      </c>
      <c r="J29" s="55">
        <f>IF(C29=0,"",1)</f>
        <v>1</v>
      </c>
      <c r="K29" s="43">
        <f>IF(C29=0,"",G29-(D29+1))</f>
        <v>5.2000000000000028</v>
      </c>
      <c r="L29" s="43">
        <f>IF(C29=0,"",C29*J29)</f>
        <v>25</v>
      </c>
      <c r="M29" s="56">
        <f t="shared" si="7"/>
        <v>130.00000000000006</v>
      </c>
      <c r="N29" s="57">
        <f t="shared" si="8"/>
        <v>59</v>
      </c>
      <c r="O29" s="58">
        <f>IF(C29=0,"",D29+1)</f>
        <v>60</v>
      </c>
      <c r="P29" s="43">
        <f t="shared" si="9"/>
        <v>1475</v>
      </c>
      <c r="Q29" s="59">
        <f t="shared" si="6"/>
        <v>1500</v>
      </c>
      <c r="R29" s="43"/>
      <c r="S29" s="60">
        <f t="shared" si="10"/>
        <v>25</v>
      </c>
      <c r="T29" s="61">
        <f t="shared" si="11"/>
        <v>130.00000000000006</v>
      </c>
      <c r="U29" s="46"/>
    </row>
    <row r="30" spans="1:21" x14ac:dyDescent="0.25">
      <c r="A30" s="65">
        <v>37012</v>
      </c>
      <c r="B30" s="66">
        <v>24</v>
      </c>
      <c r="C30" s="67">
        <v>20</v>
      </c>
      <c r="D30" s="68">
        <v>58</v>
      </c>
      <c r="E30" s="69">
        <v>5.01</v>
      </c>
      <c r="F30" s="69">
        <v>5.25</v>
      </c>
      <c r="G30" s="70">
        <v>65.2</v>
      </c>
      <c r="H30" s="71">
        <f t="shared" si="0"/>
        <v>7.2000000000000028</v>
      </c>
      <c r="I30" s="72">
        <f t="shared" si="1"/>
        <v>144.00000000000006</v>
      </c>
      <c r="J30" s="73">
        <f>IF(C30=0,"",1)</f>
        <v>1</v>
      </c>
      <c r="K30" s="74">
        <f>IF(C30=0,"",G30-(D30+1))</f>
        <v>6.2000000000000028</v>
      </c>
      <c r="L30" s="74">
        <f>IF(C30=0,"",C30*J30)</f>
        <v>20</v>
      </c>
      <c r="M30" s="75">
        <f t="shared" si="7"/>
        <v>124.00000000000006</v>
      </c>
      <c r="N30" s="76">
        <f t="shared" si="8"/>
        <v>58</v>
      </c>
      <c r="O30" s="77">
        <f>IF(C30=0,"",D30+1)</f>
        <v>59</v>
      </c>
      <c r="P30" s="74">
        <f t="shared" si="9"/>
        <v>1160</v>
      </c>
      <c r="Q30" s="78">
        <f t="shared" si="6"/>
        <v>1180</v>
      </c>
      <c r="R30" s="43"/>
      <c r="S30" s="79">
        <f t="shared" si="10"/>
        <v>20</v>
      </c>
      <c r="T30" s="80">
        <f t="shared" si="11"/>
        <v>124.00000000000006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83"/>
    </row>
    <row r="32" spans="1:21" x14ac:dyDescent="0.25">
      <c r="K32" s="84"/>
      <c r="L32" s="84"/>
      <c r="M32" s="84"/>
      <c r="N32" s="85"/>
      <c r="O32" s="84"/>
      <c r="P32" s="85"/>
      <c r="Q32" s="86">
        <v>6701.62</v>
      </c>
      <c r="R32" s="87"/>
      <c r="S32" s="86">
        <v>191.92</v>
      </c>
      <c r="T32" s="86">
        <v>3730.38</v>
      </c>
    </row>
    <row r="34" spans="2:3" hidden="1" x14ac:dyDescent="0.25">
      <c r="B34" t="s">
        <v>33</v>
      </c>
      <c r="C34">
        <v>1</v>
      </c>
    </row>
  </sheetData>
  <mergeCells count="9">
    <mergeCell ref="S3:T3"/>
    <mergeCell ref="N4:O4"/>
    <mergeCell ref="P4:Q4"/>
    <mergeCell ref="A1:C1"/>
    <mergeCell ref="A2:B2"/>
    <mergeCell ref="E3:G3"/>
    <mergeCell ref="H3:I3"/>
    <mergeCell ref="J3:M3"/>
    <mergeCell ref="N3:Q3"/>
  </mergeCells>
  <phoneticPr fontId="0" type="noConversion"/>
  <conditionalFormatting sqref="H3:H5 E3:G6 I3:J6 U1:IV1048576 A5:C65536 A1:C2 D1:D30 D31:N65536 K4:N6 H8:H30 I7:I30 J7:K12 P4:T65536 J29:K30 L7:N30">
    <cfRule type="cellIs" dxfId="13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Q67" sqref="Q67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3.109375" customWidth="1"/>
    <col min="4" max="4" width="24" style="1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1" customWidth="1"/>
  </cols>
  <sheetData>
    <row r="1" spans="1:22" x14ac:dyDescent="0.25">
      <c r="A1" s="113" t="s">
        <v>0</v>
      </c>
      <c r="B1" s="113"/>
      <c r="C1" s="113"/>
      <c r="D1" s="93"/>
      <c r="T1" s="93"/>
    </row>
    <row r="2" spans="1:22" x14ac:dyDescent="0.25">
      <c r="A2" s="113" t="s">
        <v>1</v>
      </c>
      <c r="B2" s="113"/>
      <c r="C2" s="88">
        <v>37021</v>
      </c>
      <c r="D2" s="4"/>
      <c r="T2" s="93"/>
    </row>
    <row r="3" spans="1:22" s="5" customFormat="1" x14ac:dyDescent="0.25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5">
      <c r="D5" s="93"/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v>37021</v>
      </c>
      <c r="B7" s="30">
        <v>1</v>
      </c>
      <c r="C7" s="31">
        <v>15</v>
      </c>
      <c r="D7" s="95">
        <v>16.5</v>
      </c>
      <c r="E7" s="33">
        <v>4.38</v>
      </c>
      <c r="F7" s="33">
        <v>4.38</v>
      </c>
      <c r="G7" s="34">
        <v>61.7</v>
      </c>
      <c r="H7" s="35">
        <v>45.2</v>
      </c>
      <c r="I7" s="36">
        <v>678</v>
      </c>
      <c r="J7" s="96">
        <v>1</v>
      </c>
      <c r="K7" s="38">
        <v>44.2</v>
      </c>
      <c r="L7" s="38">
        <v>15</v>
      </c>
      <c r="M7" s="97">
        <v>663</v>
      </c>
      <c r="N7" s="40">
        <v>16.5</v>
      </c>
      <c r="O7" s="41">
        <v>17.5</v>
      </c>
      <c r="P7" s="38">
        <v>247.5</v>
      </c>
      <c r="Q7" s="42">
        <v>262.5</v>
      </c>
      <c r="R7" s="43"/>
      <c r="S7" s="98">
        <v>15</v>
      </c>
      <c r="T7" s="99">
        <v>663</v>
      </c>
      <c r="U7" s="46"/>
    </row>
    <row r="8" spans="1:22" x14ac:dyDescent="0.25">
      <c r="A8" s="47">
        <v>37021</v>
      </c>
      <c r="B8" s="48">
        <v>2</v>
      </c>
      <c r="C8" s="49">
        <v>15</v>
      </c>
      <c r="D8" s="100">
        <v>16.5</v>
      </c>
      <c r="E8" s="51">
        <v>4.38</v>
      </c>
      <c r="F8" s="51">
        <v>4.38</v>
      </c>
      <c r="G8" s="52">
        <v>61.7</v>
      </c>
      <c r="H8" s="53">
        <v>45.2</v>
      </c>
      <c r="I8" s="54">
        <v>678</v>
      </c>
      <c r="J8" s="62">
        <v>1</v>
      </c>
      <c r="K8" s="43">
        <v>44.2</v>
      </c>
      <c r="L8" s="43">
        <v>15</v>
      </c>
      <c r="M8" s="101">
        <v>663</v>
      </c>
      <c r="N8" s="57">
        <v>16.5</v>
      </c>
      <c r="O8" s="58">
        <v>17.5</v>
      </c>
      <c r="P8" s="43">
        <v>247.5</v>
      </c>
      <c r="Q8" s="59">
        <v>262.5</v>
      </c>
      <c r="R8" s="43"/>
      <c r="S8" s="102">
        <v>15</v>
      </c>
      <c r="T8" s="103">
        <v>663</v>
      </c>
      <c r="U8" s="46"/>
    </row>
    <row r="9" spans="1:22" x14ac:dyDescent="0.25">
      <c r="A9" s="47">
        <v>37021</v>
      </c>
      <c r="B9" s="48">
        <v>3</v>
      </c>
      <c r="C9" s="49">
        <v>15</v>
      </c>
      <c r="D9" s="100">
        <v>16.5</v>
      </c>
      <c r="E9" s="51">
        <v>4.38</v>
      </c>
      <c r="F9" s="51">
        <v>4.38</v>
      </c>
      <c r="G9" s="52">
        <v>61.7</v>
      </c>
      <c r="H9" s="53">
        <v>45.2</v>
      </c>
      <c r="I9" s="54">
        <v>678</v>
      </c>
      <c r="J9" s="62">
        <v>1</v>
      </c>
      <c r="K9" s="43">
        <v>44.2</v>
      </c>
      <c r="L9" s="43">
        <v>15</v>
      </c>
      <c r="M9" s="101">
        <v>663</v>
      </c>
      <c r="N9" s="57">
        <v>16.5</v>
      </c>
      <c r="O9" s="58">
        <v>17.5</v>
      </c>
      <c r="P9" s="43">
        <v>247.5</v>
      </c>
      <c r="Q9" s="59">
        <v>262.5</v>
      </c>
      <c r="R9" s="43"/>
      <c r="S9" s="102">
        <v>15</v>
      </c>
      <c r="T9" s="103">
        <v>663</v>
      </c>
      <c r="U9" s="46"/>
    </row>
    <row r="10" spans="1:22" x14ac:dyDescent="0.25">
      <c r="A10" s="47">
        <v>37021</v>
      </c>
      <c r="B10" s="48">
        <v>4</v>
      </c>
      <c r="C10" s="49">
        <v>15</v>
      </c>
      <c r="D10" s="100">
        <v>16.5</v>
      </c>
      <c r="E10" s="51">
        <v>4.38</v>
      </c>
      <c r="F10" s="51">
        <v>4.38</v>
      </c>
      <c r="G10" s="52">
        <v>61.7</v>
      </c>
      <c r="H10" s="53">
        <v>45.2</v>
      </c>
      <c r="I10" s="54">
        <v>678</v>
      </c>
      <c r="J10" s="62">
        <v>1</v>
      </c>
      <c r="K10" s="43">
        <v>44.2</v>
      </c>
      <c r="L10" s="43">
        <v>15</v>
      </c>
      <c r="M10" s="101">
        <v>663</v>
      </c>
      <c r="N10" s="57">
        <v>16.5</v>
      </c>
      <c r="O10" s="58">
        <v>17.5</v>
      </c>
      <c r="P10" s="43">
        <v>247.5</v>
      </c>
      <c r="Q10" s="59">
        <v>262.5</v>
      </c>
      <c r="R10" s="43"/>
      <c r="S10" s="102">
        <v>15</v>
      </c>
      <c r="T10" s="103">
        <v>663</v>
      </c>
      <c r="U10" s="46"/>
    </row>
    <row r="11" spans="1:22" x14ac:dyDescent="0.25">
      <c r="A11" s="47">
        <v>37021</v>
      </c>
      <c r="B11" s="48">
        <v>5</v>
      </c>
      <c r="C11" s="49">
        <v>15</v>
      </c>
      <c r="D11" s="100">
        <v>16.5</v>
      </c>
      <c r="E11" s="51">
        <v>4.38</v>
      </c>
      <c r="F11" s="51">
        <v>4.38</v>
      </c>
      <c r="G11" s="52">
        <v>61.7</v>
      </c>
      <c r="H11" s="53">
        <v>45.2</v>
      </c>
      <c r="I11" s="54">
        <v>678</v>
      </c>
      <c r="J11" s="62">
        <v>1</v>
      </c>
      <c r="K11" s="43">
        <v>44.2</v>
      </c>
      <c r="L11" s="43">
        <v>15</v>
      </c>
      <c r="M11" s="101">
        <v>663</v>
      </c>
      <c r="N11" s="57">
        <v>16.5</v>
      </c>
      <c r="O11" s="58">
        <v>17.5</v>
      </c>
      <c r="P11" s="43">
        <v>247.5</v>
      </c>
      <c r="Q11" s="59">
        <v>262.5</v>
      </c>
      <c r="R11" s="43"/>
      <c r="S11" s="102">
        <v>15</v>
      </c>
      <c r="T11" s="103">
        <v>663</v>
      </c>
      <c r="U11" s="46"/>
    </row>
    <row r="12" spans="1:22" x14ac:dyDescent="0.25">
      <c r="A12" s="47">
        <v>37021</v>
      </c>
      <c r="B12" s="48">
        <v>6</v>
      </c>
      <c r="C12" s="49">
        <v>15</v>
      </c>
      <c r="D12" s="100">
        <v>16.5</v>
      </c>
      <c r="E12" s="51">
        <v>4.38</v>
      </c>
      <c r="F12" s="51">
        <v>4.38</v>
      </c>
      <c r="G12" s="52">
        <v>61.7</v>
      </c>
      <c r="H12" s="53">
        <v>45.2</v>
      </c>
      <c r="I12" s="54">
        <v>678</v>
      </c>
      <c r="J12" s="62">
        <v>1</v>
      </c>
      <c r="K12" s="43">
        <v>44.2</v>
      </c>
      <c r="L12" s="43">
        <v>15</v>
      </c>
      <c r="M12" s="101">
        <v>663</v>
      </c>
      <c r="N12" s="57">
        <v>16.5</v>
      </c>
      <c r="O12" s="58">
        <v>17.5</v>
      </c>
      <c r="P12" s="43">
        <v>247.5</v>
      </c>
      <c r="Q12" s="59">
        <v>262.5</v>
      </c>
      <c r="R12" s="43"/>
      <c r="S12" s="102">
        <v>15</v>
      </c>
      <c r="T12" s="103">
        <v>663</v>
      </c>
      <c r="U12" s="46"/>
    </row>
    <row r="13" spans="1:22" x14ac:dyDescent="0.25">
      <c r="A13" s="47">
        <v>37021</v>
      </c>
      <c r="B13" s="48">
        <v>7</v>
      </c>
      <c r="C13" s="49">
        <v>20</v>
      </c>
      <c r="D13" s="100">
        <v>40</v>
      </c>
      <c r="E13" s="51">
        <v>4.38</v>
      </c>
      <c r="F13" s="51">
        <v>4.38</v>
      </c>
      <c r="G13" s="52">
        <v>61.7</v>
      </c>
      <c r="H13" s="53">
        <v>21.7</v>
      </c>
      <c r="I13" s="54">
        <v>434</v>
      </c>
      <c r="J13" s="62">
        <v>8.68</v>
      </c>
      <c r="K13" s="63">
        <v>13.02</v>
      </c>
      <c r="L13" s="63">
        <v>173.6</v>
      </c>
      <c r="M13" s="101">
        <v>260.39999999999998</v>
      </c>
      <c r="N13" s="57">
        <v>40</v>
      </c>
      <c r="O13" s="58">
        <v>48.68</v>
      </c>
      <c r="P13" s="43">
        <v>800</v>
      </c>
      <c r="Q13" s="59">
        <v>973.6</v>
      </c>
      <c r="R13" s="43"/>
      <c r="S13" s="102">
        <v>173.6</v>
      </c>
      <c r="T13" s="103">
        <v>260.39999999999998</v>
      </c>
      <c r="U13" s="46"/>
    </row>
    <row r="14" spans="1:22" x14ac:dyDescent="0.25">
      <c r="A14" s="47">
        <v>37021</v>
      </c>
      <c r="B14" s="48">
        <v>8</v>
      </c>
      <c r="C14" s="49">
        <v>25</v>
      </c>
      <c r="D14" s="100">
        <v>40</v>
      </c>
      <c r="E14" s="51">
        <v>4.38</v>
      </c>
      <c r="F14" s="51">
        <v>4.38</v>
      </c>
      <c r="G14" s="52">
        <v>61.7</v>
      </c>
      <c r="H14" s="53">
        <v>21.7</v>
      </c>
      <c r="I14" s="54">
        <v>542.5</v>
      </c>
      <c r="J14" s="62">
        <v>8.68</v>
      </c>
      <c r="K14" s="63">
        <v>13.02</v>
      </c>
      <c r="L14" s="63">
        <v>217</v>
      </c>
      <c r="M14" s="101">
        <v>325.5</v>
      </c>
      <c r="N14" s="57">
        <v>40</v>
      </c>
      <c r="O14" s="58">
        <v>48.68</v>
      </c>
      <c r="P14" s="43">
        <v>1000</v>
      </c>
      <c r="Q14" s="59">
        <v>1217</v>
      </c>
      <c r="R14" s="43"/>
      <c r="S14" s="102">
        <v>217</v>
      </c>
      <c r="T14" s="103">
        <v>325.5</v>
      </c>
      <c r="U14" s="46"/>
    </row>
    <row r="15" spans="1:22" x14ac:dyDescent="0.25">
      <c r="A15" s="47">
        <v>37021</v>
      </c>
      <c r="B15" s="48">
        <v>9</v>
      </c>
      <c r="C15" s="49">
        <v>30</v>
      </c>
      <c r="D15" s="100">
        <v>40</v>
      </c>
      <c r="E15" s="51">
        <v>4.38</v>
      </c>
      <c r="F15" s="51">
        <v>4.38</v>
      </c>
      <c r="G15" s="52">
        <v>61.7</v>
      </c>
      <c r="H15" s="53">
        <v>21.7</v>
      </c>
      <c r="I15" s="54">
        <v>651</v>
      </c>
      <c r="J15" s="62">
        <v>8.68</v>
      </c>
      <c r="K15" s="63">
        <v>13.02</v>
      </c>
      <c r="L15" s="63">
        <v>260.39999999999998</v>
      </c>
      <c r="M15" s="101">
        <v>390.6</v>
      </c>
      <c r="N15" s="57">
        <v>40</v>
      </c>
      <c r="O15" s="58">
        <v>48.68</v>
      </c>
      <c r="P15" s="43">
        <v>1200</v>
      </c>
      <c r="Q15" s="59">
        <v>1460.4</v>
      </c>
      <c r="R15" s="43"/>
      <c r="S15" s="102">
        <v>260.39999999999998</v>
      </c>
      <c r="T15" s="103">
        <v>390.6</v>
      </c>
      <c r="U15" s="46"/>
    </row>
    <row r="16" spans="1:22" x14ac:dyDescent="0.25">
      <c r="A16" s="47">
        <v>37021</v>
      </c>
      <c r="B16" s="48">
        <v>10</v>
      </c>
      <c r="C16" s="49">
        <v>30</v>
      </c>
      <c r="D16" s="100">
        <v>40</v>
      </c>
      <c r="E16" s="51">
        <v>4.38</v>
      </c>
      <c r="F16" s="51">
        <v>4.38</v>
      </c>
      <c r="G16" s="52">
        <v>61.7</v>
      </c>
      <c r="H16" s="53">
        <v>21.7</v>
      </c>
      <c r="I16" s="54">
        <v>651</v>
      </c>
      <c r="J16" s="62">
        <v>8.68</v>
      </c>
      <c r="K16" s="63">
        <v>13.02</v>
      </c>
      <c r="L16" s="63">
        <v>260.39999999999998</v>
      </c>
      <c r="M16" s="101">
        <v>390.6</v>
      </c>
      <c r="N16" s="57">
        <v>40</v>
      </c>
      <c r="O16" s="58">
        <v>48.68</v>
      </c>
      <c r="P16" s="43">
        <v>1200</v>
      </c>
      <c r="Q16" s="59">
        <v>1460.4</v>
      </c>
      <c r="R16" s="43"/>
      <c r="S16" s="102">
        <v>260.39999999999998</v>
      </c>
      <c r="T16" s="103">
        <v>390.6</v>
      </c>
      <c r="U16" s="46"/>
    </row>
    <row r="17" spans="1:21" x14ac:dyDescent="0.25">
      <c r="A17" s="47">
        <v>37021</v>
      </c>
      <c r="B17" s="48">
        <v>11</v>
      </c>
      <c r="C17" s="49">
        <v>30</v>
      </c>
      <c r="D17" s="100">
        <v>40</v>
      </c>
      <c r="E17" s="51">
        <v>4.38</v>
      </c>
      <c r="F17" s="51">
        <v>4.38</v>
      </c>
      <c r="G17" s="52">
        <v>61.7</v>
      </c>
      <c r="H17" s="53">
        <v>21.7</v>
      </c>
      <c r="I17" s="54">
        <v>651</v>
      </c>
      <c r="J17" s="62">
        <v>8.68</v>
      </c>
      <c r="K17" s="63">
        <v>13.02</v>
      </c>
      <c r="L17" s="63">
        <v>260.39999999999998</v>
      </c>
      <c r="M17" s="101">
        <v>390.6</v>
      </c>
      <c r="N17" s="57">
        <v>40</v>
      </c>
      <c r="O17" s="58">
        <v>48.68</v>
      </c>
      <c r="P17" s="43">
        <v>1200</v>
      </c>
      <c r="Q17" s="59">
        <v>1460.4</v>
      </c>
      <c r="R17" s="43"/>
      <c r="S17" s="102">
        <v>260.39999999999998</v>
      </c>
      <c r="T17" s="103">
        <v>390.6</v>
      </c>
      <c r="U17" s="46"/>
    </row>
    <row r="18" spans="1:21" x14ac:dyDescent="0.25">
      <c r="A18" s="47">
        <v>37021</v>
      </c>
      <c r="B18" s="48">
        <v>12</v>
      </c>
      <c r="C18" s="49">
        <v>30</v>
      </c>
      <c r="D18" s="100">
        <v>40</v>
      </c>
      <c r="E18" s="51">
        <v>4.38</v>
      </c>
      <c r="F18" s="51">
        <v>4.38</v>
      </c>
      <c r="G18" s="52">
        <v>61.7</v>
      </c>
      <c r="H18" s="53">
        <v>21.7</v>
      </c>
      <c r="I18" s="54">
        <v>651</v>
      </c>
      <c r="J18" s="62">
        <v>8.68</v>
      </c>
      <c r="K18" s="63">
        <v>13.02</v>
      </c>
      <c r="L18" s="63">
        <v>260.39999999999998</v>
      </c>
      <c r="M18" s="101">
        <v>390.6</v>
      </c>
      <c r="N18" s="57">
        <v>40</v>
      </c>
      <c r="O18" s="58">
        <v>48.68</v>
      </c>
      <c r="P18" s="43">
        <v>1200</v>
      </c>
      <c r="Q18" s="59">
        <v>1460.4</v>
      </c>
      <c r="R18" s="43"/>
      <c r="S18" s="102">
        <v>260.39999999999998</v>
      </c>
      <c r="T18" s="103">
        <v>390.6</v>
      </c>
      <c r="U18" s="46"/>
    </row>
    <row r="19" spans="1:21" x14ac:dyDescent="0.25">
      <c r="A19" s="47">
        <v>37021</v>
      </c>
      <c r="B19" s="48">
        <v>13</v>
      </c>
      <c r="C19" s="49">
        <v>30</v>
      </c>
      <c r="D19" s="100">
        <v>40</v>
      </c>
      <c r="E19" s="51">
        <v>4.38</v>
      </c>
      <c r="F19" s="51">
        <v>4.38</v>
      </c>
      <c r="G19" s="52">
        <v>61.7</v>
      </c>
      <c r="H19" s="53">
        <v>21.7</v>
      </c>
      <c r="I19" s="54">
        <v>651</v>
      </c>
      <c r="J19" s="62">
        <v>8.68</v>
      </c>
      <c r="K19" s="63">
        <v>13.02</v>
      </c>
      <c r="L19" s="63">
        <v>260.39999999999998</v>
      </c>
      <c r="M19" s="101">
        <v>390.6</v>
      </c>
      <c r="N19" s="57">
        <v>40</v>
      </c>
      <c r="O19" s="58">
        <v>48.68</v>
      </c>
      <c r="P19" s="43">
        <v>1200</v>
      </c>
      <c r="Q19" s="59">
        <v>1460.4</v>
      </c>
      <c r="R19" s="43"/>
      <c r="S19" s="102">
        <v>260.39999999999998</v>
      </c>
      <c r="T19" s="103">
        <v>390.6</v>
      </c>
      <c r="U19" s="46"/>
    </row>
    <row r="20" spans="1:21" x14ac:dyDescent="0.25">
      <c r="A20" s="47">
        <v>37021</v>
      </c>
      <c r="B20" s="48">
        <v>14</v>
      </c>
      <c r="C20" s="49">
        <v>30</v>
      </c>
      <c r="D20" s="100">
        <v>40</v>
      </c>
      <c r="E20" s="51">
        <v>4.38</v>
      </c>
      <c r="F20" s="51">
        <v>4.38</v>
      </c>
      <c r="G20" s="52">
        <v>61.7</v>
      </c>
      <c r="H20" s="53">
        <v>21.7</v>
      </c>
      <c r="I20" s="54">
        <v>651</v>
      </c>
      <c r="J20" s="62">
        <v>8.68</v>
      </c>
      <c r="K20" s="63">
        <v>13.02</v>
      </c>
      <c r="L20" s="63">
        <v>260.39999999999998</v>
      </c>
      <c r="M20" s="101">
        <v>390.6</v>
      </c>
      <c r="N20" s="57">
        <v>40</v>
      </c>
      <c r="O20" s="58">
        <v>48.68</v>
      </c>
      <c r="P20" s="43">
        <v>1200</v>
      </c>
      <c r="Q20" s="59">
        <v>1460.4</v>
      </c>
      <c r="R20" s="43"/>
      <c r="S20" s="102">
        <v>260.39999999999998</v>
      </c>
      <c r="T20" s="103">
        <v>390.6</v>
      </c>
      <c r="U20" s="46"/>
    </row>
    <row r="21" spans="1:21" x14ac:dyDescent="0.25">
      <c r="A21" s="47">
        <v>37021</v>
      </c>
      <c r="B21" s="48">
        <v>15</v>
      </c>
      <c r="C21" s="49">
        <v>30</v>
      </c>
      <c r="D21" s="100">
        <v>40</v>
      </c>
      <c r="E21" s="51">
        <v>4.38</v>
      </c>
      <c r="F21" s="51">
        <v>4.38</v>
      </c>
      <c r="G21" s="52">
        <v>61.7</v>
      </c>
      <c r="H21" s="53">
        <v>21.7</v>
      </c>
      <c r="I21" s="54">
        <v>651</v>
      </c>
      <c r="J21" s="62">
        <v>8.68</v>
      </c>
      <c r="K21" s="63">
        <v>13.02</v>
      </c>
      <c r="L21" s="63">
        <v>260.39999999999998</v>
      </c>
      <c r="M21" s="101">
        <v>390.6</v>
      </c>
      <c r="N21" s="57">
        <v>40</v>
      </c>
      <c r="O21" s="58">
        <v>48.68</v>
      </c>
      <c r="P21" s="43">
        <v>1200</v>
      </c>
      <c r="Q21" s="59">
        <v>1460.4</v>
      </c>
      <c r="R21" s="43"/>
      <c r="S21" s="102">
        <v>260.39999999999998</v>
      </c>
      <c r="T21" s="103">
        <v>390.6</v>
      </c>
      <c r="U21" s="46"/>
    </row>
    <row r="22" spans="1:21" x14ac:dyDescent="0.25">
      <c r="A22" s="47">
        <v>37021</v>
      </c>
      <c r="B22" s="48">
        <v>16</v>
      </c>
      <c r="C22" s="49">
        <v>30</v>
      </c>
      <c r="D22" s="100">
        <v>40</v>
      </c>
      <c r="E22" s="51">
        <v>4.38</v>
      </c>
      <c r="F22" s="51">
        <v>4.38</v>
      </c>
      <c r="G22" s="52">
        <v>61.7</v>
      </c>
      <c r="H22" s="53">
        <v>21.7</v>
      </c>
      <c r="I22" s="54">
        <v>651</v>
      </c>
      <c r="J22" s="62">
        <v>8.68</v>
      </c>
      <c r="K22" s="63">
        <v>13.02</v>
      </c>
      <c r="L22" s="63">
        <v>260.39999999999998</v>
      </c>
      <c r="M22" s="101">
        <v>390.6</v>
      </c>
      <c r="N22" s="57">
        <v>40</v>
      </c>
      <c r="O22" s="58">
        <v>48.68</v>
      </c>
      <c r="P22" s="43">
        <v>1200</v>
      </c>
      <c r="Q22" s="59">
        <v>1460.4</v>
      </c>
      <c r="R22" s="43"/>
      <c r="S22" s="102">
        <v>260.39999999999998</v>
      </c>
      <c r="T22" s="103">
        <v>390.6</v>
      </c>
      <c r="U22" s="46"/>
    </row>
    <row r="23" spans="1:21" x14ac:dyDescent="0.25">
      <c r="A23" s="47">
        <v>37021</v>
      </c>
      <c r="B23" s="48">
        <v>17</v>
      </c>
      <c r="C23" s="49">
        <v>30</v>
      </c>
      <c r="D23" s="100">
        <v>40</v>
      </c>
      <c r="E23" s="51">
        <v>4.38</v>
      </c>
      <c r="F23" s="51">
        <v>4.38</v>
      </c>
      <c r="G23" s="52">
        <v>61.7</v>
      </c>
      <c r="H23" s="53">
        <v>21.7</v>
      </c>
      <c r="I23" s="54">
        <v>651</v>
      </c>
      <c r="J23" s="62">
        <v>8.68</v>
      </c>
      <c r="K23" s="63">
        <v>13.02</v>
      </c>
      <c r="L23" s="63">
        <v>260.39999999999998</v>
      </c>
      <c r="M23" s="101">
        <v>390.6</v>
      </c>
      <c r="N23" s="57">
        <v>40</v>
      </c>
      <c r="O23" s="58">
        <v>48.68</v>
      </c>
      <c r="P23" s="43">
        <v>1200</v>
      </c>
      <c r="Q23" s="59">
        <v>1460.4</v>
      </c>
      <c r="R23" s="43"/>
      <c r="S23" s="102">
        <v>260.39999999999998</v>
      </c>
      <c r="T23" s="103">
        <v>390.6</v>
      </c>
      <c r="U23" s="46"/>
    </row>
    <row r="24" spans="1:21" x14ac:dyDescent="0.25">
      <c r="A24" s="47">
        <v>37021</v>
      </c>
      <c r="B24" s="48">
        <v>18</v>
      </c>
      <c r="C24" s="49">
        <v>30</v>
      </c>
      <c r="D24" s="100">
        <v>40</v>
      </c>
      <c r="E24" s="51">
        <v>4.38</v>
      </c>
      <c r="F24" s="51">
        <v>4.38</v>
      </c>
      <c r="G24" s="52">
        <v>61.7</v>
      </c>
      <c r="H24" s="53">
        <v>21.7</v>
      </c>
      <c r="I24" s="54">
        <v>651</v>
      </c>
      <c r="J24" s="62">
        <v>8.68</v>
      </c>
      <c r="K24" s="63">
        <v>13.02</v>
      </c>
      <c r="L24" s="63">
        <v>260.39999999999998</v>
      </c>
      <c r="M24" s="101">
        <v>390.6</v>
      </c>
      <c r="N24" s="57">
        <v>40</v>
      </c>
      <c r="O24" s="58">
        <v>48.68</v>
      </c>
      <c r="P24" s="43">
        <v>1200</v>
      </c>
      <c r="Q24" s="59">
        <v>1460.4</v>
      </c>
      <c r="R24" s="43"/>
      <c r="S24" s="102">
        <v>260.39999999999998</v>
      </c>
      <c r="T24" s="103">
        <v>390.6</v>
      </c>
      <c r="U24" s="46"/>
    </row>
    <row r="25" spans="1:21" x14ac:dyDescent="0.25">
      <c r="A25" s="47">
        <v>37021</v>
      </c>
      <c r="B25" s="48">
        <v>19</v>
      </c>
      <c r="C25" s="49">
        <v>30</v>
      </c>
      <c r="D25" s="100">
        <v>40</v>
      </c>
      <c r="E25" s="51">
        <v>4.38</v>
      </c>
      <c r="F25" s="51">
        <v>4.38</v>
      </c>
      <c r="G25" s="52">
        <v>61.7</v>
      </c>
      <c r="H25" s="53">
        <v>21.7</v>
      </c>
      <c r="I25" s="54">
        <v>651</v>
      </c>
      <c r="J25" s="62">
        <v>8.68</v>
      </c>
      <c r="K25" s="63">
        <v>13.02</v>
      </c>
      <c r="L25" s="63">
        <v>260.39999999999998</v>
      </c>
      <c r="M25" s="101">
        <v>390.6</v>
      </c>
      <c r="N25" s="57">
        <v>40</v>
      </c>
      <c r="O25" s="58">
        <v>48.68</v>
      </c>
      <c r="P25" s="43">
        <v>1200</v>
      </c>
      <c r="Q25" s="59">
        <v>1460.4</v>
      </c>
      <c r="R25" s="43"/>
      <c r="S25" s="102">
        <v>260.39999999999998</v>
      </c>
      <c r="T25" s="103">
        <v>390.6</v>
      </c>
      <c r="U25" s="46"/>
    </row>
    <row r="26" spans="1:21" x14ac:dyDescent="0.25">
      <c r="A26" s="47">
        <v>37021</v>
      </c>
      <c r="B26" s="48">
        <v>20</v>
      </c>
      <c r="C26" s="49">
        <v>30</v>
      </c>
      <c r="D26" s="100">
        <v>40</v>
      </c>
      <c r="E26" s="51">
        <v>4.38</v>
      </c>
      <c r="F26" s="51">
        <v>4.38</v>
      </c>
      <c r="G26" s="52">
        <v>61.7</v>
      </c>
      <c r="H26" s="53">
        <v>21.7</v>
      </c>
      <c r="I26" s="54">
        <v>651</v>
      </c>
      <c r="J26" s="62">
        <v>8.68</v>
      </c>
      <c r="K26" s="63">
        <v>13.02</v>
      </c>
      <c r="L26" s="63">
        <v>260.39999999999998</v>
      </c>
      <c r="M26" s="101">
        <v>390.6</v>
      </c>
      <c r="N26" s="57">
        <v>40</v>
      </c>
      <c r="O26" s="58">
        <v>48.68</v>
      </c>
      <c r="P26" s="43">
        <v>1200</v>
      </c>
      <c r="Q26" s="59">
        <v>1460.4</v>
      </c>
      <c r="R26" s="43"/>
      <c r="S26" s="102">
        <v>260.39999999999998</v>
      </c>
      <c r="T26" s="103">
        <v>390.6</v>
      </c>
      <c r="U26" s="46"/>
    </row>
    <row r="27" spans="1:21" x14ac:dyDescent="0.25">
      <c r="A27" s="47">
        <v>37021</v>
      </c>
      <c r="B27" s="48">
        <v>21</v>
      </c>
      <c r="C27" s="49">
        <v>30</v>
      </c>
      <c r="D27" s="100">
        <v>40</v>
      </c>
      <c r="E27" s="51">
        <v>4.38</v>
      </c>
      <c r="F27" s="51">
        <v>4.38</v>
      </c>
      <c r="G27" s="52">
        <v>61.7</v>
      </c>
      <c r="H27" s="53">
        <v>21.7</v>
      </c>
      <c r="I27" s="54">
        <v>651</v>
      </c>
      <c r="J27" s="62">
        <v>8.68</v>
      </c>
      <c r="K27" s="63">
        <v>13.02</v>
      </c>
      <c r="L27" s="63">
        <v>260.39999999999998</v>
      </c>
      <c r="M27" s="101">
        <v>390.6</v>
      </c>
      <c r="N27" s="57">
        <v>40</v>
      </c>
      <c r="O27" s="58">
        <v>48.68</v>
      </c>
      <c r="P27" s="43">
        <v>1200</v>
      </c>
      <c r="Q27" s="59">
        <v>1460.4</v>
      </c>
      <c r="R27" s="43"/>
      <c r="S27" s="102">
        <v>260.39999999999998</v>
      </c>
      <c r="T27" s="103">
        <v>390.6</v>
      </c>
      <c r="U27" s="46"/>
    </row>
    <row r="28" spans="1:21" x14ac:dyDescent="0.25">
      <c r="A28" s="47">
        <v>37021</v>
      </c>
      <c r="B28" s="48">
        <v>22</v>
      </c>
      <c r="C28" s="49">
        <v>30</v>
      </c>
      <c r="D28" s="100">
        <v>40</v>
      </c>
      <c r="E28" s="51">
        <v>4.38</v>
      </c>
      <c r="F28" s="51">
        <v>4.38</v>
      </c>
      <c r="G28" s="52">
        <v>61.7</v>
      </c>
      <c r="H28" s="53">
        <v>21.7</v>
      </c>
      <c r="I28" s="54">
        <v>651</v>
      </c>
      <c r="J28" s="62">
        <v>8.68</v>
      </c>
      <c r="K28" s="63">
        <v>13.02</v>
      </c>
      <c r="L28" s="63">
        <v>260.39999999999998</v>
      </c>
      <c r="M28" s="101">
        <v>390.6</v>
      </c>
      <c r="N28" s="57">
        <v>40</v>
      </c>
      <c r="O28" s="58">
        <v>48.68</v>
      </c>
      <c r="P28" s="43">
        <v>1200</v>
      </c>
      <c r="Q28" s="59">
        <v>1460.4</v>
      </c>
      <c r="R28" s="43"/>
      <c r="S28" s="102">
        <v>260.39999999999998</v>
      </c>
      <c r="T28" s="103">
        <v>390.6</v>
      </c>
      <c r="U28" s="46"/>
    </row>
    <row r="29" spans="1:21" x14ac:dyDescent="0.25">
      <c r="A29" s="47">
        <v>37021</v>
      </c>
      <c r="B29" s="48">
        <v>23</v>
      </c>
      <c r="C29" s="49">
        <v>15</v>
      </c>
      <c r="D29" s="100">
        <v>15</v>
      </c>
      <c r="E29" s="51">
        <v>4.38</v>
      </c>
      <c r="F29" s="51">
        <v>4.38</v>
      </c>
      <c r="G29" s="52">
        <v>61.7</v>
      </c>
      <c r="H29" s="53">
        <v>46.7</v>
      </c>
      <c r="I29" s="54">
        <v>700.5</v>
      </c>
      <c r="J29" s="62">
        <v>1</v>
      </c>
      <c r="K29" s="43">
        <v>45.7</v>
      </c>
      <c r="L29" s="43">
        <v>15</v>
      </c>
      <c r="M29" s="101">
        <v>685.5</v>
      </c>
      <c r="N29" s="57">
        <v>15</v>
      </c>
      <c r="O29" s="58">
        <v>16</v>
      </c>
      <c r="P29" s="43">
        <v>225</v>
      </c>
      <c r="Q29" s="59">
        <v>240</v>
      </c>
      <c r="R29" s="43"/>
      <c r="S29" s="102">
        <v>15</v>
      </c>
      <c r="T29" s="103">
        <v>685.5</v>
      </c>
      <c r="U29" s="46"/>
    </row>
    <row r="30" spans="1:21" x14ac:dyDescent="0.25">
      <c r="A30" s="65">
        <v>37021</v>
      </c>
      <c r="B30" s="66">
        <v>24</v>
      </c>
      <c r="C30" s="67">
        <v>15</v>
      </c>
      <c r="D30" s="104">
        <v>15</v>
      </c>
      <c r="E30" s="69">
        <v>4.38</v>
      </c>
      <c r="F30" s="69">
        <v>4.38</v>
      </c>
      <c r="G30" s="70">
        <v>61.7</v>
      </c>
      <c r="H30" s="71">
        <v>46.7</v>
      </c>
      <c r="I30" s="72">
        <v>700.5</v>
      </c>
      <c r="J30" s="105">
        <v>1</v>
      </c>
      <c r="K30" s="74">
        <v>45.7</v>
      </c>
      <c r="L30" s="74">
        <v>15</v>
      </c>
      <c r="M30" s="106">
        <v>685.5</v>
      </c>
      <c r="N30" s="76">
        <v>15</v>
      </c>
      <c r="O30" s="77">
        <v>16</v>
      </c>
      <c r="P30" s="74">
        <v>225</v>
      </c>
      <c r="Q30" s="78">
        <v>240</v>
      </c>
      <c r="R30" s="43"/>
      <c r="S30" s="107">
        <v>15</v>
      </c>
      <c r="T30" s="108">
        <v>685.5</v>
      </c>
      <c r="U30" s="46"/>
    </row>
    <row r="31" spans="1:21" ht="4.5" customHeight="1" x14ac:dyDescent="0.25">
      <c r="D31" s="93"/>
      <c r="E31" s="81"/>
      <c r="F31" s="81"/>
      <c r="G31" s="81"/>
      <c r="I31" s="82"/>
      <c r="Q31" s="2"/>
      <c r="S31" s="2"/>
      <c r="T31" s="109"/>
    </row>
    <row r="32" spans="1:21" x14ac:dyDescent="0.25">
      <c r="D32" s="93"/>
      <c r="K32" s="84"/>
      <c r="L32" s="84"/>
      <c r="M32" s="84"/>
      <c r="N32" s="85"/>
      <c r="O32" s="84"/>
      <c r="P32" s="85"/>
      <c r="Q32" s="86">
        <v>24691.200000000001</v>
      </c>
      <c r="R32" s="87"/>
      <c r="S32" s="86">
        <v>4156.2</v>
      </c>
      <c r="T32" s="86">
        <v>11403.3</v>
      </c>
    </row>
    <row r="33" spans="1:22" x14ac:dyDescent="0.25">
      <c r="D33"/>
      <c r="N33"/>
      <c r="P33"/>
      <c r="R33"/>
      <c r="T33"/>
    </row>
    <row r="34" spans="1:22" ht="12.75" hidden="1" customHeight="1" x14ac:dyDescent="0.25">
      <c r="B34" t="s">
        <v>33</v>
      </c>
      <c r="C34">
        <v>217</v>
      </c>
      <c r="D34" s="93"/>
      <c r="T34" s="93"/>
    </row>
    <row r="35" spans="1:22" x14ac:dyDescent="0.25">
      <c r="D35"/>
      <c r="N35"/>
      <c r="P35"/>
      <c r="R35"/>
      <c r="T35"/>
    </row>
    <row r="36" spans="1:22" x14ac:dyDescent="0.25">
      <c r="D36"/>
      <c r="N36"/>
      <c r="P36"/>
      <c r="R36"/>
      <c r="T36"/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5">
      <c r="D39" s="93"/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v>37021</v>
      </c>
      <c r="B41" s="30">
        <v>1</v>
      </c>
      <c r="C41" s="31">
        <v>10</v>
      </c>
      <c r="D41" s="110">
        <v>19</v>
      </c>
      <c r="E41" s="33">
        <v>4.38</v>
      </c>
      <c r="F41" s="33">
        <v>4.38</v>
      </c>
      <c r="G41" s="34">
        <v>61.7</v>
      </c>
      <c r="H41" s="35">
        <v>42.7</v>
      </c>
      <c r="I41" s="36">
        <v>427</v>
      </c>
      <c r="J41" s="96">
        <v>1</v>
      </c>
      <c r="K41" s="38">
        <v>41.7</v>
      </c>
      <c r="L41" s="38">
        <v>10</v>
      </c>
      <c r="M41" s="97">
        <v>417</v>
      </c>
      <c r="N41" s="40">
        <v>19</v>
      </c>
      <c r="O41" s="41">
        <v>20</v>
      </c>
      <c r="P41" s="38">
        <v>190</v>
      </c>
      <c r="Q41" s="42">
        <v>200</v>
      </c>
      <c r="R41" s="43"/>
      <c r="S41" s="98">
        <v>10</v>
      </c>
      <c r="T41" s="99">
        <v>417</v>
      </c>
      <c r="U41" s="46"/>
    </row>
    <row r="42" spans="1:22" x14ac:dyDescent="0.25">
      <c r="A42" s="47">
        <v>37021</v>
      </c>
      <c r="B42" s="48">
        <v>2</v>
      </c>
      <c r="C42" s="49">
        <v>6</v>
      </c>
      <c r="D42" s="111">
        <v>19</v>
      </c>
      <c r="E42" s="51">
        <v>4.38</v>
      </c>
      <c r="F42" s="51">
        <v>4.38</v>
      </c>
      <c r="G42" s="52">
        <v>61.7</v>
      </c>
      <c r="H42" s="53">
        <v>42.7</v>
      </c>
      <c r="I42" s="54">
        <v>256.2</v>
      </c>
      <c r="J42" s="62">
        <v>1</v>
      </c>
      <c r="K42" s="43">
        <v>41.7</v>
      </c>
      <c r="L42" s="43">
        <v>6</v>
      </c>
      <c r="M42" s="101">
        <v>250.2</v>
      </c>
      <c r="N42" s="57">
        <v>19</v>
      </c>
      <c r="O42" s="58">
        <v>20</v>
      </c>
      <c r="P42" s="43">
        <v>114</v>
      </c>
      <c r="Q42" s="59">
        <v>120</v>
      </c>
      <c r="R42" s="43"/>
      <c r="S42" s="102">
        <v>6</v>
      </c>
      <c r="T42" s="103">
        <v>250.2</v>
      </c>
      <c r="U42" s="46"/>
    </row>
    <row r="43" spans="1:22" x14ac:dyDescent="0.25">
      <c r="A43" s="47">
        <v>37021</v>
      </c>
      <c r="B43" s="48">
        <v>3</v>
      </c>
      <c r="C43" s="49">
        <v>4</v>
      </c>
      <c r="D43" s="111">
        <v>17</v>
      </c>
      <c r="E43" s="51">
        <v>4.38</v>
      </c>
      <c r="F43" s="51">
        <v>4.38</v>
      </c>
      <c r="G43" s="52">
        <v>61.7</v>
      </c>
      <c r="H43" s="53">
        <v>44.7</v>
      </c>
      <c r="I43" s="54">
        <v>178.8</v>
      </c>
      <c r="J43" s="62">
        <v>1</v>
      </c>
      <c r="K43" s="43">
        <v>43.7</v>
      </c>
      <c r="L43" s="43">
        <v>4</v>
      </c>
      <c r="M43" s="101">
        <v>174.8</v>
      </c>
      <c r="N43" s="57">
        <v>17</v>
      </c>
      <c r="O43" s="58">
        <v>18</v>
      </c>
      <c r="P43" s="43">
        <v>68</v>
      </c>
      <c r="Q43" s="59">
        <v>72</v>
      </c>
      <c r="R43" s="43"/>
      <c r="S43" s="102">
        <v>4</v>
      </c>
      <c r="T43" s="103">
        <v>174.8</v>
      </c>
      <c r="U43" s="46"/>
    </row>
    <row r="44" spans="1:22" x14ac:dyDescent="0.25">
      <c r="A44" s="47">
        <v>37021</v>
      </c>
      <c r="B44" s="48">
        <v>4</v>
      </c>
      <c r="C44" s="49">
        <v>4</v>
      </c>
      <c r="D44" s="111">
        <v>17</v>
      </c>
      <c r="E44" s="51">
        <v>4.38</v>
      </c>
      <c r="F44" s="51">
        <v>4.38</v>
      </c>
      <c r="G44" s="52">
        <v>61.7</v>
      </c>
      <c r="H44" s="53">
        <v>44.7</v>
      </c>
      <c r="I44" s="54">
        <v>178.8</v>
      </c>
      <c r="J44" s="62">
        <v>1</v>
      </c>
      <c r="K44" s="43">
        <v>43.7</v>
      </c>
      <c r="L44" s="43">
        <v>4</v>
      </c>
      <c r="M44" s="101">
        <v>174.8</v>
      </c>
      <c r="N44" s="57">
        <v>17</v>
      </c>
      <c r="O44" s="58">
        <v>18</v>
      </c>
      <c r="P44" s="43">
        <v>68</v>
      </c>
      <c r="Q44" s="59">
        <v>72</v>
      </c>
      <c r="R44" s="43"/>
      <c r="S44" s="102">
        <v>4</v>
      </c>
      <c r="T44" s="103">
        <v>174.8</v>
      </c>
      <c r="U44" s="46"/>
    </row>
    <row r="45" spans="1:22" x14ac:dyDescent="0.25">
      <c r="A45" s="47">
        <v>37021</v>
      </c>
      <c r="B45" s="48">
        <v>5</v>
      </c>
      <c r="C45" s="49">
        <v>4</v>
      </c>
      <c r="D45" s="111">
        <v>17</v>
      </c>
      <c r="E45" s="51">
        <v>4.38</v>
      </c>
      <c r="F45" s="51">
        <v>4.38</v>
      </c>
      <c r="G45" s="52">
        <v>61.7</v>
      </c>
      <c r="H45" s="53">
        <v>44.7</v>
      </c>
      <c r="I45" s="54">
        <v>178.8</v>
      </c>
      <c r="J45" s="62">
        <v>1</v>
      </c>
      <c r="K45" s="43">
        <v>43.7</v>
      </c>
      <c r="L45" s="43">
        <v>4</v>
      </c>
      <c r="M45" s="101">
        <v>174.8</v>
      </c>
      <c r="N45" s="57">
        <v>17</v>
      </c>
      <c r="O45" s="58">
        <v>18</v>
      </c>
      <c r="P45" s="43">
        <v>68</v>
      </c>
      <c r="Q45" s="59">
        <v>72</v>
      </c>
      <c r="R45" s="43"/>
      <c r="S45" s="102">
        <v>4</v>
      </c>
      <c r="T45" s="103">
        <v>174.8</v>
      </c>
      <c r="U45" s="46"/>
    </row>
    <row r="46" spans="1:22" x14ac:dyDescent="0.25">
      <c r="A46" s="47">
        <v>37021</v>
      </c>
      <c r="B46" s="48">
        <v>6</v>
      </c>
      <c r="C46" s="49">
        <v>4</v>
      </c>
      <c r="D46" s="111">
        <v>17</v>
      </c>
      <c r="E46" s="51">
        <v>4.38</v>
      </c>
      <c r="F46" s="51">
        <v>4.38</v>
      </c>
      <c r="G46" s="52">
        <v>61.7</v>
      </c>
      <c r="H46" s="53">
        <v>44.7</v>
      </c>
      <c r="I46" s="54">
        <v>178.8</v>
      </c>
      <c r="J46" s="62">
        <v>1</v>
      </c>
      <c r="K46" s="43">
        <v>43.7</v>
      </c>
      <c r="L46" s="43">
        <v>4</v>
      </c>
      <c r="M46" s="101">
        <v>174.8</v>
      </c>
      <c r="N46" s="57">
        <v>17</v>
      </c>
      <c r="O46" s="58">
        <v>18</v>
      </c>
      <c r="P46" s="43">
        <v>68</v>
      </c>
      <c r="Q46" s="59">
        <v>72</v>
      </c>
      <c r="R46" s="43"/>
      <c r="S46" s="102">
        <v>4</v>
      </c>
      <c r="T46" s="103">
        <v>174.8</v>
      </c>
      <c r="U46" s="46"/>
    </row>
    <row r="47" spans="1:22" x14ac:dyDescent="0.25">
      <c r="A47" s="47">
        <v>37021</v>
      </c>
      <c r="B47" s="48">
        <v>7</v>
      </c>
      <c r="C47" s="49">
        <v>3</v>
      </c>
      <c r="D47" s="111">
        <v>24</v>
      </c>
      <c r="E47" s="51">
        <v>4.38</v>
      </c>
      <c r="F47" s="51">
        <v>4.38</v>
      </c>
      <c r="G47" s="52">
        <v>61.7</v>
      </c>
      <c r="H47" s="53">
        <v>37.700000000000003</v>
      </c>
      <c r="I47" s="54">
        <v>113.1</v>
      </c>
      <c r="J47" s="62">
        <v>15.08</v>
      </c>
      <c r="K47" s="63">
        <v>22.62</v>
      </c>
      <c r="L47" s="63">
        <v>45.24</v>
      </c>
      <c r="M47" s="101">
        <v>67.86</v>
      </c>
      <c r="N47" s="57">
        <v>24</v>
      </c>
      <c r="O47" s="58">
        <v>39.08</v>
      </c>
      <c r="P47" s="43">
        <v>72</v>
      </c>
      <c r="Q47" s="59">
        <v>117.24</v>
      </c>
      <c r="R47" s="43"/>
      <c r="S47" s="102">
        <v>45.24</v>
      </c>
      <c r="T47" s="103">
        <v>67.86</v>
      </c>
      <c r="U47" s="46"/>
    </row>
    <row r="48" spans="1:22" x14ac:dyDescent="0.25">
      <c r="A48" s="47">
        <v>37021</v>
      </c>
      <c r="B48" s="48">
        <v>8</v>
      </c>
      <c r="C48" s="49">
        <v>0</v>
      </c>
      <c r="D48" s="111">
        <v>0</v>
      </c>
      <c r="E48" s="51">
        <v>4.38</v>
      </c>
      <c r="F48" s="51">
        <v>4.38</v>
      </c>
      <c r="G48" s="52">
        <v>61.7</v>
      </c>
      <c r="H48" s="53" t="s">
        <v>36</v>
      </c>
      <c r="I48" s="54" t="s">
        <v>36</v>
      </c>
      <c r="J48" s="62" t="s">
        <v>36</v>
      </c>
      <c r="K48" s="63" t="s">
        <v>36</v>
      </c>
      <c r="L48" s="63" t="s">
        <v>36</v>
      </c>
      <c r="M48" s="101" t="s">
        <v>36</v>
      </c>
      <c r="N48" s="57" t="s">
        <v>36</v>
      </c>
      <c r="O48" s="58" t="s">
        <v>36</v>
      </c>
      <c r="P48" s="43" t="s">
        <v>36</v>
      </c>
      <c r="Q48" s="59" t="s">
        <v>36</v>
      </c>
      <c r="R48" s="43"/>
      <c r="S48" s="102" t="s">
        <v>36</v>
      </c>
      <c r="T48" s="103" t="s">
        <v>36</v>
      </c>
      <c r="U48" s="46"/>
    </row>
    <row r="49" spans="1:21" x14ac:dyDescent="0.25">
      <c r="A49" s="47">
        <v>37021</v>
      </c>
      <c r="B49" s="48">
        <v>9</v>
      </c>
      <c r="C49" s="49">
        <v>0</v>
      </c>
      <c r="D49" s="111">
        <v>0</v>
      </c>
      <c r="E49" s="51">
        <v>4.38</v>
      </c>
      <c r="F49" s="51">
        <v>4.38</v>
      </c>
      <c r="G49" s="52">
        <v>61.7</v>
      </c>
      <c r="H49" s="53" t="s">
        <v>36</v>
      </c>
      <c r="I49" s="54" t="s">
        <v>36</v>
      </c>
      <c r="J49" s="62" t="s">
        <v>36</v>
      </c>
      <c r="K49" s="63" t="s">
        <v>36</v>
      </c>
      <c r="L49" s="63" t="s">
        <v>36</v>
      </c>
      <c r="M49" s="101" t="s">
        <v>36</v>
      </c>
      <c r="N49" s="57" t="s">
        <v>36</v>
      </c>
      <c r="O49" s="58" t="s">
        <v>36</v>
      </c>
      <c r="P49" s="43" t="s">
        <v>36</v>
      </c>
      <c r="Q49" s="59" t="s">
        <v>36</v>
      </c>
      <c r="R49" s="43"/>
      <c r="S49" s="102" t="s">
        <v>36</v>
      </c>
      <c r="T49" s="103" t="s">
        <v>36</v>
      </c>
      <c r="U49" s="46"/>
    </row>
    <row r="50" spans="1:21" x14ac:dyDescent="0.25">
      <c r="A50" s="47">
        <v>37021</v>
      </c>
      <c r="B50" s="48">
        <v>10</v>
      </c>
      <c r="C50" s="49">
        <v>0</v>
      </c>
      <c r="D50" s="111">
        <v>0</v>
      </c>
      <c r="E50" s="51">
        <v>4.38</v>
      </c>
      <c r="F50" s="51">
        <v>4.38</v>
      </c>
      <c r="G50" s="52">
        <v>61.7</v>
      </c>
      <c r="H50" s="53" t="s">
        <v>36</v>
      </c>
      <c r="I50" s="54" t="s">
        <v>36</v>
      </c>
      <c r="J50" s="62" t="s">
        <v>36</v>
      </c>
      <c r="K50" s="63" t="s">
        <v>36</v>
      </c>
      <c r="L50" s="63" t="s">
        <v>36</v>
      </c>
      <c r="M50" s="101" t="s">
        <v>36</v>
      </c>
      <c r="N50" s="57" t="s">
        <v>36</v>
      </c>
      <c r="O50" s="58" t="s">
        <v>36</v>
      </c>
      <c r="P50" s="43" t="s">
        <v>36</v>
      </c>
      <c r="Q50" s="59" t="s">
        <v>36</v>
      </c>
      <c r="R50" s="43"/>
      <c r="S50" s="102" t="s">
        <v>36</v>
      </c>
      <c r="T50" s="103" t="s">
        <v>36</v>
      </c>
      <c r="U50" s="46"/>
    </row>
    <row r="51" spans="1:21" x14ac:dyDescent="0.25">
      <c r="A51" s="47">
        <v>37021</v>
      </c>
      <c r="B51" s="48">
        <v>11</v>
      </c>
      <c r="C51" s="49">
        <v>0</v>
      </c>
      <c r="D51" s="111">
        <v>0</v>
      </c>
      <c r="E51" s="51">
        <v>4.38</v>
      </c>
      <c r="F51" s="51">
        <v>4.38</v>
      </c>
      <c r="G51" s="52">
        <v>61.7</v>
      </c>
      <c r="H51" s="53" t="s">
        <v>36</v>
      </c>
      <c r="I51" s="54" t="s">
        <v>36</v>
      </c>
      <c r="J51" s="62" t="s">
        <v>36</v>
      </c>
      <c r="K51" s="63" t="s">
        <v>36</v>
      </c>
      <c r="L51" s="63" t="s">
        <v>36</v>
      </c>
      <c r="M51" s="101" t="s">
        <v>36</v>
      </c>
      <c r="N51" s="57" t="s">
        <v>36</v>
      </c>
      <c r="O51" s="58" t="s">
        <v>36</v>
      </c>
      <c r="P51" s="43" t="s">
        <v>36</v>
      </c>
      <c r="Q51" s="59" t="s">
        <v>36</v>
      </c>
      <c r="R51" s="43"/>
      <c r="S51" s="102" t="s">
        <v>36</v>
      </c>
      <c r="T51" s="103" t="s">
        <v>36</v>
      </c>
      <c r="U51" s="46"/>
    </row>
    <row r="52" spans="1:21" x14ac:dyDescent="0.25">
      <c r="A52" s="47">
        <v>37021</v>
      </c>
      <c r="B52" s="48">
        <v>12</v>
      </c>
      <c r="C52" s="49">
        <v>0</v>
      </c>
      <c r="D52" s="111">
        <v>0</v>
      </c>
      <c r="E52" s="51">
        <v>4.38</v>
      </c>
      <c r="F52" s="51">
        <v>4.38</v>
      </c>
      <c r="G52" s="52">
        <v>61.7</v>
      </c>
      <c r="H52" s="53" t="s">
        <v>36</v>
      </c>
      <c r="I52" s="54" t="s">
        <v>36</v>
      </c>
      <c r="J52" s="62" t="s">
        <v>36</v>
      </c>
      <c r="K52" s="63" t="s">
        <v>36</v>
      </c>
      <c r="L52" s="63" t="s">
        <v>36</v>
      </c>
      <c r="M52" s="101" t="s">
        <v>36</v>
      </c>
      <c r="N52" s="57" t="s">
        <v>36</v>
      </c>
      <c r="O52" s="58" t="s">
        <v>36</v>
      </c>
      <c r="P52" s="43" t="s">
        <v>36</v>
      </c>
      <c r="Q52" s="59" t="s">
        <v>36</v>
      </c>
      <c r="R52" s="43"/>
      <c r="S52" s="102" t="s">
        <v>36</v>
      </c>
      <c r="T52" s="103" t="s">
        <v>36</v>
      </c>
      <c r="U52" s="46"/>
    </row>
    <row r="53" spans="1:21" x14ac:dyDescent="0.25">
      <c r="A53" s="47">
        <v>37021</v>
      </c>
      <c r="B53" s="48">
        <v>13</v>
      </c>
      <c r="C53" s="49">
        <v>5</v>
      </c>
      <c r="D53" s="111">
        <v>50</v>
      </c>
      <c r="E53" s="51">
        <v>4.38</v>
      </c>
      <c r="F53" s="51">
        <v>4.38</v>
      </c>
      <c r="G53" s="52">
        <v>61.7</v>
      </c>
      <c r="H53" s="53">
        <v>11.7</v>
      </c>
      <c r="I53" s="54">
        <v>58.5</v>
      </c>
      <c r="J53" s="62">
        <v>4.68</v>
      </c>
      <c r="K53" s="63">
        <v>7.02</v>
      </c>
      <c r="L53" s="63">
        <v>23.4</v>
      </c>
      <c r="M53" s="101">
        <v>35.1</v>
      </c>
      <c r="N53" s="57">
        <v>50</v>
      </c>
      <c r="O53" s="58">
        <v>54.68</v>
      </c>
      <c r="P53" s="43">
        <v>250</v>
      </c>
      <c r="Q53" s="59">
        <v>273.39999999999998</v>
      </c>
      <c r="R53" s="43"/>
      <c r="S53" s="102">
        <v>23.4</v>
      </c>
      <c r="T53" s="103">
        <v>35.1</v>
      </c>
      <c r="U53" s="46"/>
    </row>
    <row r="54" spans="1:21" x14ac:dyDescent="0.25">
      <c r="A54" s="47">
        <v>37021</v>
      </c>
      <c r="B54" s="48">
        <v>14</v>
      </c>
      <c r="C54" s="49">
        <v>5</v>
      </c>
      <c r="D54" s="111">
        <v>45</v>
      </c>
      <c r="E54" s="51">
        <v>4.38</v>
      </c>
      <c r="F54" s="51">
        <v>4.38</v>
      </c>
      <c r="G54" s="52">
        <v>61.7</v>
      </c>
      <c r="H54" s="53">
        <v>16.7</v>
      </c>
      <c r="I54" s="54">
        <v>83.5</v>
      </c>
      <c r="J54" s="62">
        <v>6.68</v>
      </c>
      <c r="K54" s="63">
        <v>10.02</v>
      </c>
      <c r="L54" s="63">
        <v>33.4</v>
      </c>
      <c r="M54" s="101">
        <v>50.1</v>
      </c>
      <c r="N54" s="57">
        <v>45</v>
      </c>
      <c r="O54" s="58">
        <v>51.68</v>
      </c>
      <c r="P54" s="43">
        <v>225</v>
      </c>
      <c r="Q54" s="59">
        <v>258.39999999999998</v>
      </c>
      <c r="R54" s="43"/>
      <c r="S54" s="102">
        <v>33.4</v>
      </c>
      <c r="T54" s="103">
        <v>50.1</v>
      </c>
      <c r="U54" s="46"/>
    </row>
    <row r="55" spans="1:21" x14ac:dyDescent="0.25">
      <c r="A55" s="47">
        <v>37021</v>
      </c>
      <c r="B55" s="48">
        <v>15</v>
      </c>
      <c r="C55" s="49">
        <v>5</v>
      </c>
      <c r="D55" s="111">
        <v>45</v>
      </c>
      <c r="E55" s="51">
        <v>4.38</v>
      </c>
      <c r="F55" s="51">
        <v>4.38</v>
      </c>
      <c r="G55" s="52">
        <v>61.7</v>
      </c>
      <c r="H55" s="53">
        <v>16.7</v>
      </c>
      <c r="I55" s="54">
        <v>83.5</v>
      </c>
      <c r="J55" s="62">
        <v>6.68</v>
      </c>
      <c r="K55" s="63">
        <v>10.02</v>
      </c>
      <c r="L55" s="63">
        <v>33.4</v>
      </c>
      <c r="M55" s="101">
        <v>50.1</v>
      </c>
      <c r="N55" s="57">
        <v>45</v>
      </c>
      <c r="O55" s="58">
        <v>51.68</v>
      </c>
      <c r="P55" s="43">
        <v>225</v>
      </c>
      <c r="Q55" s="59">
        <v>258.39999999999998</v>
      </c>
      <c r="R55" s="43"/>
      <c r="S55" s="102">
        <v>33.4</v>
      </c>
      <c r="T55" s="103">
        <v>50.1</v>
      </c>
      <c r="U55" s="46"/>
    </row>
    <row r="56" spans="1:21" x14ac:dyDescent="0.25">
      <c r="A56" s="47">
        <v>37021</v>
      </c>
      <c r="B56" s="48">
        <v>16</v>
      </c>
      <c r="C56" s="49">
        <v>5</v>
      </c>
      <c r="D56" s="111">
        <v>45</v>
      </c>
      <c r="E56" s="51">
        <v>4.38</v>
      </c>
      <c r="F56" s="51">
        <v>4.38</v>
      </c>
      <c r="G56" s="52">
        <v>61.7</v>
      </c>
      <c r="H56" s="53">
        <v>16.7</v>
      </c>
      <c r="I56" s="54">
        <v>83.5</v>
      </c>
      <c r="J56" s="62">
        <v>6.68</v>
      </c>
      <c r="K56" s="63">
        <v>10.02</v>
      </c>
      <c r="L56" s="63">
        <v>33.4</v>
      </c>
      <c r="M56" s="101">
        <v>50.1</v>
      </c>
      <c r="N56" s="57">
        <v>45</v>
      </c>
      <c r="O56" s="58">
        <v>51.68</v>
      </c>
      <c r="P56" s="43">
        <v>225</v>
      </c>
      <c r="Q56" s="59">
        <v>258.39999999999998</v>
      </c>
      <c r="R56" s="43"/>
      <c r="S56" s="102">
        <v>33.4</v>
      </c>
      <c r="T56" s="103">
        <v>50.1</v>
      </c>
      <c r="U56" s="46"/>
    </row>
    <row r="57" spans="1:21" x14ac:dyDescent="0.25">
      <c r="A57" s="47">
        <v>37021</v>
      </c>
      <c r="B57" s="48">
        <v>17</v>
      </c>
      <c r="C57" s="49">
        <v>5</v>
      </c>
      <c r="D57" s="111">
        <v>45</v>
      </c>
      <c r="E57" s="51">
        <v>4.38</v>
      </c>
      <c r="F57" s="51">
        <v>4.38</v>
      </c>
      <c r="G57" s="52">
        <v>61.7</v>
      </c>
      <c r="H57" s="53">
        <v>16.7</v>
      </c>
      <c r="I57" s="54">
        <v>83.5</v>
      </c>
      <c r="J57" s="62">
        <v>6.68</v>
      </c>
      <c r="K57" s="63">
        <v>10.02</v>
      </c>
      <c r="L57" s="63">
        <v>33.4</v>
      </c>
      <c r="M57" s="101">
        <v>50.1</v>
      </c>
      <c r="N57" s="57">
        <v>45</v>
      </c>
      <c r="O57" s="58">
        <v>51.68</v>
      </c>
      <c r="P57" s="43">
        <v>225</v>
      </c>
      <c r="Q57" s="59">
        <v>258.39999999999998</v>
      </c>
      <c r="R57" s="43"/>
      <c r="S57" s="102">
        <v>33.4</v>
      </c>
      <c r="T57" s="103">
        <v>50.1</v>
      </c>
      <c r="U57" s="46"/>
    </row>
    <row r="58" spans="1:21" x14ac:dyDescent="0.25">
      <c r="A58" s="47">
        <v>37021</v>
      </c>
      <c r="B58" s="48">
        <v>18</v>
      </c>
      <c r="C58" s="49">
        <v>5</v>
      </c>
      <c r="D58" s="111">
        <v>45</v>
      </c>
      <c r="E58" s="51">
        <v>4.38</v>
      </c>
      <c r="F58" s="51">
        <v>4.38</v>
      </c>
      <c r="G58" s="52">
        <v>61.7</v>
      </c>
      <c r="H58" s="53">
        <v>16.7</v>
      </c>
      <c r="I58" s="54">
        <v>83.5</v>
      </c>
      <c r="J58" s="62">
        <v>6.68</v>
      </c>
      <c r="K58" s="63">
        <v>10.02</v>
      </c>
      <c r="L58" s="63">
        <v>33.4</v>
      </c>
      <c r="M58" s="101">
        <v>50.1</v>
      </c>
      <c r="N58" s="57">
        <v>45</v>
      </c>
      <c r="O58" s="58">
        <v>51.68</v>
      </c>
      <c r="P58" s="43">
        <v>225</v>
      </c>
      <c r="Q58" s="59">
        <v>258.39999999999998</v>
      </c>
      <c r="R58" s="43"/>
      <c r="S58" s="102">
        <v>33.4</v>
      </c>
      <c r="T58" s="103">
        <v>50.1</v>
      </c>
      <c r="U58" s="46"/>
    </row>
    <row r="59" spans="1:21" x14ac:dyDescent="0.25">
      <c r="A59" s="47">
        <v>37021</v>
      </c>
      <c r="B59" s="48">
        <v>19</v>
      </c>
      <c r="C59" s="49">
        <v>0</v>
      </c>
      <c r="D59" s="111">
        <v>0</v>
      </c>
      <c r="E59" s="51">
        <v>4.38</v>
      </c>
      <c r="F59" s="51">
        <v>4.38</v>
      </c>
      <c r="G59" s="52">
        <v>61.7</v>
      </c>
      <c r="H59" s="53" t="s">
        <v>36</v>
      </c>
      <c r="I59" s="54" t="s">
        <v>36</v>
      </c>
      <c r="J59" s="62" t="s">
        <v>36</v>
      </c>
      <c r="K59" s="63" t="s">
        <v>36</v>
      </c>
      <c r="L59" s="63" t="s">
        <v>36</v>
      </c>
      <c r="M59" s="101" t="s">
        <v>36</v>
      </c>
      <c r="N59" s="57" t="s">
        <v>36</v>
      </c>
      <c r="O59" s="58" t="s">
        <v>36</v>
      </c>
      <c r="P59" s="43" t="s">
        <v>36</v>
      </c>
      <c r="Q59" s="59" t="s">
        <v>36</v>
      </c>
      <c r="R59" s="43"/>
      <c r="S59" s="102" t="s">
        <v>36</v>
      </c>
      <c r="T59" s="103" t="s">
        <v>36</v>
      </c>
      <c r="U59" s="46"/>
    </row>
    <row r="60" spans="1:21" x14ac:dyDescent="0.25">
      <c r="A60" s="47">
        <v>37021</v>
      </c>
      <c r="B60" s="48">
        <v>20</v>
      </c>
      <c r="C60" s="49">
        <v>0</v>
      </c>
      <c r="D60" s="111">
        <v>0</v>
      </c>
      <c r="E60" s="51">
        <v>4.38</v>
      </c>
      <c r="F60" s="51">
        <v>4.38</v>
      </c>
      <c r="G60" s="52">
        <v>61.7</v>
      </c>
      <c r="H60" s="53" t="s">
        <v>36</v>
      </c>
      <c r="I60" s="54" t="s">
        <v>36</v>
      </c>
      <c r="J60" s="62" t="s">
        <v>36</v>
      </c>
      <c r="K60" s="63" t="s">
        <v>36</v>
      </c>
      <c r="L60" s="63" t="s">
        <v>36</v>
      </c>
      <c r="M60" s="101" t="s">
        <v>36</v>
      </c>
      <c r="N60" s="57" t="s">
        <v>36</v>
      </c>
      <c r="O60" s="58" t="s">
        <v>36</v>
      </c>
      <c r="P60" s="43" t="s">
        <v>36</v>
      </c>
      <c r="Q60" s="59" t="s">
        <v>36</v>
      </c>
      <c r="R60" s="43"/>
      <c r="S60" s="102" t="s">
        <v>36</v>
      </c>
      <c r="T60" s="103" t="s">
        <v>36</v>
      </c>
      <c r="U60" s="46"/>
    </row>
    <row r="61" spans="1:21" x14ac:dyDescent="0.25">
      <c r="A61" s="47">
        <v>37021</v>
      </c>
      <c r="B61" s="48">
        <v>21</v>
      </c>
      <c r="C61" s="49">
        <v>0</v>
      </c>
      <c r="D61" s="111">
        <v>0</v>
      </c>
      <c r="E61" s="51">
        <v>4.38</v>
      </c>
      <c r="F61" s="51">
        <v>4.38</v>
      </c>
      <c r="G61" s="52">
        <v>61.7</v>
      </c>
      <c r="H61" s="53" t="s">
        <v>36</v>
      </c>
      <c r="I61" s="54" t="s">
        <v>36</v>
      </c>
      <c r="J61" s="62" t="s">
        <v>36</v>
      </c>
      <c r="K61" s="63" t="s">
        <v>36</v>
      </c>
      <c r="L61" s="63" t="s">
        <v>36</v>
      </c>
      <c r="M61" s="101" t="s">
        <v>36</v>
      </c>
      <c r="N61" s="57" t="s">
        <v>36</v>
      </c>
      <c r="O61" s="58" t="s">
        <v>36</v>
      </c>
      <c r="P61" s="43" t="s">
        <v>36</v>
      </c>
      <c r="Q61" s="59" t="s">
        <v>36</v>
      </c>
      <c r="R61" s="43"/>
      <c r="S61" s="102" t="s">
        <v>36</v>
      </c>
      <c r="T61" s="103" t="s">
        <v>36</v>
      </c>
      <c r="U61" s="46"/>
    </row>
    <row r="62" spans="1:21" x14ac:dyDescent="0.25">
      <c r="A62" s="47">
        <v>37021</v>
      </c>
      <c r="B62" s="48">
        <v>22</v>
      </c>
      <c r="C62" s="49">
        <v>0</v>
      </c>
      <c r="D62" s="111">
        <v>0</v>
      </c>
      <c r="E62" s="51">
        <v>4.38</v>
      </c>
      <c r="F62" s="51">
        <v>4.38</v>
      </c>
      <c r="G62" s="52">
        <v>61.7</v>
      </c>
      <c r="H62" s="53" t="s">
        <v>36</v>
      </c>
      <c r="I62" s="54" t="s">
        <v>36</v>
      </c>
      <c r="J62" s="62" t="s">
        <v>36</v>
      </c>
      <c r="K62" s="63" t="s">
        <v>36</v>
      </c>
      <c r="L62" s="63" t="s">
        <v>36</v>
      </c>
      <c r="M62" s="101" t="s">
        <v>36</v>
      </c>
      <c r="N62" s="57" t="s">
        <v>36</v>
      </c>
      <c r="O62" s="58" t="s">
        <v>36</v>
      </c>
      <c r="P62" s="43" t="s">
        <v>36</v>
      </c>
      <c r="Q62" s="59" t="s">
        <v>36</v>
      </c>
      <c r="R62" s="43"/>
      <c r="S62" s="102" t="s">
        <v>36</v>
      </c>
      <c r="T62" s="103" t="s">
        <v>36</v>
      </c>
      <c r="U62" s="46"/>
    </row>
    <row r="63" spans="1:21" x14ac:dyDescent="0.25">
      <c r="A63" s="47">
        <v>37021</v>
      </c>
      <c r="B63" s="48">
        <v>23</v>
      </c>
      <c r="C63" s="49">
        <v>14</v>
      </c>
      <c r="D63" s="111">
        <v>36</v>
      </c>
      <c r="E63" s="51">
        <v>4.38</v>
      </c>
      <c r="F63" s="51">
        <v>4.38</v>
      </c>
      <c r="G63" s="52">
        <v>61.7</v>
      </c>
      <c r="H63" s="53">
        <v>25.7</v>
      </c>
      <c r="I63" s="54">
        <v>359.8</v>
      </c>
      <c r="J63" s="62">
        <v>1</v>
      </c>
      <c r="K63" s="43">
        <v>24.7</v>
      </c>
      <c r="L63" s="43">
        <v>14</v>
      </c>
      <c r="M63" s="101">
        <v>345.8</v>
      </c>
      <c r="N63" s="57">
        <v>36</v>
      </c>
      <c r="O63" s="58">
        <v>37</v>
      </c>
      <c r="P63" s="43">
        <v>504</v>
      </c>
      <c r="Q63" s="59">
        <v>518</v>
      </c>
      <c r="R63" s="43"/>
      <c r="S63" s="102">
        <v>14</v>
      </c>
      <c r="T63" s="103">
        <v>345.8</v>
      </c>
      <c r="U63" s="46"/>
    </row>
    <row r="64" spans="1:21" x14ac:dyDescent="0.25">
      <c r="A64" s="65">
        <v>37021</v>
      </c>
      <c r="B64" s="66">
        <v>24</v>
      </c>
      <c r="C64" s="67">
        <v>12</v>
      </c>
      <c r="D64" s="112">
        <v>25</v>
      </c>
      <c r="E64" s="69">
        <v>4.38</v>
      </c>
      <c r="F64" s="69">
        <v>4.38</v>
      </c>
      <c r="G64" s="70">
        <v>61.7</v>
      </c>
      <c r="H64" s="71">
        <v>36.700000000000003</v>
      </c>
      <c r="I64" s="72">
        <v>440.4</v>
      </c>
      <c r="J64" s="105">
        <v>1</v>
      </c>
      <c r="K64" s="74">
        <v>35.700000000000003</v>
      </c>
      <c r="L64" s="74">
        <v>12</v>
      </c>
      <c r="M64" s="106">
        <v>428.4</v>
      </c>
      <c r="N64" s="76">
        <v>25</v>
      </c>
      <c r="O64" s="77">
        <v>26</v>
      </c>
      <c r="P64" s="74">
        <v>300</v>
      </c>
      <c r="Q64" s="78">
        <v>312</v>
      </c>
      <c r="R64" s="43"/>
      <c r="S64" s="107">
        <v>12</v>
      </c>
      <c r="T64" s="108">
        <v>428.4</v>
      </c>
      <c r="U64" s="46"/>
    </row>
    <row r="65" spans="2:20" x14ac:dyDescent="0.25">
      <c r="D65"/>
      <c r="N65"/>
      <c r="P65"/>
      <c r="R65"/>
      <c r="T65"/>
    </row>
    <row r="66" spans="2:20" x14ac:dyDescent="0.25">
      <c r="D66" s="93"/>
      <c r="Q66" s="82"/>
      <c r="R66"/>
      <c r="T66"/>
    </row>
    <row r="67" spans="2:20" x14ac:dyDescent="0.25">
      <c r="D67"/>
      <c r="N67"/>
      <c r="P67"/>
      <c r="R67"/>
      <c r="T67"/>
    </row>
    <row r="68" spans="2:20" ht="12.75" hidden="1" customHeight="1" x14ac:dyDescent="0.25">
      <c r="B68" t="s">
        <v>33</v>
      </c>
      <c r="C68">
        <v>217</v>
      </c>
      <c r="D68" s="93"/>
      <c r="R68"/>
      <c r="T68"/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4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12" sqref="D12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3.109375" customWidth="1"/>
    <col min="4" max="4" width="24" style="93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93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88">
        <v>37022</v>
      </c>
      <c r="D2" s="4"/>
    </row>
    <row r="3" spans="1:22" s="5" customFormat="1" x14ac:dyDescent="0.25">
      <c r="C3" s="89">
        <v>37022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v>37022</v>
      </c>
      <c r="B7" s="30">
        <v>1</v>
      </c>
      <c r="C7" s="31">
        <v>15</v>
      </c>
      <c r="D7" s="95">
        <v>16.5</v>
      </c>
      <c r="E7" s="33">
        <v>4.32</v>
      </c>
      <c r="F7" s="33">
        <v>4.32</v>
      </c>
      <c r="G7" s="34">
        <v>60.22</v>
      </c>
      <c r="H7" s="35">
        <v>43.72</v>
      </c>
      <c r="I7" s="36">
        <v>655.8</v>
      </c>
      <c r="J7" s="96">
        <v>1</v>
      </c>
      <c r="K7" s="38">
        <v>42.72</v>
      </c>
      <c r="L7" s="38">
        <v>15</v>
      </c>
      <c r="M7" s="97">
        <v>640.79999999999995</v>
      </c>
      <c r="N7" s="40">
        <v>16.5</v>
      </c>
      <c r="O7" s="41">
        <v>17.5</v>
      </c>
      <c r="P7" s="38">
        <v>247.5</v>
      </c>
      <c r="Q7" s="42">
        <v>262.5</v>
      </c>
      <c r="R7" s="43"/>
      <c r="S7" s="98">
        <v>15</v>
      </c>
      <c r="T7" s="99">
        <v>640.79999999999995</v>
      </c>
      <c r="U7" s="46"/>
    </row>
    <row r="8" spans="1:22" x14ac:dyDescent="0.25">
      <c r="A8" s="47">
        <v>37022</v>
      </c>
      <c r="B8" s="48">
        <v>2</v>
      </c>
      <c r="C8" s="49">
        <v>15</v>
      </c>
      <c r="D8" s="100">
        <v>16.5</v>
      </c>
      <c r="E8" s="51">
        <v>4.32</v>
      </c>
      <c r="F8" s="51">
        <v>4.32</v>
      </c>
      <c r="G8" s="52">
        <v>60.22</v>
      </c>
      <c r="H8" s="53">
        <v>43.72</v>
      </c>
      <c r="I8" s="54">
        <v>655.8</v>
      </c>
      <c r="J8" s="62">
        <v>1</v>
      </c>
      <c r="K8" s="43">
        <v>42.72</v>
      </c>
      <c r="L8" s="43">
        <v>15</v>
      </c>
      <c r="M8" s="101">
        <v>640.79999999999995</v>
      </c>
      <c r="N8" s="57">
        <v>16.5</v>
      </c>
      <c r="O8" s="58">
        <v>17.5</v>
      </c>
      <c r="P8" s="43">
        <v>247.5</v>
      </c>
      <c r="Q8" s="59">
        <v>262.5</v>
      </c>
      <c r="R8" s="43"/>
      <c r="S8" s="102">
        <v>15</v>
      </c>
      <c r="T8" s="103">
        <v>640.79999999999995</v>
      </c>
      <c r="U8" s="46"/>
    </row>
    <row r="9" spans="1:22" x14ac:dyDescent="0.25">
      <c r="A9" s="47">
        <v>37022</v>
      </c>
      <c r="B9" s="48">
        <v>3</v>
      </c>
      <c r="C9" s="49">
        <v>15</v>
      </c>
      <c r="D9" s="100">
        <v>16.5</v>
      </c>
      <c r="E9" s="51">
        <v>4.32</v>
      </c>
      <c r="F9" s="51">
        <v>4.32</v>
      </c>
      <c r="G9" s="52">
        <v>60.22</v>
      </c>
      <c r="H9" s="53">
        <v>43.72</v>
      </c>
      <c r="I9" s="54">
        <v>655.8</v>
      </c>
      <c r="J9" s="62">
        <v>1</v>
      </c>
      <c r="K9" s="43">
        <v>42.72</v>
      </c>
      <c r="L9" s="43">
        <v>15</v>
      </c>
      <c r="M9" s="101">
        <v>640.79999999999995</v>
      </c>
      <c r="N9" s="57">
        <v>16.5</v>
      </c>
      <c r="O9" s="58">
        <v>17.5</v>
      </c>
      <c r="P9" s="43">
        <v>247.5</v>
      </c>
      <c r="Q9" s="59">
        <v>262.5</v>
      </c>
      <c r="R9" s="43"/>
      <c r="S9" s="102">
        <v>15</v>
      </c>
      <c r="T9" s="103">
        <v>640.79999999999995</v>
      </c>
      <c r="U9" s="46"/>
    </row>
    <row r="10" spans="1:22" x14ac:dyDescent="0.25">
      <c r="A10" s="47">
        <v>37022</v>
      </c>
      <c r="B10" s="48">
        <v>4</v>
      </c>
      <c r="C10" s="49">
        <v>15</v>
      </c>
      <c r="D10" s="100">
        <v>16.5</v>
      </c>
      <c r="E10" s="51">
        <v>4.32</v>
      </c>
      <c r="F10" s="51">
        <v>4.32</v>
      </c>
      <c r="G10" s="52">
        <v>60.22</v>
      </c>
      <c r="H10" s="53">
        <v>43.72</v>
      </c>
      <c r="I10" s="54">
        <v>655.8</v>
      </c>
      <c r="J10" s="62">
        <v>1</v>
      </c>
      <c r="K10" s="43">
        <v>42.72</v>
      </c>
      <c r="L10" s="43">
        <v>15</v>
      </c>
      <c r="M10" s="101">
        <v>640.79999999999995</v>
      </c>
      <c r="N10" s="57">
        <v>16.5</v>
      </c>
      <c r="O10" s="58">
        <v>17.5</v>
      </c>
      <c r="P10" s="43">
        <v>247.5</v>
      </c>
      <c r="Q10" s="59">
        <v>262.5</v>
      </c>
      <c r="R10" s="43"/>
      <c r="S10" s="102">
        <v>15</v>
      </c>
      <c r="T10" s="103">
        <v>640.79999999999995</v>
      </c>
      <c r="U10" s="46"/>
    </row>
    <row r="11" spans="1:22" x14ac:dyDescent="0.25">
      <c r="A11" s="47">
        <v>37022</v>
      </c>
      <c r="B11" s="48">
        <v>5</v>
      </c>
      <c r="C11" s="49">
        <v>15</v>
      </c>
      <c r="D11" s="100">
        <v>16.5</v>
      </c>
      <c r="E11" s="51">
        <v>4.32</v>
      </c>
      <c r="F11" s="51">
        <v>4.32</v>
      </c>
      <c r="G11" s="52">
        <v>60.22</v>
      </c>
      <c r="H11" s="53">
        <v>43.72</v>
      </c>
      <c r="I11" s="54">
        <v>655.8</v>
      </c>
      <c r="J11" s="62">
        <v>1</v>
      </c>
      <c r="K11" s="43">
        <v>42.72</v>
      </c>
      <c r="L11" s="43">
        <v>15</v>
      </c>
      <c r="M11" s="101">
        <v>640.79999999999995</v>
      </c>
      <c r="N11" s="57">
        <v>16.5</v>
      </c>
      <c r="O11" s="58">
        <v>17.5</v>
      </c>
      <c r="P11" s="43">
        <v>247.5</v>
      </c>
      <c r="Q11" s="59">
        <v>262.5</v>
      </c>
      <c r="R11" s="43"/>
      <c r="S11" s="102">
        <v>15</v>
      </c>
      <c r="T11" s="103">
        <v>640.79999999999995</v>
      </c>
      <c r="U11" s="46"/>
    </row>
    <row r="12" spans="1:22" x14ac:dyDescent="0.25">
      <c r="A12" s="47">
        <v>37022</v>
      </c>
      <c r="B12" s="48">
        <v>6</v>
      </c>
      <c r="C12" s="49">
        <v>15</v>
      </c>
      <c r="D12" s="100">
        <v>16.5</v>
      </c>
      <c r="E12" s="51">
        <v>4.32</v>
      </c>
      <c r="F12" s="51">
        <v>4.32</v>
      </c>
      <c r="G12" s="52">
        <v>60.22</v>
      </c>
      <c r="H12" s="53">
        <v>43.72</v>
      </c>
      <c r="I12" s="54">
        <v>655.8</v>
      </c>
      <c r="J12" s="62">
        <v>1</v>
      </c>
      <c r="K12" s="43">
        <v>42.72</v>
      </c>
      <c r="L12" s="43">
        <v>15</v>
      </c>
      <c r="M12" s="101">
        <v>640.79999999999995</v>
      </c>
      <c r="N12" s="57">
        <v>16.5</v>
      </c>
      <c r="O12" s="58">
        <v>17.5</v>
      </c>
      <c r="P12" s="43">
        <v>247.5</v>
      </c>
      <c r="Q12" s="59">
        <v>262.5</v>
      </c>
      <c r="R12" s="43"/>
      <c r="S12" s="102">
        <v>15</v>
      </c>
      <c r="T12" s="103">
        <v>640.79999999999995</v>
      </c>
      <c r="U12" s="46"/>
    </row>
    <row r="13" spans="1:22" x14ac:dyDescent="0.25">
      <c r="A13" s="47">
        <v>37022</v>
      </c>
      <c r="B13" s="48">
        <v>7</v>
      </c>
      <c r="C13" s="49">
        <v>20</v>
      </c>
      <c r="D13" s="100">
        <v>40</v>
      </c>
      <c r="E13" s="51">
        <v>4.32</v>
      </c>
      <c r="F13" s="51">
        <v>4.32</v>
      </c>
      <c r="G13" s="52">
        <v>60.22</v>
      </c>
      <c r="H13" s="53">
        <v>20.22</v>
      </c>
      <c r="I13" s="54">
        <v>404.4</v>
      </c>
      <c r="J13" s="62">
        <v>8.0879999999999992</v>
      </c>
      <c r="K13" s="63">
        <v>12.132</v>
      </c>
      <c r="L13" s="63">
        <v>161.76</v>
      </c>
      <c r="M13" s="101">
        <v>242.64</v>
      </c>
      <c r="N13" s="57">
        <v>40</v>
      </c>
      <c r="O13" s="58">
        <v>48.088000000000001</v>
      </c>
      <c r="P13" s="43">
        <v>800</v>
      </c>
      <c r="Q13" s="59">
        <v>961.76</v>
      </c>
      <c r="R13" s="43"/>
      <c r="S13" s="102">
        <v>161.76</v>
      </c>
      <c r="T13" s="103">
        <v>242.64</v>
      </c>
      <c r="U13" s="46"/>
    </row>
    <row r="14" spans="1:22" x14ac:dyDescent="0.25">
      <c r="A14" s="47">
        <v>37022</v>
      </c>
      <c r="B14" s="48">
        <v>8</v>
      </c>
      <c r="C14" s="49">
        <v>25</v>
      </c>
      <c r="D14" s="100">
        <v>40</v>
      </c>
      <c r="E14" s="51">
        <v>4.32</v>
      </c>
      <c r="F14" s="51">
        <v>4.32</v>
      </c>
      <c r="G14" s="52">
        <v>60.22</v>
      </c>
      <c r="H14" s="53">
        <v>20.22</v>
      </c>
      <c r="I14" s="54">
        <v>505.5</v>
      </c>
      <c r="J14" s="62">
        <v>8.0879999999999992</v>
      </c>
      <c r="K14" s="63">
        <v>12.132</v>
      </c>
      <c r="L14" s="63">
        <v>202.2</v>
      </c>
      <c r="M14" s="101">
        <v>303.3</v>
      </c>
      <c r="N14" s="57">
        <v>40</v>
      </c>
      <c r="O14" s="58">
        <v>48.088000000000001</v>
      </c>
      <c r="P14" s="43">
        <v>1000</v>
      </c>
      <c r="Q14" s="59">
        <v>1202.2</v>
      </c>
      <c r="R14" s="43"/>
      <c r="S14" s="102">
        <v>202.2</v>
      </c>
      <c r="T14" s="103">
        <v>303.3</v>
      </c>
      <c r="U14" s="46"/>
    </row>
    <row r="15" spans="1:22" x14ac:dyDescent="0.25">
      <c r="A15" s="47">
        <v>37022</v>
      </c>
      <c r="B15" s="48">
        <v>9</v>
      </c>
      <c r="C15" s="49">
        <v>30</v>
      </c>
      <c r="D15" s="100">
        <v>40</v>
      </c>
      <c r="E15" s="51">
        <v>4.32</v>
      </c>
      <c r="F15" s="51">
        <v>4.32</v>
      </c>
      <c r="G15" s="52">
        <v>60.22</v>
      </c>
      <c r="H15" s="53">
        <v>20.22</v>
      </c>
      <c r="I15" s="54">
        <v>606.6</v>
      </c>
      <c r="J15" s="62">
        <v>8.0879999999999992</v>
      </c>
      <c r="K15" s="63">
        <v>12.132</v>
      </c>
      <c r="L15" s="63">
        <v>242.64</v>
      </c>
      <c r="M15" s="101">
        <v>363.96</v>
      </c>
      <c r="N15" s="57">
        <v>40</v>
      </c>
      <c r="O15" s="58">
        <v>48.088000000000001</v>
      </c>
      <c r="P15" s="43">
        <v>1200</v>
      </c>
      <c r="Q15" s="59">
        <v>1442.64</v>
      </c>
      <c r="R15" s="43"/>
      <c r="S15" s="102">
        <v>242.64</v>
      </c>
      <c r="T15" s="103">
        <v>363.96</v>
      </c>
      <c r="U15" s="46"/>
    </row>
    <row r="16" spans="1:22" x14ac:dyDescent="0.25">
      <c r="A16" s="47">
        <v>37022</v>
      </c>
      <c r="B16" s="48">
        <v>10</v>
      </c>
      <c r="C16" s="49">
        <v>30</v>
      </c>
      <c r="D16" s="100">
        <v>40</v>
      </c>
      <c r="E16" s="51">
        <v>4.32</v>
      </c>
      <c r="F16" s="51">
        <v>4.32</v>
      </c>
      <c r="G16" s="52">
        <v>60.22</v>
      </c>
      <c r="H16" s="53">
        <v>20.22</v>
      </c>
      <c r="I16" s="54">
        <v>606.6</v>
      </c>
      <c r="J16" s="62">
        <v>8.0879999999999992</v>
      </c>
      <c r="K16" s="63">
        <v>12.132</v>
      </c>
      <c r="L16" s="63">
        <v>242.64</v>
      </c>
      <c r="M16" s="101">
        <v>363.96</v>
      </c>
      <c r="N16" s="57">
        <v>40</v>
      </c>
      <c r="O16" s="58">
        <v>48.088000000000001</v>
      </c>
      <c r="P16" s="43">
        <v>1200</v>
      </c>
      <c r="Q16" s="59">
        <v>1442.64</v>
      </c>
      <c r="R16" s="43"/>
      <c r="S16" s="102">
        <v>242.64</v>
      </c>
      <c r="T16" s="103">
        <v>363.96</v>
      </c>
      <c r="U16" s="46"/>
    </row>
    <row r="17" spans="1:21" x14ac:dyDescent="0.25">
      <c r="A17" s="47">
        <v>37022</v>
      </c>
      <c r="B17" s="48">
        <v>11</v>
      </c>
      <c r="C17" s="49">
        <v>30</v>
      </c>
      <c r="D17" s="100">
        <v>40</v>
      </c>
      <c r="E17" s="51">
        <v>4.32</v>
      </c>
      <c r="F17" s="51">
        <v>4.32</v>
      </c>
      <c r="G17" s="52">
        <v>60.22</v>
      </c>
      <c r="H17" s="53">
        <v>20.22</v>
      </c>
      <c r="I17" s="54">
        <v>606.6</v>
      </c>
      <c r="J17" s="62">
        <v>8.0879999999999992</v>
      </c>
      <c r="K17" s="63">
        <v>12.132</v>
      </c>
      <c r="L17" s="63">
        <v>242.64</v>
      </c>
      <c r="M17" s="101">
        <v>363.96</v>
      </c>
      <c r="N17" s="57">
        <v>40</v>
      </c>
      <c r="O17" s="58">
        <v>48.088000000000001</v>
      </c>
      <c r="P17" s="43">
        <v>1200</v>
      </c>
      <c r="Q17" s="59">
        <v>1442.64</v>
      </c>
      <c r="R17" s="43"/>
      <c r="S17" s="102">
        <v>242.64</v>
      </c>
      <c r="T17" s="103">
        <v>363.96</v>
      </c>
      <c r="U17" s="46"/>
    </row>
    <row r="18" spans="1:21" x14ac:dyDescent="0.25">
      <c r="A18" s="47">
        <v>37022</v>
      </c>
      <c r="B18" s="48">
        <v>12</v>
      </c>
      <c r="C18" s="49">
        <v>30</v>
      </c>
      <c r="D18" s="100">
        <v>40</v>
      </c>
      <c r="E18" s="51">
        <v>4.32</v>
      </c>
      <c r="F18" s="51">
        <v>4.32</v>
      </c>
      <c r="G18" s="52">
        <v>60.22</v>
      </c>
      <c r="H18" s="53">
        <v>20.22</v>
      </c>
      <c r="I18" s="54">
        <v>606.6</v>
      </c>
      <c r="J18" s="62">
        <v>8.0879999999999992</v>
      </c>
      <c r="K18" s="63">
        <v>12.132</v>
      </c>
      <c r="L18" s="63">
        <v>242.64</v>
      </c>
      <c r="M18" s="101">
        <v>363.96</v>
      </c>
      <c r="N18" s="57">
        <v>40</v>
      </c>
      <c r="O18" s="58">
        <v>48.088000000000001</v>
      </c>
      <c r="P18" s="43">
        <v>1200</v>
      </c>
      <c r="Q18" s="59">
        <v>1442.64</v>
      </c>
      <c r="R18" s="43"/>
      <c r="S18" s="102">
        <v>242.64</v>
      </c>
      <c r="T18" s="103">
        <v>363.96</v>
      </c>
      <c r="U18" s="46"/>
    </row>
    <row r="19" spans="1:21" x14ac:dyDescent="0.25">
      <c r="A19" s="47">
        <v>37022</v>
      </c>
      <c r="B19" s="48">
        <v>13</v>
      </c>
      <c r="C19" s="49">
        <v>30</v>
      </c>
      <c r="D19" s="100">
        <v>40</v>
      </c>
      <c r="E19" s="51">
        <v>4.32</v>
      </c>
      <c r="F19" s="51">
        <v>4.32</v>
      </c>
      <c r="G19" s="52">
        <v>60.22</v>
      </c>
      <c r="H19" s="53">
        <v>20.22</v>
      </c>
      <c r="I19" s="54">
        <v>606.6</v>
      </c>
      <c r="J19" s="62">
        <v>8.0879999999999992</v>
      </c>
      <c r="K19" s="63">
        <v>12.132</v>
      </c>
      <c r="L19" s="63">
        <v>242.64</v>
      </c>
      <c r="M19" s="101">
        <v>363.96</v>
      </c>
      <c r="N19" s="57">
        <v>40</v>
      </c>
      <c r="O19" s="58">
        <v>48.088000000000001</v>
      </c>
      <c r="P19" s="43">
        <v>1200</v>
      </c>
      <c r="Q19" s="59">
        <v>1442.64</v>
      </c>
      <c r="R19" s="43"/>
      <c r="S19" s="102">
        <v>242.64</v>
      </c>
      <c r="T19" s="103">
        <v>363.96</v>
      </c>
      <c r="U19" s="46"/>
    </row>
    <row r="20" spans="1:21" x14ac:dyDescent="0.25">
      <c r="A20" s="47">
        <v>37022</v>
      </c>
      <c r="B20" s="48">
        <v>14</v>
      </c>
      <c r="C20" s="49">
        <v>30</v>
      </c>
      <c r="D20" s="100">
        <v>40</v>
      </c>
      <c r="E20" s="51">
        <v>4.32</v>
      </c>
      <c r="F20" s="51">
        <v>4.32</v>
      </c>
      <c r="G20" s="52">
        <v>60.22</v>
      </c>
      <c r="H20" s="53">
        <v>20.22</v>
      </c>
      <c r="I20" s="54">
        <v>606.6</v>
      </c>
      <c r="J20" s="62">
        <v>8.0879999999999992</v>
      </c>
      <c r="K20" s="63">
        <v>12.132</v>
      </c>
      <c r="L20" s="63">
        <v>242.64</v>
      </c>
      <c r="M20" s="101">
        <v>363.96</v>
      </c>
      <c r="N20" s="57">
        <v>40</v>
      </c>
      <c r="O20" s="58">
        <v>48.088000000000001</v>
      </c>
      <c r="P20" s="43">
        <v>1200</v>
      </c>
      <c r="Q20" s="59">
        <v>1442.64</v>
      </c>
      <c r="R20" s="43"/>
      <c r="S20" s="102">
        <v>242.64</v>
      </c>
      <c r="T20" s="103">
        <v>363.96</v>
      </c>
      <c r="U20" s="46"/>
    </row>
    <row r="21" spans="1:21" x14ac:dyDescent="0.25">
      <c r="A21" s="47">
        <v>37022</v>
      </c>
      <c r="B21" s="48">
        <v>15</v>
      </c>
      <c r="C21" s="49">
        <v>30</v>
      </c>
      <c r="D21" s="100">
        <v>40</v>
      </c>
      <c r="E21" s="51">
        <v>4.32</v>
      </c>
      <c r="F21" s="51">
        <v>4.32</v>
      </c>
      <c r="G21" s="52">
        <v>60.22</v>
      </c>
      <c r="H21" s="53">
        <v>20.22</v>
      </c>
      <c r="I21" s="54">
        <v>606.6</v>
      </c>
      <c r="J21" s="62">
        <v>8.0879999999999992</v>
      </c>
      <c r="K21" s="63">
        <v>12.132</v>
      </c>
      <c r="L21" s="63">
        <v>242.64</v>
      </c>
      <c r="M21" s="101">
        <v>363.96</v>
      </c>
      <c r="N21" s="57">
        <v>40</v>
      </c>
      <c r="O21" s="58">
        <v>48.088000000000001</v>
      </c>
      <c r="P21" s="43">
        <v>1200</v>
      </c>
      <c r="Q21" s="59">
        <v>1442.64</v>
      </c>
      <c r="R21" s="43"/>
      <c r="S21" s="102">
        <v>242.64</v>
      </c>
      <c r="T21" s="103">
        <v>363.96</v>
      </c>
      <c r="U21" s="46"/>
    </row>
    <row r="22" spans="1:21" x14ac:dyDescent="0.25">
      <c r="A22" s="47">
        <v>37022</v>
      </c>
      <c r="B22" s="48">
        <v>16</v>
      </c>
      <c r="C22" s="49">
        <v>30</v>
      </c>
      <c r="D22" s="100">
        <v>40</v>
      </c>
      <c r="E22" s="51">
        <v>4.32</v>
      </c>
      <c r="F22" s="51">
        <v>4.32</v>
      </c>
      <c r="G22" s="52">
        <v>60.22</v>
      </c>
      <c r="H22" s="53">
        <v>20.22</v>
      </c>
      <c r="I22" s="54">
        <v>606.6</v>
      </c>
      <c r="J22" s="62">
        <v>8.0879999999999992</v>
      </c>
      <c r="K22" s="63">
        <v>12.132</v>
      </c>
      <c r="L22" s="63">
        <v>242.64</v>
      </c>
      <c r="M22" s="101">
        <v>363.96</v>
      </c>
      <c r="N22" s="57">
        <v>40</v>
      </c>
      <c r="O22" s="58">
        <v>48.088000000000001</v>
      </c>
      <c r="P22" s="43">
        <v>1200</v>
      </c>
      <c r="Q22" s="59">
        <v>1442.64</v>
      </c>
      <c r="R22" s="43"/>
      <c r="S22" s="102">
        <v>242.64</v>
      </c>
      <c r="T22" s="103">
        <v>363.96</v>
      </c>
      <c r="U22" s="46"/>
    </row>
    <row r="23" spans="1:21" x14ac:dyDescent="0.25">
      <c r="A23" s="47">
        <v>37022</v>
      </c>
      <c r="B23" s="48">
        <v>17</v>
      </c>
      <c r="C23" s="49">
        <v>30</v>
      </c>
      <c r="D23" s="100">
        <v>40</v>
      </c>
      <c r="E23" s="51">
        <v>4.32</v>
      </c>
      <c r="F23" s="51">
        <v>4.32</v>
      </c>
      <c r="G23" s="52">
        <v>60.22</v>
      </c>
      <c r="H23" s="53">
        <v>20.22</v>
      </c>
      <c r="I23" s="54">
        <v>606.6</v>
      </c>
      <c r="J23" s="62">
        <v>8.0879999999999992</v>
      </c>
      <c r="K23" s="63">
        <v>12.132</v>
      </c>
      <c r="L23" s="63">
        <v>242.64</v>
      </c>
      <c r="M23" s="101">
        <v>363.96</v>
      </c>
      <c r="N23" s="57">
        <v>40</v>
      </c>
      <c r="O23" s="58">
        <v>48.088000000000001</v>
      </c>
      <c r="P23" s="43">
        <v>1200</v>
      </c>
      <c r="Q23" s="59">
        <v>1442.64</v>
      </c>
      <c r="R23" s="43"/>
      <c r="S23" s="102">
        <v>242.64</v>
      </c>
      <c r="T23" s="103">
        <v>363.96</v>
      </c>
      <c r="U23" s="46"/>
    </row>
    <row r="24" spans="1:21" x14ac:dyDescent="0.25">
      <c r="A24" s="47">
        <v>37022</v>
      </c>
      <c r="B24" s="48">
        <v>18</v>
      </c>
      <c r="C24" s="49">
        <v>30</v>
      </c>
      <c r="D24" s="100">
        <v>40</v>
      </c>
      <c r="E24" s="51">
        <v>4.32</v>
      </c>
      <c r="F24" s="51">
        <v>4.32</v>
      </c>
      <c r="G24" s="52">
        <v>60.22</v>
      </c>
      <c r="H24" s="53">
        <v>20.22</v>
      </c>
      <c r="I24" s="54">
        <v>606.6</v>
      </c>
      <c r="J24" s="62">
        <v>8.0879999999999992</v>
      </c>
      <c r="K24" s="63">
        <v>12.132</v>
      </c>
      <c r="L24" s="63">
        <v>242.64</v>
      </c>
      <c r="M24" s="101">
        <v>363.96</v>
      </c>
      <c r="N24" s="57">
        <v>40</v>
      </c>
      <c r="O24" s="58">
        <v>48.088000000000001</v>
      </c>
      <c r="P24" s="43">
        <v>1200</v>
      </c>
      <c r="Q24" s="59">
        <v>1442.64</v>
      </c>
      <c r="R24" s="43"/>
      <c r="S24" s="102">
        <v>242.64</v>
      </c>
      <c r="T24" s="103">
        <v>363.96</v>
      </c>
      <c r="U24" s="46"/>
    </row>
    <row r="25" spans="1:21" x14ac:dyDescent="0.25">
      <c r="A25" s="47">
        <v>37022</v>
      </c>
      <c r="B25" s="48">
        <v>19</v>
      </c>
      <c r="C25" s="49">
        <v>30</v>
      </c>
      <c r="D25" s="100">
        <v>40</v>
      </c>
      <c r="E25" s="51">
        <v>4.32</v>
      </c>
      <c r="F25" s="51">
        <v>4.32</v>
      </c>
      <c r="G25" s="52">
        <v>60.22</v>
      </c>
      <c r="H25" s="53">
        <v>20.22</v>
      </c>
      <c r="I25" s="54">
        <v>606.6</v>
      </c>
      <c r="J25" s="62">
        <v>8.0879999999999992</v>
      </c>
      <c r="K25" s="63">
        <v>12.132</v>
      </c>
      <c r="L25" s="63">
        <v>242.64</v>
      </c>
      <c r="M25" s="101">
        <v>363.96</v>
      </c>
      <c r="N25" s="57">
        <v>40</v>
      </c>
      <c r="O25" s="58">
        <v>48.088000000000001</v>
      </c>
      <c r="P25" s="43">
        <v>1200</v>
      </c>
      <c r="Q25" s="59">
        <v>1442.64</v>
      </c>
      <c r="R25" s="43"/>
      <c r="S25" s="102">
        <v>242.64</v>
      </c>
      <c r="T25" s="103">
        <v>363.96</v>
      </c>
      <c r="U25" s="46"/>
    </row>
    <row r="26" spans="1:21" x14ac:dyDescent="0.25">
      <c r="A26" s="47">
        <v>37022</v>
      </c>
      <c r="B26" s="48">
        <v>20</v>
      </c>
      <c r="C26" s="49">
        <v>30</v>
      </c>
      <c r="D26" s="100">
        <v>40</v>
      </c>
      <c r="E26" s="51">
        <v>4.32</v>
      </c>
      <c r="F26" s="51">
        <v>4.32</v>
      </c>
      <c r="G26" s="52">
        <v>60.22</v>
      </c>
      <c r="H26" s="53">
        <v>20.22</v>
      </c>
      <c r="I26" s="54">
        <v>606.6</v>
      </c>
      <c r="J26" s="62">
        <v>8.0879999999999992</v>
      </c>
      <c r="K26" s="63">
        <v>12.132</v>
      </c>
      <c r="L26" s="63">
        <v>242.64</v>
      </c>
      <c r="M26" s="101">
        <v>363.96</v>
      </c>
      <c r="N26" s="57">
        <v>40</v>
      </c>
      <c r="O26" s="58">
        <v>48.088000000000001</v>
      </c>
      <c r="P26" s="43">
        <v>1200</v>
      </c>
      <c r="Q26" s="59">
        <v>1442.64</v>
      </c>
      <c r="R26" s="43"/>
      <c r="S26" s="102">
        <v>242.64</v>
      </c>
      <c r="T26" s="103">
        <v>363.96</v>
      </c>
      <c r="U26" s="46"/>
    </row>
    <row r="27" spans="1:21" x14ac:dyDescent="0.25">
      <c r="A27" s="47">
        <v>37022</v>
      </c>
      <c r="B27" s="48">
        <v>21</v>
      </c>
      <c r="C27" s="49">
        <v>30</v>
      </c>
      <c r="D27" s="100">
        <v>40</v>
      </c>
      <c r="E27" s="51">
        <v>4.32</v>
      </c>
      <c r="F27" s="51">
        <v>4.32</v>
      </c>
      <c r="G27" s="52">
        <v>60.22</v>
      </c>
      <c r="H27" s="53">
        <v>20.22</v>
      </c>
      <c r="I27" s="54">
        <v>606.6</v>
      </c>
      <c r="J27" s="62">
        <v>8.0879999999999992</v>
      </c>
      <c r="K27" s="63">
        <v>12.132</v>
      </c>
      <c r="L27" s="63">
        <v>242.64</v>
      </c>
      <c r="M27" s="101">
        <v>363.96</v>
      </c>
      <c r="N27" s="57">
        <v>40</v>
      </c>
      <c r="O27" s="58">
        <v>48.088000000000001</v>
      </c>
      <c r="P27" s="43">
        <v>1200</v>
      </c>
      <c r="Q27" s="59">
        <v>1442.64</v>
      </c>
      <c r="R27" s="43"/>
      <c r="S27" s="102">
        <v>242.64</v>
      </c>
      <c r="T27" s="103">
        <v>363.96</v>
      </c>
      <c r="U27" s="46"/>
    </row>
    <row r="28" spans="1:21" x14ac:dyDescent="0.25">
      <c r="A28" s="47">
        <v>37022</v>
      </c>
      <c r="B28" s="48">
        <v>22</v>
      </c>
      <c r="C28" s="49">
        <v>30</v>
      </c>
      <c r="D28" s="100">
        <v>40</v>
      </c>
      <c r="E28" s="51">
        <v>4.32</v>
      </c>
      <c r="F28" s="51">
        <v>4.32</v>
      </c>
      <c r="G28" s="52">
        <v>60.22</v>
      </c>
      <c r="H28" s="53">
        <v>20.22</v>
      </c>
      <c r="I28" s="54">
        <v>606.6</v>
      </c>
      <c r="J28" s="62">
        <v>8.0879999999999992</v>
      </c>
      <c r="K28" s="63">
        <v>12.132</v>
      </c>
      <c r="L28" s="63">
        <v>242.64</v>
      </c>
      <c r="M28" s="101">
        <v>363.96</v>
      </c>
      <c r="N28" s="57">
        <v>40</v>
      </c>
      <c r="O28" s="58">
        <v>48.088000000000001</v>
      </c>
      <c r="P28" s="43">
        <v>1200</v>
      </c>
      <c r="Q28" s="59">
        <v>1442.64</v>
      </c>
      <c r="R28" s="43"/>
      <c r="S28" s="102">
        <v>242.64</v>
      </c>
      <c r="T28" s="103">
        <v>363.96</v>
      </c>
      <c r="U28" s="46"/>
    </row>
    <row r="29" spans="1:21" x14ac:dyDescent="0.25">
      <c r="A29" s="47">
        <v>37022</v>
      </c>
      <c r="B29" s="48">
        <v>23</v>
      </c>
      <c r="C29" s="49">
        <v>15</v>
      </c>
      <c r="D29" s="100">
        <v>16.5</v>
      </c>
      <c r="E29" s="51">
        <v>4.32</v>
      </c>
      <c r="F29" s="51">
        <v>4.32</v>
      </c>
      <c r="G29" s="52">
        <v>60.22</v>
      </c>
      <c r="H29" s="53">
        <v>43.72</v>
      </c>
      <c r="I29" s="54">
        <v>655.8</v>
      </c>
      <c r="J29" s="62">
        <v>1</v>
      </c>
      <c r="K29" s="43">
        <v>42.72</v>
      </c>
      <c r="L29" s="43">
        <v>15</v>
      </c>
      <c r="M29" s="101">
        <v>640.79999999999995</v>
      </c>
      <c r="N29" s="57">
        <v>16.5</v>
      </c>
      <c r="O29" s="58">
        <v>17.5</v>
      </c>
      <c r="P29" s="43">
        <v>247.5</v>
      </c>
      <c r="Q29" s="59">
        <v>262.5</v>
      </c>
      <c r="R29" s="43"/>
      <c r="S29" s="102">
        <v>15</v>
      </c>
      <c r="T29" s="103">
        <v>640.79999999999995</v>
      </c>
      <c r="U29" s="46"/>
    </row>
    <row r="30" spans="1:21" x14ac:dyDescent="0.25">
      <c r="A30" s="65">
        <v>37022</v>
      </c>
      <c r="B30" s="66">
        <v>24</v>
      </c>
      <c r="C30" s="67">
        <v>15</v>
      </c>
      <c r="D30" s="104">
        <v>16.5</v>
      </c>
      <c r="E30" s="69">
        <v>4.32</v>
      </c>
      <c r="F30" s="69">
        <v>4.32</v>
      </c>
      <c r="G30" s="70">
        <v>60.22</v>
      </c>
      <c r="H30" s="71">
        <v>43.72</v>
      </c>
      <c r="I30" s="72">
        <v>655.8</v>
      </c>
      <c r="J30" s="105">
        <v>1</v>
      </c>
      <c r="K30" s="74">
        <v>42.72</v>
      </c>
      <c r="L30" s="74">
        <v>15</v>
      </c>
      <c r="M30" s="106">
        <v>640.79999999999995</v>
      </c>
      <c r="N30" s="76">
        <v>16.5</v>
      </c>
      <c r="O30" s="77">
        <v>17.5</v>
      </c>
      <c r="P30" s="74">
        <v>247.5</v>
      </c>
      <c r="Q30" s="78">
        <v>262.5</v>
      </c>
      <c r="R30" s="43"/>
      <c r="S30" s="107">
        <v>15</v>
      </c>
      <c r="T30" s="108">
        <v>640.79999999999995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109"/>
    </row>
    <row r="32" spans="1:21" x14ac:dyDescent="0.25">
      <c r="K32" s="84"/>
      <c r="L32" s="84"/>
      <c r="M32" s="84"/>
      <c r="N32" s="85"/>
      <c r="O32" s="84"/>
      <c r="P32" s="85"/>
      <c r="Q32" s="86">
        <v>24460.92</v>
      </c>
      <c r="R32" s="87"/>
      <c r="S32" s="86">
        <v>3880.92</v>
      </c>
      <c r="T32" s="86">
        <v>10767.78</v>
      </c>
    </row>
    <row r="33" spans="1:22" x14ac:dyDescent="0.25">
      <c r="D33"/>
      <c r="N33"/>
      <c r="P33"/>
      <c r="R33"/>
      <c r="T33"/>
    </row>
    <row r="34" spans="1:22" ht="12.75" hidden="1" customHeight="1" x14ac:dyDescent="0.25">
      <c r="B34" t="s">
        <v>33</v>
      </c>
      <c r="C34">
        <v>241</v>
      </c>
    </row>
    <row r="35" spans="1:22" x14ac:dyDescent="0.25">
      <c r="D35"/>
      <c r="N35"/>
      <c r="P35"/>
      <c r="R35"/>
      <c r="T35"/>
    </row>
    <row r="36" spans="1:22" x14ac:dyDescent="0.25">
      <c r="D36"/>
      <c r="N36"/>
      <c r="P36"/>
      <c r="R36"/>
      <c r="T36"/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5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v>37022</v>
      </c>
      <c r="B41" s="30">
        <v>1</v>
      </c>
      <c r="C41" s="31">
        <v>9</v>
      </c>
      <c r="D41" s="110">
        <v>19</v>
      </c>
      <c r="E41" s="33">
        <v>4.32</v>
      </c>
      <c r="F41" s="33">
        <v>4.32</v>
      </c>
      <c r="G41" s="34">
        <v>60.22</v>
      </c>
      <c r="H41" s="35">
        <v>41.22</v>
      </c>
      <c r="I41" s="36">
        <v>370.98</v>
      </c>
      <c r="J41" s="96">
        <v>1</v>
      </c>
      <c r="K41" s="38">
        <v>40.22</v>
      </c>
      <c r="L41" s="38">
        <v>9</v>
      </c>
      <c r="M41" s="97">
        <v>361.98</v>
      </c>
      <c r="N41" s="40">
        <v>19</v>
      </c>
      <c r="O41" s="41">
        <v>20</v>
      </c>
      <c r="P41" s="38">
        <v>171</v>
      </c>
      <c r="Q41" s="42">
        <v>180</v>
      </c>
      <c r="R41" s="43"/>
      <c r="S41" s="98">
        <v>9</v>
      </c>
      <c r="T41" s="99">
        <v>361.98</v>
      </c>
      <c r="U41" s="46"/>
    </row>
    <row r="42" spans="1:22" x14ac:dyDescent="0.25">
      <c r="A42" s="47">
        <v>37022</v>
      </c>
      <c r="B42" s="48">
        <v>2</v>
      </c>
      <c r="C42" s="49">
        <v>6</v>
      </c>
      <c r="D42" s="111">
        <v>19</v>
      </c>
      <c r="E42" s="51">
        <v>4.32</v>
      </c>
      <c r="F42" s="51">
        <v>4.32</v>
      </c>
      <c r="G42" s="52">
        <v>60.22</v>
      </c>
      <c r="H42" s="53">
        <v>41.22</v>
      </c>
      <c r="I42" s="54">
        <v>247.32</v>
      </c>
      <c r="J42" s="62">
        <v>1</v>
      </c>
      <c r="K42" s="43">
        <v>40.22</v>
      </c>
      <c r="L42" s="43">
        <v>6</v>
      </c>
      <c r="M42" s="101">
        <v>241.32</v>
      </c>
      <c r="N42" s="57">
        <v>19</v>
      </c>
      <c r="O42" s="58">
        <v>20</v>
      </c>
      <c r="P42" s="43">
        <v>114</v>
      </c>
      <c r="Q42" s="59">
        <v>120</v>
      </c>
      <c r="R42" s="43"/>
      <c r="S42" s="102">
        <v>6</v>
      </c>
      <c r="T42" s="103">
        <v>241.32</v>
      </c>
      <c r="U42" s="46"/>
    </row>
    <row r="43" spans="1:22" x14ac:dyDescent="0.25">
      <c r="A43" s="47">
        <v>37022</v>
      </c>
      <c r="B43" s="48">
        <v>3</v>
      </c>
      <c r="C43" s="49">
        <v>4</v>
      </c>
      <c r="D43" s="111">
        <v>19</v>
      </c>
      <c r="E43" s="51">
        <v>4.32</v>
      </c>
      <c r="F43" s="51">
        <v>4.32</v>
      </c>
      <c r="G43" s="52">
        <v>60.22</v>
      </c>
      <c r="H43" s="53">
        <v>41.22</v>
      </c>
      <c r="I43" s="54">
        <v>164.88</v>
      </c>
      <c r="J43" s="62">
        <v>1</v>
      </c>
      <c r="K43" s="43">
        <v>40.22</v>
      </c>
      <c r="L43" s="43">
        <v>4</v>
      </c>
      <c r="M43" s="101">
        <v>160.88</v>
      </c>
      <c r="N43" s="57">
        <v>19</v>
      </c>
      <c r="O43" s="58">
        <v>20</v>
      </c>
      <c r="P43" s="43">
        <v>76</v>
      </c>
      <c r="Q43" s="59">
        <v>80</v>
      </c>
      <c r="R43" s="43"/>
      <c r="S43" s="102">
        <v>4</v>
      </c>
      <c r="T43" s="103">
        <v>160.88</v>
      </c>
      <c r="U43" s="46"/>
    </row>
    <row r="44" spans="1:22" x14ac:dyDescent="0.25">
      <c r="A44" s="47">
        <v>37022</v>
      </c>
      <c r="B44" s="48">
        <v>4</v>
      </c>
      <c r="C44" s="49">
        <v>4</v>
      </c>
      <c r="D44" s="111">
        <v>19</v>
      </c>
      <c r="E44" s="51">
        <v>4.32</v>
      </c>
      <c r="F44" s="51">
        <v>4.32</v>
      </c>
      <c r="G44" s="52">
        <v>60.22</v>
      </c>
      <c r="H44" s="53">
        <v>41.22</v>
      </c>
      <c r="I44" s="54">
        <v>164.88</v>
      </c>
      <c r="J44" s="62">
        <v>1</v>
      </c>
      <c r="K44" s="43">
        <v>40.22</v>
      </c>
      <c r="L44" s="43">
        <v>4</v>
      </c>
      <c r="M44" s="101">
        <v>160.88</v>
      </c>
      <c r="N44" s="57">
        <v>19</v>
      </c>
      <c r="O44" s="58">
        <v>20</v>
      </c>
      <c r="P44" s="43">
        <v>76</v>
      </c>
      <c r="Q44" s="59">
        <v>80</v>
      </c>
      <c r="R44" s="43"/>
      <c r="S44" s="102">
        <v>4</v>
      </c>
      <c r="T44" s="103">
        <v>160.88</v>
      </c>
      <c r="U44" s="46"/>
    </row>
    <row r="45" spans="1:22" x14ac:dyDescent="0.25">
      <c r="A45" s="47">
        <v>37022</v>
      </c>
      <c r="B45" s="48">
        <v>5</v>
      </c>
      <c r="C45" s="49">
        <v>4</v>
      </c>
      <c r="D45" s="111">
        <v>19</v>
      </c>
      <c r="E45" s="51">
        <v>4.32</v>
      </c>
      <c r="F45" s="51">
        <v>4.32</v>
      </c>
      <c r="G45" s="52">
        <v>60.22</v>
      </c>
      <c r="H45" s="53">
        <v>41.22</v>
      </c>
      <c r="I45" s="54">
        <v>164.88</v>
      </c>
      <c r="J45" s="62">
        <v>1</v>
      </c>
      <c r="K45" s="43">
        <v>40.22</v>
      </c>
      <c r="L45" s="43">
        <v>4</v>
      </c>
      <c r="M45" s="101">
        <v>160.88</v>
      </c>
      <c r="N45" s="57">
        <v>19</v>
      </c>
      <c r="O45" s="58">
        <v>20</v>
      </c>
      <c r="P45" s="43">
        <v>76</v>
      </c>
      <c r="Q45" s="59">
        <v>80</v>
      </c>
      <c r="R45" s="43"/>
      <c r="S45" s="102">
        <v>4</v>
      </c>
      <c r="T45" s="103">
        <v>160.88</v>
      </c>
      <c r="U45" s="46"/>
    </row>
    <row r="46" spans="1:22" x14ac:dyDescent="0.25">
      <c r="A46" s="47">
        <v>37022</v>
      </c>
      <c r="B46" s="48">
        <v>6</v>
      </c>
      <c r="C46" s="49">
        <v>4</v>
      </c>
      <c r="D46" s="111">
        <v>19</v>
      </c>
      <c r="E46" s="51">
        <v>4.32</v>
      </c>
      <c r="F46" s="51">
        <v>4.32</v>
      </c>
      <c r="G46" s="52">
        <v>60.22</v>
      </c>
      <c r="H46" s="53">
        <v>41.22</v>
      </c>
      <c r="I46" s="54">
        <v>164.88</v>
      </c>
      <c r="J46" s="62">
        <v>1</v>
      </c>
      <c r="K46" s="43">
        <v>40.22</v>
      </c>
      <c r="L46" s="43">
        <v>4</v>
      </c>
      <c r="M46" s="101">
        <v>160.88</v>
      </c>
      <c r="N46" s="57">
        <v>19</v>
      </c>
      <c r="O46" s="58">
        <v>20</v>
      </c>
      <c r="P46" s="43">
        <v>76</v>
      </c>
      <c r="Q46" s="59">
        <v>80</v>
      </c>
      <c r="R46" s="43"/>
      <c r="S46" s="102">
        <v>4</v>
      </c>
      <c r="T46" s="103">
        <v>160.88</v>
      </c>
      <c r="U46" s="46"/>
    </row>
    <row r="47" spans="1:22" x14ac:dyDescent="0.25">
      <c r="A47" s="47">
        <v>37022</v>
      </c>
      <c r="B47" s="48">
        <v>7</v>
      </c>
      <c r="C47" s="49">
        <v>3</v>
      </c>
      <c r="D47" s="111">
        <v>27</v>
      </c>
      <c r="E47" s="51">
        <v>4.32</v>
      </c>
      <c r="F47" s="51">
        <v>4.32</v>
      </c>
      <c r="G47" s="52">
        <v>60.22</v>
      </c>
      <c r="H47" s="53">
        <v>33.22</v>
      </c>
      <c r="I47" s="54">
        <v>99.66</v>
      </c>
      <c r="J47" s="62">
        <v>13.288</v>
      </c>
      <c r="K47" s="63">
        <v>19.931999999999999</v>
      </c>
      <c r="L47" s="63">
        <v>39.864000000000004</v>
      </c>
      <c r="M47" s="101">
        <v>59.795999999999992</v>
      </c>
      <c r="N47" s="57">
        <v>27</v>
      </c>
      <c r="O47" s="58">
        <v>40.287999999999997</v>
      </c>
      <c r="P47" s="43">
        <v>81</v>
      </c>
      <c r="Q47" s="59">
        <v>120.86399999999999</v>
      </c>
      <c r="R47" s="43"/>
      <c r="S47" s="102">
        <v>39.864000000000004</v>
      </c>
      <c r="T47" s="103">
        <v>59.795999999999992</v>
      </c>
      <c r="U47" s="46"/>
    </row>
    <row r="48" spans="1:22" x14ac:dyDescent="0.25">
      <c r="A48" s="47">
        <v>37022</v>
      </c>
      <c r="B48" s="48">
        <v>8</v>
      </c>
      <c r="C48" s="49">
        <v>0</v>
      </c>
      <c r="D48" s="111">
        <v>0</v>
      </c>
      <c r="E48" s="51">
        <v>4.32</v>
      </c>
      <c r="F48" s="51">
        <v>4.32</v>
      </c>
      <c r="G48" s="52">
        <v>60.22</v>
      </c>
      <c r="H48" s="53" t="s">
        <v>36</v>
      </c>
      <c r="I48" s="54" t="s">
        <v>36</v>
      </c>
      <c r="J48" s="62" t="s">
        <v>36</v>
      </c>
      <c r="K48" s="63" t="s">
        <v>36</v>
      </c>
      <c r="L48" s="63" t="s">
        <v>36</v>
      </c>
      <c r="M48" s="101" t="s">
        <v>36</v>
      </c>
      <c r="N48" s="57" t="s">
        <v>36</v>
      </c>
      <c r="O48" s="58" t="s">
        <v>36</v>
      </c>
      <c r="P48" s="43" t="s">
        <v>36</v>
      </c>
      <c r="Q48" s="59" t="s">
        <v>36</v>
      </c>
      <c r="R48" s="43"/>
      <c r="S48" s="102" t="s">
        <v>36</v>
      </c>
      <c r="T48" s="103" t="s">
        <v>36</v>
      </c>
      <c r="U48" s="46"/>
    </row>
    <row r="49" spans="1:21" x14ac:dyDescent="0.25">
      <c r="A49" s="47">
        <v>37022</v>
      </c>
      <c r="B49" s="48">
        <v>9</v>
      </c>
      <c r="C49" s="49">
        <v>0</v>
      </c>
      <c r="D49" s="111">
        <v>0</v>
      </c>
      <c r="E49" s="51">
        <v>4.32</v>
      </c>
      <c r="F49" s="51">
        <v>4.32</v>
      </c>
      <c r="G49" s="52">
        <v>60.22</v>
      </c>
      <c r="H49" s="53" t="s">
        <v>36</v>
      </c>
      <c r="I49" s="54" t="s">
        <v>36</v>
      </c>
      <c r="J49" s="62" t="s">
        <v>36</v>
      </c>
      <c r="K49" s="63" t="s">
        <v>36</v>
      </c>
      <c r="L49" s="63" t="s">
        <v>36</v>
      </c>
      <c r="M49" s="101" t="s">
        <v>36</v>
      </c>
      <c r="N49" s="57" t="s">
        <v>36</v>
      </c>
      <c r="O49" s="58" t="s">
        <v>36</v>
      </c>
      <c r="P49" s="43" t="s">
        <v>36</v>
      </c>
      <c r="Q49" s="59" t="s">
        <v>36</v>
      </c>
      <c r="R49" s="43"/>
      <c r="S49" s="102" t="s">
        <v>36</v>
      </c>
      <c r="T49" s="103" t="s">
        <v>36</v>
      </c>
      <c r="U49" s="46"/>
    </row>
    <row r="50" spans="1:21" x14ac:dyDescent="0.25">
      <c r="A50" s="47">
        <v>37022</v>
      </c>
      <c r="B50" s="48">
        <v>10</v>
      </c>
      <c r="C50" s="49">
        <v>0</v>
      </c>
      <c r="D50" s="111">
        <v>0</v>
      </c>
      <c r="E50" s="51">
        <v>4.32</v>
      </c>
      <c r="F50" s="51">
        <v>4.32</v>
      </c>
      <c r="G50" s="52">
        <v>60.22</v>
      </c>
      <c r="H50" s="53" t="s">
        <v>36</v>
      </c>
      <c r="I50" s="54" t="s">
        <v>36</v>
      </c>
      <c r="J50" s="62" t="s">
        <v>36</v>
      </c>
      <c r="K50" s="63" t="s">
        <v>36</v>
      </c>
      <c r="L50" s="63" t="s">
        <v>36</v>
      </c>
      <c r="M50" s="101" t="s">
        <v>36</v>
      </c>
      <c r="N50" s="57" t="s">
        <v>36</v>
      </c>
      <c r="O50" s="58" t="s">
        <v>36</v>
      </c>
      <c r="P50" s="43" t="s">
        <v>36</v>
      </c>
      <c r="Q50" s="59" t="s">
        <v>36</v>
      </c>
      <c r="R50" s="43"/>
      <c r="S50" s="102" t="s">
        <v>36</v>
      </c>
      <c r="T50" s="103" t="s">
        <v>36</v>
      </c>
      <c r="U50" s="46"/>
    </row>
    <row r="51" spans="1:21" x14ac:dyDescent="0.25">
      <c r="A51" s="47">
        <v>37022</v>
      </c>
      <c r="B51" s="48">
        <v>11</v>
      </c>
      <c r="C51" s="49">
        <v>0</v>
      </c>
      <c r="D51" s="111">
        <v>0</v>
      </c>
      <c r="E51" s="51">
        <v>4.32</v>
      </c>
      <c r="F51" s="51">
        <v>4.32</v>
      </c>
      <c r="G51" s="52">
        <v>60.22</v>
      </c>
      <c r="H51" s="53" t="s">
        <v>36</v>
      </c>
      <c r="I51" s="54" t="s">
        <v>36</v>
      </c>
      <c r="J51" s="62" t="s">
        <v>36</v>
      </c>
      <c r="K51" s="63" t="s">
        <v>36</v>
      </c>
      <c r="L51" s="63" t="s">
        <v>36</v>
      </c>
      <c r="M51" s="101" t="s">
        <v>36</v>
      </c>
      <c r="N51" s="57" t="s">
        <v>36</v>
      </c>
      <c r="O51" s="58" t="s">
        <v>36</v>
      </c>
      <c r="P51" s="43" t="s">
        <v>36</v>
      </c>
      <c r="Q51" s="59" t="s">
        <v>36</v>
      </c>
      <c r="R51" s="43"/>
      <c r="S51" s="102" t="s">
        <v>36</v>
      </c>
      <c r="T51" s="103" t="s">
        <v>36</v>
      </c>
      <c r="U51" s="46"/>
    </row>
    <row r="52" spans="1:21" x14ac:dyDescent="0.25">
      <c r="A52" s="47">
        <v>37022</v>
      </c>
      <c r="B52" s="48">
        <v>12</v>
      </c>
      <c r="C52" s="49">
        <v>0</v>
      </c>
      <c r="D52" s="111">
        <v>0</v>
      </c>
      <c r="E52" s="51">
        <v>4.32</v>
      </c>
      <c r="F52" s="51">
        <v>4.32</v>
      </c>
      <c r="G52" s="52">
        <v>60.22</v>
      </c>
      <c r="H52" s="53" t="s">
        <v>36</v>
      </c>
      <c r="I52" s="54" t="s">
        <v>36</v>
      </c>
      <c r="J52" s="62" t="s">
        <v>36</v>
      </c>
      <c r="K52" s="63" t="s">
        <v>36</v>
      </c>
      <c r="L52" s="63" t="s">
        <v>36</v>
      </c>
      <c r="M52" s="101" t="s">
        <v>36</v>
      </c>
      <c r="N52" s="57" t="s">
        <v>36</v>
      </c>
      <c r="O52" s="58" t="s">
        <v>36</v>
      </c>
      <c r="P52" s="43" t="s">
        <v>36</v>
      </c>
      <c r="Q52" s="59" t="s">
        <v>36</v>
      </c>
      <c r="R52" s="43"/>
      <c r="S52" s="102" t="s">
        <v>36</v>
      </c>
      <c r="T52" s="103" t="s">
        <v>36</v>
      </c>
      <c r="U52" s="46"/>
    </row>
    <row r="53" spans="1:21" x14ac:dyDescent="0.25">
      <c r="A53" s="47">
        <v>37022</v>
      </c>
      <c r="B53" s="48">
        <v>13</v>
      </c>
      <c r="C53" s="49">
        <v>0</v>
      </c>
      <c r="D53" s="111">
        <v>0</v>
      </c>
      <c r="E53" s="51">
        <v>4.32</v>
      </c>
      <c r="F53" s="51">
        <v>4.32</v>
      </c>
      <c r="G53" s="52">
        <v>60.22</v>
      </c>
      <c r="H53" s="53" t="s">
        <v>36</v>
      </c>
      <c r="I53" s="54" t="s">
        <v>36</v>
      </c>
      <c r="J53" s="62" t="s">
        <v>36</v>
      </c>
      <c r="K53" s="63" t="s">
        <v>36</v>
      </c>
      <c r="L53" s="63" t="s">
        <v>36</v>
      </c>
      <c r="M53" s="101" t="s">
        <v>36</v>
      </c>
      <c r="N53" s="57" t="s">
        <v>36</v>
      </c>
      <c r="O53" s="58" t="s">
        <v>36</v>
      </c>
      <c r="P53" s="43" t="s">
        <v>36</v>
      </c>
      <c r="Q53" s="59" t="s">
        <v>36</v>
      </c>
      <c r="R53" s="43"/>
      <c r="S53" s="102" t="s">
        <v>36</v>
      </c>
      <c r="T53" s="103" t="s">
        <v>36</v>
      </c>
      <c r="U53" s="46"/>
    </row>
    <row r="54" spans="1:21" x14ac:dyDescent="0.25">
      <c r="A54" s="47">
        <v>37022</v>
      </c>
      <c r="B54" s="48">
        <v>14</v>
      </c>
      <c r="C54" s="49">
        <v>5</v>
      </c>
      <c r="D54" s="111">
        <v>59</v>
      </c>
      <c r="E54" s="51">
        <v>4.32</v>
      </c>
      <c r="F54" s="51">
        <v>4.32</v>
      </c>
      <c r="G54" s="52">
        <v>60.22</v>
      </c>
      <c r="H54" s="53">
        <v>1.22</v>
      </c>
      <c r="I54" s="54">
        <v>6.0999999999999943</v>
      </c>
      <c r="J54" s="62">
        <v>0.48799999999999955</v>
      </c>
      <c r="K54" s="63">
        <v>0.73199999999999932</v>
      </c>
      <c r="L54" s="63">
        <v>2.44</v>
      </c>
      <c r="M54" s="101">
        <v>3.66</v>
      </c>
      <c r="N54" s="57">
        <v>59</v>
      </c>
      <c r="O54" s="58">
        <v>59.488</v>
      </c>
      <c r="P54" s="43">
        <v>295</v>
      </c>
      <c r="Q54" s="59">
        <v>297.44</v>
      </c>
      <c r="R54" s="43"/>
      <c r="S54" s="102">
        <v>2.44</v>
      </c>
      <c r="T54" s="103">
        <v>3.66</v>
      </c>
      <c r="U54" s="46"/>
    </row>
    <row r="55" spans="1:21" x14ac:dyDescent="0.25">
      <c r="A55" s="47">
        <v>37022</v>
      </c>
      <c r="B55" s="48">
        <v>15</v>
      </c>
      <c r="C55" s="49">
        <v>5</v>
      </c>
      <c r="D55" s="111">
        <v>59</v>
      </c>
      <c r="E55" s="51">
        <v>4.32</v>
      </c>
      <c r="F55" s="51">
        <v>4.32</v>
      </c>
      <c r="G55" s="52">
        <v>60.22</v>
      </c>
      <c r="H55" s="53">
        <v>1.22</v>
      </c>
      <c r="I55" s="54">
        <v>6.0999999999999943</v>
      </c>
      <c r="J55" s="62">
        <v>0.48799999999999955</v>
      </c>
      <c r="K55" s="63">
        <v>0.73199999999999932</v>
      </c>
      <c r="L55" s="63">
        <v>2.44</v>
      </c>
      <c r="M55" s="101">
        <v>3.66</v>
      </c>
      <c r="N55" s="57">
        <v>59</v>
      </c>
      <c r="O55" s="58"/>
      <c r="P55" s="43">
        <v>295</v>
      </c>
      <c r="Q55" s="59">
        <v>0</v>
      </c>
      <c r="R55" s="43"/>
      <c r="S55" s="102">
        <v>2.44</v>
      </c>
      <c r="T55" s="103">
        <v>3.66</v>
      </c>
      <c r="U55" s="46"/>
    </row>
    <row r="56" spans="1:21" x14ac:dyDescent="0.25">
      <c r="A56" s="47">
        <v>37022</v>
      </c>
      <c r="B56" s="48">
        <v>16</v>
      </c>
      <c r="C56" s="49">
        <v>5</v>
      </c>
      <c r="D56" s="111">
        <v>59</v>
      </c>
      <c r="E56" s="51">
        <v>4.32</v>
      </c>
      <c r="F56" s="51">
        <v>4.32</v>
      </c>
      <c r="G56" s="52">
        <v>60.22</v>
      </c>
      <c r="H56" s="53">
        <v>1.22</v>
      </c>
      <c r="I56" s="54">
        <v>6.0999999999999943</v>
      </c>
      <c r="J56" s="62">
        <v>0.48799999999999955</v>
      </c>
      <c r="K56" s="63">
        <v>0.73199999999999932</v>
      </c>
      <c r="L56" s="63">
        <v>2.44</v>
      </c>
      <c r="M56" s="101">
        <v>3.66</v>
      </c>
      <c r="N56" s="57">
        <v>59</v>
      </c>
      <c r="O56" s="58"/>
      <c r="P56" s="43">
        <v>295</v>
      </c>
      <c r="Q56" s="59">
        <v>0</v>
      </c>
      <c r="R56" s="43"/>
      <c r="S56" s="102">
        <v>2.44</v>
      </c>
      <c r="T56" s="103">
        <v>3.66</v>
      </c>
      <c r="U56" s="46"/>
    </row>
    <row r="57" spans="1:21" x14ac:dyDescent="0.25">
      <c r="A57" s="47">
        <v>37022</v>
      </c>
      <c r="B57" s="48">
        <v>17</v>
      </c>
      <c r="C57" s="49">
        <v>5</v>
      </c>
      <c r="D57" s="111">
        <v>59</v>
      </c>
      <c r="E57" s="51">
        <v>4.32</v>
      </c>
      <c r="F57" s="51">
        <v>4.32</v>
      </c>
      <c r="G57" s="52">
        <v>60.22</v>
      </c>
      <c r="H57" s="53">
        <v>1.22</v>
      </c>
      <c r="I57" s="54">
        <v>6.0999999999999943</v>
      </c>
      <c r="J57" s="62">
        <v>0.48799999999999955</v>
      </c>
      <c r="K57" s="63">
        <v>0.73199999999999932</v>
      </c>
      <c r="L57" s="63">
        <v>2.44</v>
      </c>
      <c r="M57" s="101">
        <v>3.66</v>
      </c>
      <c r="N57" s="57">
        <v>59</v>
      </c>
      <c r="O57" s="58"/>
      <c r="P57" s="43">
        <v>295</v>
      </c>
      <c r="Q57" s="59">
        <v>0</v>
      </c>
      <c r="R57" s="43"/>
      <c r="S57" s="102">
        <v>2.44</v>
      </c>
      <c r="T57" s="103">
        <v>3.66</v>
      </c>
      <c r="U57" s="46"/>
    </row>
    <row r="58" spans="1:21" x14ac:dyDescent="0.25">
      <c r="A58" s="47">
        <v>37022</v>
      </c>
      <c r="B58" s="48">
        <v>18</v>
      </c>
      <c r="C58" s="49">
        <v>5</v>
      </c>
      <c r="D58" s="111">
        <v>59</v>
      </c>
      <c r="E58" s="51">
        <v>4.32</v>
      </c>
      <c r="F58" s="51">
        <v>4.32</v>
      </c>
      <c r="G58" s="52">
        <v>60.22</v>
      </c>
      <c r="H58" s="53">
        <v>1.22</v>
      </c>
      <c r="I58" s="54">
        <v>6.0999999999999943</v>
      </c>
      <c r="J58" s="62">
        <v>0.48799999999999955</v>
      </c>
      <c r="K58" s="63">
        <v>0.73199999999999932</v>
      </c>
      <c r="L58" s="63">
        <v>2.44</v>
      </c>
      <c r="M58" s="101">
        <v>3.66</v>
      </c>
      <c r="N58" s="57">
        <v>59</v>
      </c>
      <c r="O58" s="58">
        <v>59.488</v>
      </c>
      <c r="P58" s="43">
        <v>295</v>
      </c>
      <c r="Q58" s="59">
        <v>297.44</v>
      </c>
      <c r="R58" s="43"/>
      <c r="S58" s="102">
        <v>2.44</v>
      </c>
      <c r="T58" s="103">
        <v>3.66</v>
      </c>
      <c r="U58" s="46"/>
    </row>
    <row r="59" spans="1:21" x14ac:dyDescent="0.25">
      <c r="A59" s="47">
        <v>37022</v>
      </c>
      <c r="B59" s="48">
        <v>19</v>
      </c>
      <c r="C59" s="49">
        <v>0</v>
      </c>
      <c r="D59" s="111">
        <v>0</v>
      </c>
      <c r="E59" s="51">
        <v>4.32</v>
      </c>
      <c r="F59" s="51">
        <v>4.32</v>
      </c>
      <c r="G59" s="52">
        <v>60.22</v>
      </c>
      <c r="H59" s="53" t="s">
        <v>36</v>
      </c>
      <c r="I59" s="54" t="s">
        <v>36</v>
      </c>
      <c r="J59" s="62" t="s">
        <v>36</v>
      </c>
      <c r="K59" s="63" t="s">
        <v>36</v>
      </c>
      <c r="L59" s="63" t="s">
        <v>36</v>
      </c>
      <c r="M59" s="101" t="s">
        <v>36</v>
      </c>
      <c r="N59" s="57" t="s">
        <v>36</v>
      </c>
      <c r="O59" s="58" t="s">
        <v>36</v>
      </c>
      <c r="P59" s="43" t="s">
        <v>36</v>
      </c>
      <c r="Q59" s="59" t="s">
        <v>36</v>
      </c>
      <c r="R59" s="43"/>
      <c r="S59" s="102" t="s">
        <v>36</v>
      </c>
      <c r="T59" s="103" t="s">
        <v>36</v>
      </c>
      <c r="U59" s="46"/>
    </row>
    <row r="60" spans="1:21" x14ac:dyDescent="0.25">
      <c r="A60" s="47">
        <v>37022</v>
      </c>
      <c r="B60" s="48">
        <v>20</v>
      </c>
      <c r="C60" s="49">
        <v>3</v>
      </c>
      <c r="D60" s="111">
        <v>35</v>
      </c>
      <c r="E60" s="51">
        <v>4.32</v>
      </c>
      <c r="F60" s="51">
        <v>4.32</v>
      </c>
      <c r="G60" s="52">
        <v>60.22</v>
      </c>
      <c r="H60" s="53">
        <v>25.22</v>
      </c>
      <c r="I60" s="54">
        <v>75.66</v>
      </c>
      <c r="J60" s="62">
        <v>10.088000000000001</v>
      </c>
      <c r="K60" s="63">
        <v>15.131999999999998</v>
      </c>
      <c r="L60" s="63">
        <v>30.264000000000003</v>
      </c>
      <c r="M60" s="101">
        <v>45.395999999999994</v>
      </c>
      <c r="N60" s="57">
        <v>35</v>
      </c>
      <c r="O60" s="58">
        <v>45.088000000000001</v>
      </c>
      <c r="P60" s="43">
        <v>105</v>
      </c>
      <c r="Q60" s="59">
        <v>135.26400000000001</v>
      </c>
      <c r="R60" s="43"/>
      <c r="S60" s="102">
        <v>30.264000000000003</v>
      </c>
      <c r="T60" s="103">
        <v>45.395999999999994</v>
      </c>
      <c r="U60" s="46"/>
    </row>
    <row r="61" spans="1:21" x14ac:dyDescent="0.25">
      <c r="A61" s="47">
        <v>37022</v>
      </c>
      <c r="B61" s="48">
        <v>21</v>
      </c>
      <c r="C61" s="49">
        <v>4</v>
      </c>
      <c r="D61" s="111">
        <v>32</v>
      </c>
      <c r="E61" s="51">
        <v>4.32</v>
      </c>
      <c r="F61" s="51">
        <v>4.32</v>
      </c>
      <c r="G61" s="52">
        <v>60.22</v>
      </c>
      <c r="H61" s="53">
        <v>28.22</v>
      </c>
      <c r="I61" s="54">
        <v>112.88</v>
      </c>
      <c r="J61" s="62">
        <v>11.288</v>
      </c>
      <c r="K61" s="63">
        <v>16.931999999999999</v>
      </c>
      <c r="L61" s="63">
        <v>45.152000000000001</v>
      </c>
      <c r="M61" s="101">
        <v>67.727999999999994</v>
      </c>
      <c r="N61" s="57">
        <v>32</v>
      </c>
      <c r="O61" s="58">
        <v>43.287999999999997</v>
      </c>
      <c r="P61" s="43">
        <v>128</v>
      </c>
      <c r="Q61" s="59">
        <v>173.15199999999999</v>
      </c>
      <c r="R61" s="43"/>
      <c r="S61" s="102">
        <v>45.152000000000001</v>
      </c>
      <c r="T61" s="103">
        <v>67.727999999999994</v>
      </c>
      <c r="U61" s="46"/>
    </row>
    <row r="62" spans="1:21" x14ac:dyDescent="0.25">
      <c r="A62" s="47">
        <v>37022</v>
      </c>
      <c r="B62" s="48">
        <v>22</v>
      </c>
      <c r="C62" s="49">
        <v>0</v>
      </c>
      <c r="D62" s="111">
        <v>0</v>
      </c>
      <c r="E62" s="51">
        <v>4.32</v>
      </c>
      <c r="F62" s="51">
        <v>4.32</v>
      </c>
      <c r="G62" s="52">
        <v>60.22</v>
      </c>
      <c r="H62" s="53" t="s">
        <v>36</v>
      </c>
      <c r="I62" s="54" t="s">
        <v>36</v>
      </c>
      <c r="J62" s="62" t="s">
        <v>36</v>
      </c>
      <c r="K62" s="63" t="s">
        <v>36</v>
      </c>
      <c r="L62" s="63" t="s">
        <v>36</v>
      </c>
      <c r="M62" s="101" t="s">
        <v>36</v>
      </c>
      <c r="N62" s="57" t="s">
        <v>36</v>
      </c>
      <c r="O62" s="58" t="s">
        <v>36</v>
      </c>
      <c r="P62" s="43" t="s">
        <v>36</v>
      </c>
      <c r="Q62" s="59" t="s">
        <v>36</v>
      </c>
      <c r="R62" s="43"/>
      <c r="S62" s="102" t="s">
        <v>36</v>
      </c>
      <c r="T62" s="103" t="s">
        <v>36</v>
      </c>
      <c r="U62" s="46"/>
    </row>
    <row r="63" spans="1:21" x14ac:dyDescent="0.25">
      <c r="A63" s="47">
        <v>37022</v>
      </c>
      <c r="B63" s="48">
        <v>23</v>
      </c>
      <c r="C63" s="49">
        <v>17</v>
      </c>
      <c r="D63" s="111">
        <v>25</v>
      </c>
      <c r="E63" s="51">
        <v>4.32</v>
      </c>
      <c r="F63" s="51">
        <v>4.32</v>
      </c>
      <c r="G63" s="52">
        <v>60.22</v>
      </c>
      <c r="H63" s="53">
        <v>35.22</v>
      </c>
      <c r="I63" s="54">
        <v>598.74</v>
      </c>
      <c r="J63" s="62">
        <v>1</v>
      </c>
      <c r="K63" s="43">
        <v>34.22</v>
      </c>
      <c r="L63" s="43">
        <v>17</v>
      </c>
      <c r="M63" s="101">
        <v>581.74</v>
      </c>
      <c r="N63" s="57">
        <v>25</v>
      </c>
      <c r="O63" s="58">
        <v>26</v>
      </c>
      <c r="P63" s="43">
        <v>425</v>
      </c>
      <c r="Q63" s="59">
        <v>442</v>
      </c>
      <c r="R63" s="43"/>
      <c r="S63" s="102">
        <v>17</v>
      </c>
      <c r="T63" s="103">
        <v>581.74</v>
      </c>
      <c r="U63" s="46"/>
    </row>
    <row r="64" spans="1:21" x14ac:dyDescent="0.25">
      <c r="A64" s="65">
        <v>37022</v>
      </c>
      <c r="B64" s="66">
        <v>24</v>
      </c>
      <c r="C64" s="67">
        <v>13</v>
      </c>
      <c r="D64" s="112">
        <v>21</v>
      </c>
      <c r="E64" s="69">
        <v>4.32</v>
      </c>
      <c r="F64" s="69">
        <v>4.32</v>
      </c>
      <c r="G64" s="70">
        <v>60.22</v>
      </c>
      <c r="H64" s="71">
        <v>39.22</v>
      </c>
      <c r="I64" s="72">
        <v>509.86</v>
      </c>
      <c r="J64" s="105">
        <v>1</v>
      </c>
      <c r="K64" s="74">
        <v>38.22</v>
      </c>
      <c r="L64" s="74">
        <v>13</v>
      </c>
      <c r="M64" s="106">
        <v>496.86</v>
      </c>
      <c r="N64" s="76">
        <v>21</v>
      </c>
      <c r="O64" s="77">
        <v>22</v>
      </c>
      <c r="P64" s="74">
        <v>273</v>
      </c>
      <c r="Q64" s="78">
        <v>286</v>
      </c>
      <c r="R64" s="43"/>
      <c r="S64" s="107">
        <v>13</v>
      </c>
      <c r="T64" s="108">
        <v>496.86</v>
      </c>
      <c r="U64" s="46"/>
    </row>
    <row r="65" spans="2:20" x14ac:dyDescent="0.25">
      <c r="D65"/>
      <c r="N65"/>
      <c r="P65"/>
      <c r="R65"/>
      <c r="T65"/>
    </row>
    <row r="66" spans="2:20" x14ac:dyDescent="0.25">
      <c r="Q66" s="82">
        <v>2372.16</v>
      </c>
      <c r="R66"/>
      <c r="T66"/>
    </row>
    <row r="67" spans="2:20" x14ac:dyDescent="0.25">
      <c r="D67"/>
      <c r="N67"/>
      <c r="P67"/>
      <c r="R67"/>
      <c r="T67"/>
    </row>
    <row r="68" spans="2:20" ht="12.75" hidden="1" customHeight="1" x14ac:dyDescent="0.25">
      <c r="B68" t="s">
        <v>33</v>
      </c>
      <c r="C68">
        <v>241</v>
      </c>
      <c r="R68"/>
      <c r="T68"/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3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E18" sqref="E18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3.109375" customWidth="1"/>
    <col min="4" max="4" width="24" style="93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93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88">
        <v>37023</v>
      </c>
      <c r="D2" s="4"/>
    </row>
    <row r="3" spans="1:22" s="5" customFormat="1" x14ac:dyDescent="0.25">
      <c r="C3" s="89">
        <v>37023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v>37023</v>
      </c>
      <c r="B7" s="30">
        <v>1</v>
      </c>
      <c r="C7" s="31">
        <v>0</v>
      </c>
      <c r="D7" s="95">
        <v>0</v>
      </c>
      <c r="E7" s="33">
        <v>4.5</v>
      </c>
      <c r="F7" s="33">
        <v>4.5</v>
      </c>
      <c r="G7" s="34">
        <v>63.23</v>
      </c>
      <c r="H7" s="35" t="s">
        <v>36</v>
      </c>
      <c r="I7" s="36" t="s">
        <v>36</v>
      </c>
      <c r="J7" s="96" t="s">
        <v>36</v>
      </c>
      <c r="K7" s="38" t="s">
        <v>36</v>
      </c>
      <c r="L7" s="38" t="s">
        <v>36</v>
      </c>
      <c r="M7" s="97" t="s">
        <v>36</v>
      </c>
      <c r="N7" s="40" t="s">
        <v>36</v>
      </c>
      <c r="O7" s="41" t="s">
        <v>36</v>
      </c>
      <c r="P7" s="38" t="s">
        <v>36</v>
      </c>
      <c r="Q7" s="42" t="s">
        <v>36</v>
      </c>
      <c r="R7" s="43"/>
      <c r="S7" s="98" t="s">
        <v>36</v>
      </c>
      <c r="T7" s="99" t="s">
        <v>36</v>
      </c>
      <c r="U7" s="46"/>
    </row>
    <row r="8" spans="1:22" x14ac:dyDescent="0.25">
      <c r="A8" s="47">
        <v>37023</v>
      </c>
      <c r="B8" s="48">
        <v>2</v>
      </c>
      <c r="C8" s="49">
        <v>0</v>
      </c>
      <c r="D8" s="100">
        <v>0</v>
      </c>
      <c r="E8" s="51">
        <v>4.5</v>
      </c>
      <c r="F8" s="51">
        <v>4.5</v>
      </c>
      <c r="G8" s="52">
        <v>63.23</v>
      </c>
      <c r="H8" s="53" t="s">
        <v>36</v>
      </c>
      <c r="I8" s="54" t="s">
        <v>36</v>
      </c>
      <c r="J8" s="62" t="s">
        <v>36</v>
      </c>
      <c r="K8" s="43" t="s">
        <v>36</v>
      </c>
      <c r="L8" s="43" t="s">
        <v>36</v>
      </c>
      <c r="M8" s="101" t="s">
        <v>36</v>
      </c>
      <c r="N8" s="57" t="s">
        <v>36</v>
      </c>
      <c r="O8" s="58" t="s">
        <v>36</v>
      </c>
      <c r="P8" s="43" t="s">
        <v>36</v>
      </c>
      <c r="Q8" s="59" t="s">
        <v>36</v>
      </c>
      <c r="R8" s="43"/>
      <c r="S8" s="102" t="s">
        <v>36</v>
      </c>
      <c r="T8" s="103" t="s">
        <v>36</v>
      </c>
      <c r="U8" s="46"/>
    </row>
    <row r="9" spans="1:22" x14ac:dyDescent="0.25">
      <c r="A9" s="47">
        <v>37023</v>
      </c>
      <c r="B9" s="48">
        <v>3</v>
      </c>
      <c r="C9" s="49">
        <v>0</v>
      </c>
      <c r="D9" s="100">
        <v>0</v>
      </c>
      <c r="E9" s="51">
        <v>4.5</v>
      </c>
      <c r="F9" s="51">
        <v>4.5</v>
      </c>
      <c r="G9" s="52">
        <v>63.23</v>
      </c>
      <c r="H9" s="53" t="s">
        <v>36</v>
      </c>
      <c r="I9" s="54" t="s">
        <v>36</v>
      </c>
      <c r="J9" s="62" t="s">
        <v>36</v>
      </c>
      <c r="K9" s="43" t="s">
        <v>36</v>
      </c>
      <c r="L9" s="43" t="s">
        <v>36</v>
      </c>
      <c r="M9" s="101" t="s">
        <v>36</v>
      </c>
      <c r="N9" s="57" t="s">
        <v>36</v>
      </c>
      <c r="O9" s="58" t="s">
        <v>36</v>
      </c>
      <c r="P9" s="43" t="s">
        <v>36</v>
      </c>
      <c r="Q9" s="59" t="s">
        <v>36</v>
      </c>
      <c r="R9" s="43"/>
      <c r="S9" s="102" t="s">
        <v>36</v>
      </c>
      <c r="T9" s="103" t="s">
        <v>36</v>
      </c>
      <c r="U9" s="46"/>
    </row>
    <row r="10" spans="1:22" x14ac:dyDescent="0.25">
      <c r="A10" s="47">
        <v>37023</v>
      </c>
      <c r="B10" s="48">
        <v>4</v>
      </c>
      <c r="C10" s="49">
        <v>0</v>
      </c>
      <c r="D10" s="100">
        <v>0</v>
      </c>
      <c r="E10" s="51">
        <v>4.5</v>
      </c>
      <c r="F10" s="51">
        <v>4.5</v>
      </c>
      <c r="G10" s="52">
        <v>63.23</v>
      </c>
      <c r="H10" s="53" t="s">
        <v>36</v>
      </c>
      <c r="I10" s="54" t="s">
        <v>36</v>
      </c>
      <c r="J10" s="62" t="s">
        <v>36</v>
      </c>
      <c r="K10" s="43" t="s">
        <v>36</v>
      </c>
      <c r="L10" s="43" t="s">
        <v>36</v>
      </c>
      <c r="M10" s="101" t="s">
        <v>36</v>
      </c>
      <c r="N10" s="57" t="s">
        <v>36</v>
      </c>
      <c r="O10" s="58" t="s">
        <v>36</v>
      </c>
      <c r="P10" s="43" t="s">
        <v>36</v>
      </c>
      <c r="Q10" s="59" t="s">
        <v>36</v>
      </c>
      <c r="R10" s="43"/>
      <c r="S10" s="102" t="s">
        <v>36</v>
      </c>
      <c r="T10" s="103" t="s">
        <v>36</v>
      </c>
      <c r="U10" s="46"/>
    </row>
    <row r="11" spans="1:22" x14ac:dyDescent="0.25">
      <c r="A11" s="47">
        <v>37023</v>
      </c>
      <c r="B11" s="48">
        <v>5</v>
      </c>
      <c r="C11" s="49">
        <v>0</v>
      </c>
      <c r="D11" s="100">
        <v>0</v>
      </c>
      <c r="E11" s="51">
        <v>4.5</v>
      </c>
      <c r="F11" s="51">
        <v>4.5</v>
      </c>
      <c r="G11" s="52">
        <v>63.23</v>
      </c>
      <c r="H11" s="53" t="s">
        <v>36</v>
      </c>
      <c r="I11" s="54" t="s">
        <v>36</v>
      </c>
      <c r="J11" s="62" t="s">
        <v>36</v>
      </c>
      <c r="K11" s="43" t="s">
        <v>36</v>
      </c>
      <c r="L11" s="43" t="s">
        <v>36</v>
      </c>
      <c r="M11" s="101" t="s">
        <v>36</v>
      </c>
      <c r="N11" s="57" t="s">
        <v>36</v>
      </c>
      <c r="O11" s="58" t="s">
        <v>36</v>
      </c>
      <c r="P11" s="43" t="s">
        <v>36</v>
      </c>
      <c r="Q11" s="59" t="s">
        <v>36</v>
      </c>
      <c r="R11" s="43"/>
      <c r="S11" s="102" t="s">
        <v>36</v>
      </c>
      <c r="T11" s="103" t="s">
        <v>36</v>
      </c>
      <c r="U11" s="46"/>
    </row>
    <row r="12" spans="1:22" x14ac:dyDescent="0.25">
      <c r="A12" s="47">
        <v>37023</v>
      </c>
      <c r="B12" s="48">
        <v>6</v>
      </c>
      <c r="C12" s="49">
        <v>0</v>
      </c>
      <c r="D12" s="100">
        <v>0</v>
      </c>
      <c r="E12" s="51">
        <v>4.5</v>
      </c>
      <c r="F12" s="51">
        <v>4.5</v>
      </c>
      <c r="G12" s="52">
        <v>63.23</v>
      </c>
      <c r="H12" s="53" t="s">
        <v>36</v>
      </c>
      <c r="I12" s="54" t="s">
        <v>36</v>
      </c>
      <c r="J12" s="62" t="s">
        <v>36</v>
      </c>
      <c r="K12" s="43" t="s">
        <v>36</v>
      </c>
      <c r="L12" s="43" t="s">
        <v>36</v>
      </c>
      <c r="M12" s="101" t="s">
        <v>36</v>
      </c>
      <c r="N12" s="57" t="s">
        <v>36</v>
      </c>
      <c r="O12" s="58" t="s">
        <v>36</v>
      </c>
      <c r="P12" s="43" t="s">
        <v>36</v>
      </c>
      <c r="Q12" s="59" t="s">
        <v>36</v>
      </c>
      <c r="R12" s="43"/>
      <c r="S12" s="102" t="s">
        <v>36</v>
      </c>
      <c r="T12" s="103" t="s">
        <v>36</v>
      </c>
      <c r="U12" s="46"/>
    </row>
    <row r="13" spans="1:22" x14ac:dyDescent="0.25">
      <c r="A13" s="47">
        <v>37023</v>
      </c>
      <c r="B13" s="48">
        <v>7</v>
      </c>
      <c r="C13" s="49">
        <v>0</v>
      </c>
      <c r="D13" s="100">
        <v>0</v>
      </c>
      <c r="E13" s="51">
        <v>4.5</v>
      </c>
      <c r="F13" s="51">
        <v>4.5</v>
      </c>
      <c r="G13" s="52">
        <v>63.23</v>
      </c>
      <c r="H13" s="53" t="s">
        <v>36</v>
      </c>
      <c r="I13" s="54" t="s">
        <v>36</v>
      </c>
      <c r="J13" s="62" t="s">
        <v>36</v>
      </c>
      <c r="K13" s="63" t="s">
        <v>36</v>
      </c>
      <c r="L13" s="63" t="s">
        <v>36</v>
      </c>
      <c r="M13" s="101" t="s">
        <v>36</v>
      </c>
      <c r="N13" s="57" t="s">
        <v>36</v>
      </c>
      <c r="O13" s="58" t="s">
        <v>36</v>
      </c>
      <c r="P13" s="43" t="s">
        <v>36</v>
      </c>
      <c r="Q13" s="59" t="s">
        <v>36</v>
      </c>
      <c r="R13" s="43"/>
      <c r="S13" s="102" t="s">
        <v>36</v>
      </c>
      <c r="T13" s="103" t="s">
        <v>36</v>
      </c>
      <c r="U13" s="46"/>
    </row>
    <row r="14" spans="1:22" x14ac:dyDescent="0.25">
      <c r="A14" s="47">
        <v>37023</v>
      </c>
      <c r="B14" s="48">
        <v>8</v>
      </c>
      <c r="C14" s="49">
        <v>0</v>
      </c>
      <c r="D14" s="100">
        <v>0</v>
      </c>
      <c r="E14" s="51">
        <v>4.5</v>
      </c>
      <c r="F14" s="51">
        <v>4.5</v>
      </c>
      <c r="G14" s="52">
        <v>63.23</v>
      </c>
      <c r="H14" s="53" t="s">
        <v>36</v>
      </c>
      <c r="I14" s="54" t="s">
        <v>36</v>
      </c>
      <c r="J14" s="62" t="s">
        <v>36</v>
      </c>
      <c r="K14" s="63" t="s">
        <v>36</v>
      </c>
      <c r="L14" s="63" t="s">
        <v>36</v>
      </c>
      <c r="M14" s="101" t="s">
        <v>36</v>
      </c>
      <c r="N14" s="57" t="s">
        <v>36</v>
      </c>
      <c r="O14" s="58" t="s">
        <v>36</v>
      </c>
      <c r="P14" s="43" t="s">
        <v>36</v>
      </c>
      <c r="Q14" s="59" t="s">
        <v>36</v>
      </c>
      <c r="R14" s="43"/>
      <c r="S14" s="102" t="s">
        <v>36</v>
      </c>
      <c r="T14" s="103" t="s">
        <v>36</v>
      </c>
      <c r="U14" s="46"/>
    </row>
    <row r="15" spans="1:22" x14ac:dyDescent="0.25">
      <c r="A15" s="47">
        <v>37023</v>
      </c>
      <c r="B15" s="48">
        <v>9</v>
      </c>
      <c r="C15" s="49">
        <v>0</v>
      </c>
      <c r="D15" s="100">
        <v>0</v>
      </c>
      <c r="E15" s="51">
        <v>4.5</v>
      </c>
      <c r="F15" s="51">
        <v>4.5</v>
      </c>
      <c r="G15" s="52">
        <v>63.23</v>
      </c>
      <c r="H15" s="53" t="s">
        <v>36</v>
      </c>
      <c r="I15" s="54" t="s">
        <v>36</v>
      </c>
      <c r="J15" s="62" t="s">
        <v>36</v>
      </c>
      <c r="K15" s="63" t="s">
        <v>36</v>
      </c>
      <c r="L15" s="63" t="s">
        <v>36</v>
      </c>
      <c r="M15" s="101" t="s">
        <v>36</v>
      </c>
      <c r="N15" s="57" t="s">
        <v>36</v>
      </c>
      <c r="O15" s="58" t="s">
        <v>36</v>
      </c>
      <c r="P15" s="43" t="s">
        <v>36</v>
      </c>
      <c r="Q15" s="59" t="s">
        <v>36</v>
      </c>
      <c r="R15" s="43"/>
      <c r="S15" s="102" t="s">
        <v>36</v>
      </c>
      <c r="T15" s="103" t="s">
        <v>36</v>
      </c>
      <c r="U15" s="46"/>
    </row>
    <row r="16" spans="1:22" x14ac:dyDescent="0.25">
      <c r="A16" s="47">
        <v>37023</v>
      </c>
      <c r="B16" s="48">
        <v>10</v>
      </c>
      <c r="C16" s="49">
        <v>0</v>
      </c>
      <c r="D16" s="100">
        <v>0</v>
      </c>
      <c r="E16" s="51">
        <v>4.5</v>
      </c>
      <c r="F16" s="51">
        <v>4.5</v>
      </c>
      <c r="G16" s="52">
        <v>63.23</v>
      </c>
      <c r="H16" s="53" t="s">
        <v>36</v>
      </c>
      <c r="I16" s="54" t="s">
        <v>36</v>
      </c>
      <c r="J16" s="62" t="s">
        <v>36</v>
      </c>
      <c r="K16" s="63" t="s">
        <v>36</v>
      </c>
      <c r="L16" s="63" t="s">
        <v>36</v>
      </c>
      <c r="M16" s="101" t="s">
        <v>36</v>
      </c>
      <c r="N16" s="57" t="s">
        <v>36</v>
      </c>
      <c r="O16" s="58" t="s">
        <v>36</v>
      </c>
      <c r="P16" s="43" t="s">
        <v>36</v>
      </c>
      <c r="Q16" s="59" t="s">
        <v>36</v>
      </c>
      <c r="R16" s="43"/>
      <c r="S16" s="102" t="s">
        <v>36</v>
      </c>
      <c r="T16" s="103" t="s">
        <v>36</v>
      </c>
      <c r="U16" s="46"/>
    </row>
    <row r="17" spans="1:21" x14ac:dyDescent="0.25">
      <c r="A17" s="47">
        <v>37023</v>
      </c>
      <c r="B17" s="48">
        <v>11</v>
      </c>
      <c r="C17" s="49">
        <v>20</v>
      </c>
      <c r="D17" s="100">
        <v>35.5</v>
      </c>
      <c r="E17" s="51">
        <v>4.5</v>
      </c>
      <c r="F17" s="51">
        <v>4.5</v>
      </c>
      <c r="G17" s="52">
        <v>63.23</v>
      </c>
      <c r="H17" s="53">
        <v>27.73</v>
      </c>
      <c r="I17" s="54">
        <v>554.6</v>
      </c>
      <c r="J17" s="62">
        <v>11.091999999999999</v>
      </c>
      <c r="K17" s="63">
        <v>16.637999999999998</v>
      </c>
      <c r="L17" s="63">
        <v>221.84</v>
      </c>
      <c r="M17" s="101">
        <v>332.76</v>
      </c>
      <c r="N17" s="57">
        <v>35.5</v>
      </c>
      <c r="O17" s="58">
        <v>46.591999999999999</v>
      </c>
      <c r="P17" s="43">
        <v>710</v>
      </c>
      <c r="Q17" s="59">
        <v>931.84</v>
      </c>
      <c r="R17" s="43"/>
      <c r="S17" s="102">
        <v>221.84</v>
      </c>
      <c r="T17" s="103">
        <v>332.76</v>
      </c>
      <c r="U17" s="46"/>
    </row>
    <row r="18" spans="1:21" x14ac:dyDescent="0.25">
      <c r="A18" s="47">
        <v>37023</v>
      </c>
      <c r="B18" s="48">
        <v>12</v>
      </c>
      <c r="C18" s="49">
        <v>25</v>
      </c>
      <c r="D18" s="100">
        <v>35.5</v>
      </c>
      <c r="E18" s="51">
        <v>4.5</v>
      </c>
      <c r="F18" s="51">
        <v>4.5</v>
      </c>
      <c r="G18" s="52">
        <v>63.23</v>
      </c>
      <c r="H18" s="53">
        <v>27.73</v>
      </c>
      <c r="I18" s="54">
        <v>693.25</v>
      </c>
      <c r="J18" s="62">
        <v>11.091999999999999</v>
      </c>
      <c r="K18" s="63">
        <v>16.637999999999998</v>
      </c>
      <c r="L18" s="63">
        <v>277.3</v>
      </c>
      <c r="M18" s="101">
        <v>415.95</v>
      </c>
      <c r="N18" s="57">
        <v>35.5</v>
      </c>
      <c r="O18" s="58">
        <v>46.591999999999999</v>
      </c>
      <c r="P18" s="43">
        <v>887.5</v>
      </c>
      <c r="Q18" s="59">
        <v>1164.8</v>
      </c>
      <c r="R18" s="43"/>
      <c r="S18" s="102">
        <v>277.3</v>
      </c>
      <c r="T18" s="103">
        <v>415.95</v>
      </c>
      <c r="U18" s="46"/>
    </row>
    <row r="19" spans="1:21" x14ac:dyDescent="0.25">
      <c r="A19" s="47">
        <v>37023</v>
      </c>
      <c r="B19" s="48">
        <v>13</v>
      </c>
      <c r="C19" s="49">
        <v>25</v>
      </c>
      <c r="D19" s="100">
        <v>35.5</v>
      </c>
      <c r="E19" s="51">
        <v>4.5</v>
      </c>
      <c r="F19" s="51">
        <v>4.5</v>
      </c>
      <c r="G19" s="52">
        <v>63.23</v>
      </c>
      <c r="H19" s="53">
        <v>27.73</v>
      </c>
      <c r="I19" s="54">
        <v>693.25</v>
      </c>
      <c r="J19" s="62">
        <v>11.091999999999999</v>
      </c>
      <c r="K19" s="63">
        <v>16.637999999999998</v>
      </c>
      <c r="L19" s="63">
        <v>277.3</v>
      </c>
      <c r="M19" s="101">
        <v>415.95</v>
      </c>
      <c r="N19" s="57">
        <v>35.5</v>
      </c>
      <c r="O19" s="58">
        <v>46.591999999999999</v>
      </c>
      <c r="P19" s="43">
        <v>887.5</v>
      </c>
      <c r="Q19" s="59">
        <v>1164.8</v>
      </c>
      <c r="R19" s="43"/>
      <c r="S19" s="102">
        <v>277.3</v>
      </c>
      <c r="T19" s="103">
        <v>415.95</v>
      </c>
      <c r="U19" s="46"/>
    </row>
    <row r="20" spans="1:21" x14ac:dyDescent="0.25">
      <c r="A20" s="47">
        <v>37023</v>
      </c>
      <c r="B20" s="48">
        <v>14</v>
      </c>
      <c r="C20" s="49">
        <v>25</v>
      </c>
      <c r="D20" s="100">
        <v>35.5</v>
      </c>
      <c r="E20" s="51">
        <v>4.5</v>
      </c>
      <c r="F20" s="51">
        <v>4.5</v>
      </c>
      <c r="G20" s="52">
        <v>63.23</v>
      </c>
      <c r="H20" s="53">
        <v>27.73</v>
      </c>
      <c r="I20" s="54">
        <v>693.25</v>
      </c>
      <c r="J20" s="62">
        <v>11.091999999999999</v>
      </c>
      <c r="K20" s="63">
        <v>16.637999999999998</v>
      </c>
      <c r="L20" s="63">
        <v>277.3</v>
      </c>
      <c r="M20" s="101">
        <v>415.95</v>
      </c>
      <c r="N20" s="57">
        <v>35.5</v>
      </c>
      <c r="O20" s="58">
        <v>46.591999999999999</v>
      </c>
      <c r="P20" s="43">
        <v>887.5</v>
      </c>
      <c r="Q20" s="59">
        <v>1164.8</v>
      </c>
      <c r="R20" s="43"/>
      <c r="S20" s="102">
        <v>277.3</v>
      </c>
      <c r="T20" s="103">
        <v>415.95</v>
      </c>
      <c r="U20" s="46"/>
    </row>
    <row r="21" spans="1:21" x14ac:dyDescent="0.25">
      <c r="A21" s="47">
        <v>37023</v>
      </c>
      <c r="B21" s="48">
        <v>15</v>
      </c>
      <c r="C21" s="49">
        <v>25</v>
      </c>
      <c r="D21" s="100">
        <v>35.5</v>
      </c>
      <c r="E21" s="51">
        <v>4.5</v>
      </c>
      <c r="F21" s="51">
        <v>4.5</v>
      </c>
      <c r="G21" s="52">
        <v>63.23</v>
      </c>
      <c r="H21" s="53">
        <v>27.73</v>
      </c>
      <c r="I21" s="54">
        <v>693.25</v>
      </c>
      <c r="J21" s="62">
        <v>11.091999999999999</v>
      </c>
      <c r="K21" s="63">
        <v>16.637999999999998</v>
      </c>
      <c r="L21" s="63">
        <v>277.3</v>
      </c>
      <c r="M21" s="101">
        <v>415.95</v>
      </c>
      <c r="N21" s="57">
        <v>35.5</v>
      </c>
      <c r="O21" s="58">
        <v>46.591999999999999</v>
      </c>
      <c r="P21" s="43">
        <v>887.5</v>
      </c>
      <c r="Q21" s="59">
        <v>1164.8</v>
      </c>
      <c r="R21" s="43"/>
      <c r="S21" s="102">
        <v>277.3</v>
      </c>
      <c r="T21" s="103">
        <v>415.95</v>
      </c>
      <c r="U21" s="46"/>
    </row>
    <row r="22" spans="1:21" x14ac:dyDescent="0.25">
      <c r="A22" s="47">
        <v>37023</v>
      </c>
      <c r="B22" s="48">
        <v>16</v>
      </c>
      <c r="C22" s="49">
        <v>25</v>
      </c>
      <c r="D22" s="100">
        <v>35.5</v>
      </c>
      <c r="E22" s="51">
        <v>4.5</v>
      </c>
      <c r="F22" s="51">
        <v>4.5</v>
      </c>
      <c r="G22" s="52">
        <v>63.23</v>
      </c>
      <c r="H22" s="53">
        <v>27.73</v>
      </c>
      <c r="I22" s="54">
        <v>693.25</v>
      </c>
      <c r="J22" s="62">
        <v>11.091999999999999</v>
      </c>
      <c r="K22" s="63">
        <v>16.637999999999998</v>
      </c>
      <c r="L22" s="63">
        <v>277.3</v>
      </c>
      <c r="M22" s="101">
        <v>415.95</v>
      </c>
      <c r="N22" s="57">
        <v>35.5</v>
      </c>
      <c r="O22" s="58">
        <v>46.591999999999999</v>
      </c>
      <c r="P22" s="43">
        <v>887.5</v>
      </c>
      <c r="Q22" s="59">
        <v>1164.8</v>
      </c>
      <c r="R22" s="43"/>
      <c r="S22" s="102">
        <v>277.3</v>
      </c>
      <c r="T22" s="103">
        <v>415.95</v>
      </c>
      <c r="U22" s="46"/>
    </row>
    <row r="23" spans="1:21" x14ac:dyDescent="0.25">
      <c r="A23" s="47">
        <v>37023</v>
      </c>
      <c r="B23" s="48">
        <v>17</v>
      </c>
      <c r="C23" s="49">
        <v>25</v>
      </c>
      <c r="D23" s="100">
        <v>35.5</v>
      </c>
      <c r="E23" s="51">
        <v>4.5</v>
      </c>
      <c r="F23" s="51">
        <v>4.5</v>
      </c>
      <c r="G23" s="52">
        <v>63.23</v>
      </c>
      <c r="H23" s="53">
        <v>27.73</v>
      </c>
      <c r="I23" s="54">
        <v>693.25</v>
      </c>
      <c r="J23" s="62">
        <v>11.091999999999999</v>
      </c>
      <c r="K23" s="63">
        <v>16.637999999999998</v>
      </c>
      <c r="L23" s="63">
        <v>277.3</v>
      </c>
      <c r="M23" s="101">
        <v>415.95</v>
      </c>
      <c r="N23" s="57">
        <v>35.5</v>
      </c>
      <c r="O23" s="58">
        <v>46.591999999999999</v>
      </c>
      <c r="P23" s="43">
        <v>887.5</v>
      </c>
      <c r="Q23" s="59">
        <v>1164.8</v>
      </c>
      <c r="R23" s="43"/>
      <c r="S23" s="102">
        <v>277.3</v>
      </c>
      <c r="T23" s="103">
        <v>415.95</v>
      </c>
      <c r="U23" s="46"/>
    </row>
    <row r="24" spans="1:21" x14ac:dyDescent="0.25">
      <c r="A24" s="47">
        <v>37023</v>
      </c>
      <c r="B24" s="48">
        <v>18</v>
      </c>
      <c r="C24" s="49">
        <v>25</v>
      </c>
      <c r="D24" s="100">
        <v>35.5</v>
      </c>
      <c r="E24" s="51">
        <v>4.5</v>
      </c>
      <c r="F24" s="51">
        <v>4.5</v>
      </c>
      <c r="G24" s="52">
        <v>63.23</v>
      </c>
      <c r="H24" s="53">
        <v>27.73</v>
      </c>
      <c r="I24" s="54">
        <v>693.25</v>
      </c>
      <c r="J24" s="62">
        <v>11.091999999999999</v>
      </c>
      <c r="K24" s="63">
        <v>16.637999999999998</v>
      </c>
      <c r="L24" s="63">
        <v>277.3</v>
      </c>
      <c r="M24" s="101">
        <v>415.95</v>
      </c>
      <c r="N24" s="57">
        <v>35.5</v>
      </c>
      <c r="O24" s="58">
        <v>46.591999999999999</v>
      </c>
      <c r="P24" s="43">
        <v>887.5</v>
      </c>
      <c r="Q24" s="59">
        <v>1164.8</v>
      </c>
      <c r="R24" s="43"/>
      <c r="S24" s="102">
        <v>277.3</v>
      </c>
      <c r="T24" s="103">
        <v>415.95</v>
      </c>
      <c r="U24" s="46"/>
    </row>
    <row r="25" spans="1:21" x14ac:dyDescent="0.25">
      <c r="A25" s="47">
        <v>37023</v>
      </c>
      <c r="B25" s="48">
        <v>19</v>
      </c>
      <c r="C25" s="49">
        <v>25</v>
      </c>
      <c r="D25" s="100">
        <v>35.5</v>
      </c>
      <c r="E25" s="51">
        <v>4.5</v>
      </c>
      <c r="F25" s="51">
        <v>4.5</v>
      </c>
      <c r="G25" s="52">
        <v>63.23</v>
      </c>
      <c r="H25" s="53">
        <v>27.73</v>
      </c>
      <c r="I25" s="54">
        <v>693.25</v>
      </c>
      <c r="J25" s="62">
        <v>11.091999999999999</v>
      </c>
      <c r="K25" s="63">
        <v>16.637999999999998</v>
      </c>
      <c r="L25" s="63">
        <v>277.3</v>
      </c>
      <c r="M25" s="101">
        <v>415.95</v>
      </c>
      <c r="N25" s="57">
        <v>35.5</v>
      </c>
      <c r="O25" s="58">
        <v>46.591999999999999</v>
      </c>
      <c r="P25" s="43">
        <v>887.5</v>
      </c>
      <c r="Q25" s="59">
        <v>1164.8</v>
      </c>
      <c r="R25" s="43"/>
      <c r="S25" s="102">
        <v>277.3</v>
      </c>
      <c r="T25" s="103">
        <v>415.95</v>
      </c>
      <c r="U25" s="46"/>
    </row>
    <row r="26" spans="1:21" x14ac:dyDescent="0.25">
      <c r="A26" s="47">
        <v>37023</v>
      </c>
      <c r="B26" s="48">
        <v>20</v>
      </c>
      <c r="C26" s="49">
        <v>25</v>
      </c>
      <c r="D26" s="100">
        <v>35.5</v>
      </c>
      <c r="E26" s="51">
        <v>4.5</v>
      </c>
      <c r="F26" s="51">
        <v>4.5</v>
      </c>
      <c r="G26" s="52">
        <v>63.23</v>
      </c>
      <c r="H26" s="53">
        <v>27.73</v>
      </c>
      <c r="I26" s="54">
        <v>693.25</v>
      </c>
      <c r="J26" s="62">
        <v>11.091999999999999</v>
      </c>
      <c r="K26" s="63">
        <v>16.637999999999998</v>
      </c>
      <c r="L26" s="63">
        <v>277.3</v>
      </c>
      <c r="M26" s="101">
        <v>415.95</v>
      </c>
      <c r="N26" s="57">
        <v>35.5</v>
      </c>
      <c r="O26" s="58">
        <v>46.591999999999999</v>
      </c>
      <c r="P26" s="43">
        <v>887.5</v>
      </c>
      <c r="Q26" s="59">
        <v>1164.8</v>
      </c>
      <c r="R26" s="43"/>
      <c r="S26" s="102">
        <v>277.3</v>
      </c>
      <c r="T26" s="103">
        <v>415.95</v>
      </c>
      <c r="U26" s="46"/>
    </row>
    <row r="27" spans="1:21" x14ac:dyDescent="0.25">
      <c r="A27" s="47">
        <v>37023</v>
      </c>
      <c r="B27" s="48">
        <v>21</v>
      </c>
      <c r="C27" s="49">
        <v>25</v>
      </c>
      <c r="D27" s="100">
        <v>35.5</v>
      </c>
      <c r="E27" s="51">
        <v>4.5</v>
      </c>
      <c r="F27" s="51">
        <v>4.5</v>
      </c>
      <c r="G27" s="52">
        <v>63.23</v>
      </c>
      <c r="H27" s="53">
        <v>27.73</v>
      </c>
      <c r="I27" s="54">
        <v>693.25</v>
      </c>
      <c r="J27" s="62">
        <v>11.091999999999999</v>
      </c>
      <c r="K27" s="63">
        <v>16.637999999999998</v>
      </c>
      <c r="L27" s="63">
        <v>277.3</v>
      </c>
      <c r="M27" s="101">
        <v>415.95</v>
      </c>
      <c r="N27" s="57">
        <v>35.5</v>
      </c>
      <c r="O27" s="58">
        <v>46.591999999999999</v>
      </c>
      <c r="P27" s="43">
        <v>887.5</v>
      </c>
      <c r="Q27" s="59">
        <v>1164.8</v>
      </c>
      <c r="R27" s="43"/>
      <c r="S27" s="102">
        <v>277.3</v>
      </c>
      <c r="T27" s="103">
        <v>415.95</v>
      </c>
      <c r="U27" s="46"/>
    </row>
    <row r="28" spans="1:21" x14ac:dyDescent="0.25">
      <c r="A28" s="47">
        <v>37023</v>
      </c>
      <c r="B28" s="48">
        <v>22</v>
      </c>
      <c r="C28" s="49">
        <v>25</v>
      </c>
      <c r="D28" s="100">
        <v>35.5</v>
      </c>
      <c r="E28" s="51">
        <v>4.5</v>
      </c>
      <c r="F28" s="51">
        <v>4.5</v>
      </c>
      <c r="G28" s="52">
        <v>63.23</v>
      </c>
      <c r="H28" s="53">
        <v>27.73</v>
      </c>
      <c r="I28" s="54">
        <v>693.25</v>
      </c>
      <c r="J28" s="62">
        <v>11.091999999999999</v>
      </c>
      <c r="K28" s="63">
        <v>16.637999999999998</v>
      </c>
      <c r="L28" s="63">
        <v>277.3</v>
      </c>
      <c r="M28" s="101">
        <v>415.95</v>
      </c>
      <c r="N28" s="57">
        <v>35.5</v>
      </c>
      <c r="O28" s="58">
        <v>46.591999999999999</v>
      </c>
      <c r="P28" s="43">
        <v>887.5</v>
      </c>
      <c r="Q28" s="59">
        <v>1164.8</v>
      </c>
      <c r="R28" s="43"/>
      <c r="S28" s="102">
        <v>277.3</v>
      </c>
      <c r="T28" s="103">
        <v>415.95</v>
      </c>
      <c r="U28" s="46"/>
    </row>
    <row r="29" spans="1:21" x14ac:dyDescent="0.25">
      <c r="A29" s="47">
        <v>37023</v>
      </c>
      <c r="B29" s="48">
        <v>23</v>
      </c>
      <c r="C29" s="49">
        <v>20</v>
      </c>
      <c r="D29" s="100">
        <v>35.5</v>
      </c>
      <c r="E29" s="51">
        <v>4.5</v>
      </c>
      <c r="F29" s="51">
        <v>4.5</v>
      </c>
      <c r="G29" s="52">
        <v>63.23</v>
      </c>
      <c r="H29" s="53">
        <v>27.73</v>
      </c>
      <c r="I29" s="54">
        <v>554.6</v>
      </c>
      <c r="J29" s="62">
        <v>1</v>
      </c>
      <c r="K29" s="43">
        <v>26.73</v>
      </c>
      <c r="L29" s="43">
        <v>20</v>
      </c>
      <c r="M29" s="101">
        <v>534.6</v>
      </c>
      <c r="N29" s="57">
        <v>35.5</v>
      </c>
      <c r="O29" s="58">
        <v>36.5</v>
      </c>
      <c r="P29" s="43">
        <v>710</v>
      </c>
      <c r="Q29" s="59">
        <v>730</v>
      </c>
      <c r="R29" s="43"/>
      <c r="S29" s="102">
        <v>20</v>
      </c>
      <c r="T29" s="103">
        <v>534.6</v>
      </c>
      <c r="U29" s="46"/>
    </row>
    <row r="30" spans="1:21" x14ac:dyDescent="0.25">
      <c r="A30" s="65">
        <v>37023</v>
      </c>
      <c r="B30" s="66">
        <v>24</v>
      </c>
      <c r="C30" s="67">
        <v>0</v>
      </c>
      <c r="D30" s="104">
        <v>0</v>
      </c>
      <c r="E30" s="69">
        <v>4.5</v>
      </c>
      <c r="F30" s="69">
        <v>4.5</v>
      </c>
      <c r="G30" s="70">
        <v>63.23</v>
      </c>
      <c r="H30" s="71" t="s">
        <v>36</v>
      </c>
      <c r="I30" s="72" t="s">
        <v>36</v>
      </c>
      <c r="J30" s="105" t="s">
        <v>36</v>
      </c>
      <c r="K30" s="74" t="s">
        <v>36</v>
      </c>
      <c r="L30" s="74" t="s">
        <v>36</v>
      </c>
      <c r="M30" s="106" t="s">
        <v>36</v>
      </c>
      <c r="N30" s="76" t="s">
        <v>36</v>
      </c>
      <c r="O30" s="77" t="s">
        <v>36</v>
      </c>
      <c r="P30" s="74" t="s">
        <v>36</v>
      </c>
      <c r="Q30" s="78" t="s">
        <v>36</v>
      </c>
      <c r="R30" s="43"/>
      <c r="S30" s="107" t="s">
        <v>36</v>
      </c>
      <c r="T30" s="108" t="s">
        <v>36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109"/>
    </row>
    <row r="32" spans="1:21" x14ac:dyDescent="0.25">
      <c r="K32" s="84"/>
      <c r="L32" s="84"/>
      <c r="M32" s="84"/>
      <c r="N32" s="85"/>
      <c r="O32" s="84"/>
      <c r="P32" s="85"/>
      <c r="Q32" s="86">
        <v>14474.64</v>
      </c>
      <c r="R32" s="87"/>
      <c r="S32" s="86">
        <v>3292.14</v>
      </c>
      <c r="T32" s="86">
        <v>5442.81</v>
      </c>
    </row>
    <row r="33" spans="1:22" x14ac:dyDescent="0.25">
      <c r="D33"/>
      <c r="N33"/>
      <c r="P33"/>
      <c r="R33"/>
      <c r="T33"/>
    </row>
    <row r="34" spans="1:22" ht="12.75" hidden="1" customHeight="1" x14ac:dyDescent="0.25">
      <c r="B34" t="s">
        <v>33</v>
      </c>
      <c r="C34">
        <v>265</v>
      </c>
    </row>
    <row r="35" spans="1:22" x14ac:dyDescent="0.25">
      <c r="D35"/>
      <c r="N35"/>
      <c r="P35"/>
      <c r="R35"/>
      <c r="T35"/>
    </row>
    <row r="36" spans="1:22" x14ac:dyDescent="0.25">
      <c r="D36"/>
      <c r="N36"/>
      <c r="P36"/>
      <c r="R36"/>
      <c r="T36"/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5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v>37023</v>
      </c>
      <c r="B41" s="30">
        <v>1</v>
      </c>
      <c r="C41" s="31">
        <v>25</v>
      </c>
      <c r="D41" s="110">
        <v>18</v>
      </c>
      <c r="E41" s="33">
        <v>4.5</v>
      </c>
      <c r="F41" s="33">
        <v>4.5</v>
      </c>
      <c r="G41" s="34">
        <v>63.23</v>
      </c>
      <c r="H41" s="35">
        <v>45.23</v>
      </c>
      <c r="I41" s="36">
        <v>1130.75</v>
      </c>
      <c r="J41" s="96">
        <v>1</v>
      </c>
      <c r="K41" s="38">
        <v>44.23</v>
      </c>
      <c r="L41" s="38">
        <v>25</v>
      </c>
      <c r="M41" s="97">
        <v>1105.75</v>
      </c>
      <c r="N41" s="40">
        <v>18</v>
      </c>
      <c r="O41" s="41">
        <v>19</v>
      </c>
      <c r="P41" s="38">
        <v>450</v>
      </c>
      <c r="Q41" s="42">
        <v>475</v>
      </c>
      <c r="R41" s="43"/>
      <c r="S41" s="98">
        <v>25</v>
      </c>
      <c r="T41" s="99">
        <v>1105.75</v>
      </c>
      <c r="U41" s="46"/>
    </row>
    <row r="42" spans="1:22" x14ac:dyDescent="0.25">
      <c r="A42" s="47">
        <v>37023</v>
      </c>
      <c r="B42" s="48">
        <v>2</v>
      </c>
      <c r="C42" s="49">
        <v>24</v>
      </c>
      <c r="D42" s="111">
        <v>20</v>
      </c>
      <c r="E42" s="51">
        <v>4.5</v>
      </c>
      <c r="F42" s="51">
        <v>4.5</v>
      </c>
      <c r="G42" s="52">
        <v>63.23</v>
      </c>
      <c r="H42" s="53">
        <v>43.23</v>
      </c>
      <c r="I42" s="54">
        <v>1037.52</v>
      </c>
      <c r="J42" s="62">
        <v>1</v>
      </c>
      <c r="K42" s="43">
        <v>42.23</v>
      </c>
      <c r="L42" s="43">
        <v>24</v>
      </c>
      <c r="M42" s="101">
        <v>1013.52</v>
      </c>
      <c r="N42" s="57">
        <v>20</v>
      </c>
      <c r="O42" s="58">
        <v>21</v>
      </c>
      <c r="P42" s="43">
        <v>480</v>
      </c>
      <c r="Q42" s="59">
        <v>504</v>
      </c>
      <c r="R42" s="43"/>
      <c r="S42" s="102">
        <v>24</v>
      </c>
      <c r="T42" s="103">
        <v>1013.52</v>
      </c>
      <c r="U42" s="46"/>
    </row>
    <row r="43" spans="1:22" x14ac:dyDescent="0.25">
      <c r="A43" s="47">
        <v>37023</v>
      </c>
      <c r="B43" s="48">
        <v>3</v>
      </c>
      <c r="C43" s="49">
        <v>23</v>
      </c>
      <c r="D43" s="111">
        <v>20</v>
      </c>
      <c r="E43" s="51">
        <v>4.5</v>
      </c>
      <c r="F43" s="51">
        <v>4.5</v>
      </c>
      <c r="G43" s="52">
        <v>63.23</v>
      </c>
      <c r="H43" s="53">
        <v>43.23</v>
      </c>
      <c r="I43" s="54">
        <v>994.29</v>
      </c>
      <c r="J43" s="62">
        <v>1</v>
      </c>
      <c r="K43" s="43">
        <v>42.23</v>
      </c>
      <c r="L43" s="43">
        <v>23</v>
      </c>
      <c r="M43" s="101">
        <v>971.29</v>
      </c>
      <c r="N43" s="57">
        <v>20</v>
      </c>
      <c r="O43" s="58">
        <v>21</v>
      </c>
      <c r="P43" s="43">
        <v>460</v>
      </c>
      <c r="Q43" s="59">
        <v>483</v>
      </c>
      <c r="R43" s="43"/>
      <c r="S43" s="102">
        <v>23</v>
      </c>
      <c r="T43" s="103">
        <v>971.29</v>
      </c>
      <c r="U43" s="46"/>
    </row>
    <row r="44" spans="1:22" x14ac:dyDescent="0.25">
      <c r="A44" s="47">
        <v>37023</v>
      </c>
      <c r="B44" s="48">
        <v>4</v>
      </c>
      <c r="C44" s="49">
        <v>21</v>
      </c>
      <c r="D44" s="111">
        <v>20</v>
      </c>
      <c r="E44" s="51">
        <v>4.5</v>
      </c>
      <c r="F44" s="51">
        <v>4.5</v>
      </c>
      <c r="G44" s="52">
        <v>63.23</v>
      </c>
      <c r="H44" s="53">
        <v>43.23</v>
      </c>
      <c r="I44" s="54">
        <v>907.83</v>
      </c>
      <c r="J44" s="62">
        <v>1</v>
      </c>
      <c r="K44" s="43">
        <v>42.23</v>
      </c>
      <c r="L44" s="43">
        <v>21</v>
      </c>
      <c r="M44" s="101">
        <v>886.83</v>
      </c>
      <c r="N44" s="57">
        <v>20</v>
      </c>
      <c r="O44" s="58">
        <v>21</v>
      </c>
      <c r="P44" s="43">
        <v>420</v>
      </c>
      <c r="Q44" s="59">
        <v>441</v>
      </c>
      <c r="R44" s="43"/>
      <c r="S44" s="102">
        <v>21</v>
      </c>
      <c r="T44" s="103">
        <v>886.83</v>
      </c>
      <c r="U44" s="46"/>
    </row>
    <row r="45" spans="1:22" x14ac:dyDescent="0.25">
      <c r="A45" s="47">
        <v>37023</v>
      </c>
      <c r="B45" s="48">
        <v>5</v>
      </c>
      <c r="C45" s="49">
        <v>20</v>
      </c>
      <c r="D45" s="111">
        <v>20</v>
      </c>
      <c r="E45" s="51">
        <v>4.5</v>
      </c>
      <c r="F45" s="51">
        <v>4.5</v>
      </c>
      <c r="G45" s="52">
        <v>63.23</v>
      </c>
      <c r="H45" s="53">
        <v>43.23</v>
      </c>
      <c r="I45" s="54">
        <v>864.6</v>
      </c>
      <c r="J45" s="62">
        <v>1</v>
      </c>
      <c r="K45" s="43">
        <v>42.23</v>
      </c>
      <c r="L45" s="43">
        <v>20</v>
      </c>
      <c r="M45" s="101">
        <v>844.6</v>
      </c>
      <c r="N45" s="57">
        <v>20</v>
      </c>
      <c r="O45" s="58">
        <v>21</v>
      </c>
      <c r="P45" s="43">
        <v>400</v>
      </c>
      <c r="Q45" s="59">
        <v>420</v>
      </c>
      <c r="R45" s="43"/>
      <c r="S45" s="102">
        <v>20</v>
      </c>
      <c r="T45" s="103">
        <v>844.6</v>
      </c>
      <c r="U45" s="46"/>
    </row>
    <row r="46" spans="1:22" x14ac:dyDescent="0.25">
      <c r="A46" s="47">
        <v>37023</v>
      </c>
      <c r="B46" s="48">
        <v>6</v>
      </c>
      <c r="C46" s="49">
        <v>20</v>
      </c>
      <c r="D46" s="111">
        <v>22</v>
      </c>
      <c r="E46" s="51">
        <v>4.5</v>
      </c>
      <c r="F46" s="51">
        <v>4.5</v>
      </c>
      <c r="G46" s="52">
        <v>63.23</v>
      </c>
      <c r="H46" s="53">
        <v>41.23</v>
      </c>
      <c r="I46" s="54">
        <v>824.6</v>
      </c>
      <c r="J46" s="62">
        <v>1</v>
      </c>
      <c r="K46" s="43">
        <v>40.229999999999997</v>
      </c>
      <c r="L46" s="43">
        <v>20</v>
      </c>
      <c r="M46" s="101">
        <v>804.6</v>
      </c>
      <c r="N46" s="57">
        <v>22</v>
      </c>
      <c r="O46" s="58">
        <v>23</v>
      </c>
      <c r="P46" s="43">
        <v>440</v>
      </c>
      <c r="Q46" s="59">
        <v>460</v>
      </c>
      <c r="R46" s="43"/>
      <c r="S46" s="102">
        <v>20</v>
      </c>
      <c r="T46" s="103">
        <v>804.6</v>
      </c>
      <c r="U46" s="46"/>
    </row>
    <row r="47" spans="1:22" x14ac:dyDescent="0.25">
      <c r="A47" s="47">
        <v>37023</v>
      </c>
      <c r="B47" s="48">
        <v>7</v>
      </c>
      <c r="C47" s="49">
        <v>20</v>
      </c>
      <c r="D47" s="111">
        <v>22</v>
      </c>
      <c r="E47" s="51">
        <v>4.5</v>
      </c>
      <c r="F47" s="51">
        <v>4.5</v>
      </c>
      <c r="G47" s="52">
        <v>63.23</v>
      </c>
      <c r="H47" s="53">
        <v>41.23</v>
      </c>
      <c r="I47" s="54">
        <v>824.6</v>
      </c>
      <c r="J47" s="62">
        <v>16.492000000000001</v>
      </c>
      <c r="K47" s="63">
        <v>24.737999999999996</v>
      </c>
      <c r="L47" s="63">
        <v>329.84</v>
      </c>
      <c r="M47" s="101">
        <v>494.76</v>
      </c>
      <c r="N47" s="57">
        <v>22</v>
      </c>
      <c r="O47" s="58">
        <v>38.492000000000004</v>
      </c>
      <c r="P47" s="43">
        <v>440</v>
      </c>
      <c r="Q47" s="59">
        <v>769.84</v>
      </c>
      <c r="R47" s="43"/>
      <c r="S47" s="102">
        <v>329.84</v>
      </c>
      <c r="T47" s="103">
        <v>494.76</v>
      </c>
      <c r="U47" s="46"/>
    </row>
    <row r="48" spans="1:22" x14ac:dyDescent="0.25">
      <c r="A48" s="47">
        <v>37023</v>
      </c>
      <c r="B48" s="48">
        <v>8</v>
      </c>
      <c r="C48" s="49">
        <v>20</v>
      </c>
      <c r="D48" s="111">
        <v>22</v>
      </c>
      <c r="E48" s="51">
        <v>4.5</v>
      </c>
      <c r="F48" s="51">
        <v>4.5</v>
      </c>
      <c r="G48" s="52">
        <v>63.23</v>
      </c>
      <c r="H48" s="53">
        <v>41.23</v>
      </c>
      <c r="I48" s="54">
        <v>824.6</v>
      </c>
      <c r="J48" s="62">
        <v>16.492000000000001</v>
      </c>
      <c r="K48" s="63">
        <v>24.737999999999996</v>
      </c>
      <c r="L48" s="63">
        <v>329.84</v>
      </c>
      <c r="M48" s="101">
        <v>494.76</v>
      </c>
      <c r="N48" s="57">
        <v>22</v>
      </c>
      <c r="O48" s="58">
        <v>38.492000000000004</v>
      </c>
      <c r="P48" s="43">
        <v>440</v>
      </c>
      <c r="Q48" s="59">
        <v>769.84</v>
      </c>
      <c r="R48" s="43"/>
      <c r="S48" s="102">
        <v>329.84</v>
      </c>
      <c r="T48" s="103">
        <v>494.76</v>
      </c>
      <c r="U48" s="46"/>
    </row>
    <row r="49" spans="1:21" x14ac:dyDescent="0.25">
      <c r="A49" s="47">
        <v>37023</v>
      </c>
      <c r="B49" s="48">
        <v>9</v>
      </c>
      <c r="C49" s="49">
        <v>20</v>
      </c>
      <c r="D49" s="111">
        <v>22</v>
      </c>
      <c r="E49" s="51">
        <v>4.5</v>
      </c>
      <c r="F49" s="51">
        <v>4.5</v>
      </c>
      <c r="G49" s="52">
        <v>63.23</v>
      </c>
      <c r="H49" s="53">
        <v>41.23</v>
      </c>
      <c r="I49" s="54">
        <v>824.6</v>
      </c>
      <c r="J49" s="62">
        <v>16.492000000000001</v>
      </c>
      <c r="K49" s="63">
        <v>24.737999999999996</v>
      </c>
      <c r="L49" s="63">
        <v>329.84</v>
      </c>
      <c r="M49" s="101">
        <v>494.76</v>
      </c>
      <c r="N49" s="57">
        <v>22</v>
      </c>
      <c r="O49" s="58">
        <v>38.492000000000004</v>
      </c>
      <c r="P49" s="43">
        <v>440</v>
      </c>
      <c r="Q49" s="59">
        <v>769.84</v>
      </c>
      <c r="R49" s="43"/>
      <c r="S49" s="102">
        <v>329.84</v>
      </c>
      <c r="T49" s="103">
        <v>494.76</v>
      </c>
      <c r="U49" s="46"/>
    </row>
    <row r="50" spans="1:21" x14ac:dyDescent="0.25">
      <c r="A50" s="47">
        <v>37023</v>
      </c>
      <c r="B50" s="48">
        <v>10</v>
      </c>
      <c r="C50" s="49">
        <v>20</v>
      </c>
      <c r="D50" s="111">
        <v>26</v>
      </c>
      <c r="E50" s="51">
        <v>4.5</v>
      </c>
      <c r="F50" s="51">
        <v>4.5</v>
      </c>
      <c r="G50" s="52">
        <v>63.23</v>
      </c>
      <c r="H50" s="53">
        <v>37.229999999999997</v>
      </c>
      <c r="I50" s="54">
        <v>744.6</v>
      </c>
      <c r="J50" s="62">
        <v>14.891999999999999</v>
      </c>
      <c r="K50" s="63">
        <v>22.337999999999997</v>
      </c>
      <c r="L50" s="63">
        <v>297.83999999999997</v>
      </c>
      <c r="M50" s="101">
        <v>446.76</v>
      </c>
      <c r="N50" s="57">
        <v>26</v>
      </c>
      <c r="O50" s="58">
        <v>40.891999999999996</v>
      </c>
      <c r="P50" s="43">
        <v>520</v>
      </c>
      <c r="Q50" s="59">
        <v>817.84</v>
      </c>
      <c r="R50" s="43"/>
      <c r="S50" s="102">
        <v>297.83999999999997</v>
      </c>
      <c r="T50" s="103">
        <v>446.76</v>
      </c>
      <c r="U50" s="46"/>
    </row>
    <row r="51" spans="1:21" x14ac:dyDescent="0.25">
      <c r="A51" s="47">
        <v>37023</v>
      </c>
      <c r="B51" s="48">
        <v>11</v>
      </c>
      <c r="C51" s="49">
        <v>10</v>
      </c>
      <c r="D51" s="111">
        <v>27</v>
      </c>
      <c r="E51" s="51">
        <v>4.5</v>
      </c>
      <c r="F51" s="51">
        <v>4.5</v>
      </c>
      <c r="G51" s="52">
        <v>63.23</v>
      </c>
      <c r="H51" s="53">
        <v>36.229999999999997</v>
      </c>
      <c r="I51" s="54">
        <v>362.3</v>
      </c>
      <c r="J51" s="62">
        <v>14.491999999999999</v>
      </c>
      <c r="K51" s="63">
        <v>21.737999999999996</v>
      </c>
      <c r="L51" s="63">
        <v>144.91999999999999</v>
      </c>
      <c r="M51" s="101">
        <v>217.38</v>
      </c>
      <c r="N51" s="57">
        <v>27</v>
      </c>
      <c r="O51" s="58">
        <v>41.491999999999997</v>
      </c>
      <c r="P51" s="43">
        <v>270</v>
      </c>
      <c r="Q51" s="59">
        <v>414.92</v>
      </c>
      <c r="R51" s="43"/>
      <c r="S51" s="102">
        <v>144.91999999999999</v>
      </c>
      <c r="T51" s="103">
        <v>217.38</v>
      </c>
      <c r="U51" s="46"/>
    </row>
    <row r="52" spans="1:21" x14ac:dyDescent="0.25">
      <c r="A52" s="47">
        <v>37023</v>
      </c>
      <c r="B52" s="48">
        <v>12</v>
      </c>
      <c r="C52" s="49">
        <v>7</v>
      </c>
      <c r="D52" s="111">
        <v>28</v>
      </c>
      <c r="E52" s="51">
        <v>4.5</v>
      </c>
      <c r="F52" s="51">
        <v>4.5</v>
      </c>
      <c r="G52" s="52">
        <v>63.23</v>
      </c>
      <c r="H52" s="53">
        <v>35.229999999999997</v>
      </c>
      <c r="I52" s="54">
        <v>246.61</v>
      </c>
      <c r="J52" s="62">
        <v>14.091999999999999</v>
      </c>
      <c r="K52" s="63">
        <v>21.137999999999998</v>
      </c>
      <c r="L52" s="63">
        <v>98.643999999999991</v>
      </c>
      <c r="M52" s="101">
        <v>147.96599999999998</v>
      </c>
      <c r="N52" s="57">
        <v>28</v>
      </c>
      <c r="O52" s="58">
        <v>42.091999999999999</v>
      </c>
      <c r="P52" s="43">
        <v>196</v>
      </c>
      <c r="Q52" s="59">
        <v>294.64400000000001</v>
      </c>
      <c r="R52" s="43"/>
      <c r="S52" s="102">
        <v>98.643999999999991</v>
      </c>
      <c r="T52" s="103">
        <v>147.96599999999998</v>
      </c>
      <c r="U52" s="46"/>
    </row>
    <row r="53" spans="1:21" x14ac:dyDescent="0.25">
      <c r="A53" s="47">
        <v>37023</v>
      </c>
      <c r="B53" s="48">
        <v>13</v>
      </c>
      <c r="C53" s="49">
        <v>5</v>
      </c>
      <c r="D53" s="111">
        <v>30</v>
      </c>
      <c r="E53" s="51">
        <v>4.5</v>
      </c>
      <c r="F53" s="51">
        <v>4.5</v>
      </c>
      <c r="G53" s="52">
        <v>63.23</v>
      </c>
      <c r="H53" s="53">
        <v>33.229999999999997</v>
      </c>
      <c r="I53" s="54">
        <v>166.15</v>
      </c>
      <c r="J53" s="62">
        <v>13.292</v>
      </c>
      <c r="K53" s="63">
        <v>19.937999999999999</v>
      </c>
      <c r="L53" s="63">
        <v>66.459999999999994</v>
      </c>
      <c r="M53" s="101">
        <v>99.69</v>
      </c>
      <c r="N53" s="57">
        <v>30</v>
      </c>
      <c r="O53" s="58">
        <v>43.292000000000002</v>
      </c>
      <c r="P53" s="43">
        <v>150</v>
      </c>
      <c r="Q53" s="59">
        <v>216.46</v>
      </c>
      <c r="R53" s="43"/>
      <c r="S53" s="102">
        <v>66.459999999999994</v>
      </c>
      <c r="T53" s="103">
        <v>99.69</v>
      </c>
      <c r="U53" s="46"/>
    </row>
    <row r="54" spans="1:21" x14ac:dyDescent="0.25">
      <c r="A54" s="47">
        <v>37023</v>
      </c>
      <c r="B54" s="48">
        <v>14</v>
      </c>
      <c r="C54" s="49">
        <v>10</v>
      </c>
      <c r="D54" s="111">
        <v>40</v>
      </c>
      <c r="E54" s="51">
        <v>4.5</v>
      </c>
      <c r="F54" s="51">
        <v>4.5</v>
      </c>
      <c r="G54" s="52">
        <v>63.23</v>
      </c>
      <c r="H54" s="53">
        <v>23.23</v>
      </c>
      <c r="I54" s="54">
        <v>232.3</v>
      </c>
      <c r="J54" s="62">
        <v>9.2919999999999998</v>
      </c>
      <c r="K54" s="63">
        <v>13.937999999999997</v>
      </c>
      <c r="L54" s="63">
        <v>92.92</v>
      </c>
      <c r="M54" s="101">
        <v>139.38</v>
      </c>
      <c r="N54" s="57">
        <v>40</v>
      </c>
      <c r="O54" s="58">
        <v>49.292000000000002</v>
      </c>
      <c r="P54" s="43">
        <v>400</v>
      </c>
      <c r="Q54" s="59">
        <v>492.92</v>
      </c>
      <c r="R54" s="43"/>
      <c r="S54" s="102">
        <v>92.92</v>
      </c>
      <c r="T54" s="103">
        <v>139.38</v>
      </c>
      <c r="U54" s="46"/>
    </row>
    <row r="55" spans="1:21" x14ac:dyDescent="0.25">
      <c r="A55" s="47">
        <v>37023</v>
      </c>
      <c r="B55" s="48">
        <v>15</v>
      </c>
      <c r="C55" s="49">
        <v>13</v>
      </c>
      <c r="D55" s="111">
        <v>38</v>
      </c>
      <c r="E55" s="51">
        <v>4.5</v>
      </c>
      <c r="F55" s="51">
        <v>4.5</v>
      </c>
      <c r="G55" s="52">
        <v>63.23</v>
      </c>
      <c r="H55" s="53">
        <v>25.23</v>
      </c>
      <c r="I55" s="54">
        <v>327.99</v>
      </c>
      <c r="J55" s="62">
        <v>10.091999999999999</v>
      </c>
      <c r="K55" s="63">
        <v>15.137999999999998</v>
      </c>
      <c r="L55" s="63">
        <v>131.19599999999997</v>
      </c>
      <c r="M55" s="101">
        <v>196.79399999999998</v>
      </c>
      <c r="N55" s="57">
        <v>38</v>
      </c>
      <c r="O55" s="58"/>
      <c r="P55" s="43">
        <v>494</v>
      </c>
      <c r="Q55" s="59">
        <v>0</v>
      </c>
      <c r="R55" s="43"/>
      <c r="S55" s="102">
        <v>131.19599999999997</v>
      </c>
      <c r="T55" s="103">
        <v>196.79399999999998</v>
      </c>
      <c r="U55" s="46"/>
    </row>
    <row r="56" spans="1:21" x14ac:dyDescent="0.25">
      <c r="A56" s="47">
        <v>37023</v>
      </c>
      <c r="B56" s="48">
        <v>16</v>
      </c>
      <c r="C56" s="49">
        <v>13</v>
      </c>
      <c r="D56" s="111">
        <v>35</v>
      </c>
      <c r="E56" s="51">
        <v>4.5</v>
      </c>
      <c r="F56" s="51">
        <v>4.5</v>
      </c>
      <c r="G56" s="52">
        <v>63.23</v>
      </c>
      <c r="H56" s="53">
        <v>28.23</v>
      </c>
      <c r="I56" s="54">
        <v>366.99</v>
      </c>
      <c r="J56" s="62">
        <v>11.292</v>
      </c>
      <c r="K56" s="63">
        <v>16.937999999999999</v>
      </c>
      <c r="L56" s="63">
        <v>146.79599999999999</v>
      </c>
      <c r="M56" s="101">
        <v>220.19399999999999</v>
      </c>
      <c r="N56" s="57">
        <v>35</v>
      </c>
      <c r="O56" s="58"/>
      <c r="P56" s="43">
        <v>455</v>
      </c>
      <c r="Q56" s="59">
        <v>0</v>
      </c>
      <c r="R56" s="43"/>
      <c r="S56" s="102">
        <v>146.79599999999999</v>
      </c>
      <c r="T56" s="103">
        <v>220.19399999999999</v>
      </c>
      <c r="U56" s="46"/>
    </row>
    <row r="57" spans="1:21" x14ac:dyDescent="0.25">
      <c r="A57" s="47">
        <v>37023</v>
      </c>
      <c r="B57" s="48">
        <v>17</v>
      </c>
      <c r="C57" s="49">
        <v>13</v>
      </c>
      <c r="D57" s="111">
        <v>35</v>
      </c>
      <c r="E57" s="51">
        <v>4.5</v>
      </c>
      <c r="F57" s="51">
        <v>4.5</v>
      </c>
      <c r="G57" s="52">
        <v>63.23</v>
      </c>
      <c r="H57" s="53">
        <v>28.23</v>
      </c>
      <c r="I57" s="54">
        <v>366.99</v>
      </c>
      <c r="J57" s="62">
        <v>11.292</v>
      </c>
      <c r="K57" s="63">
        <v>16.937999999999999</v>
      </c>
      <c r="L57" s="63">
        <v>146.79599999999999</v>
      </c>
      <c r="M57" s="101">
        <v>220.19399999999999</v>
      </c>
      <c r="N57" s="57">
        <v>35</v>
      </c>
      <c r="O57" s="58"/>
      <c r="P57" s="43">
        <v>455</v>
      </c>
      <c r="Q57" s="59">
        <v>0</v>
      </c>
      <c r="R57" s="43"/>
      <c r="S57" s="102">
        <v>146.79599999999999</v>
      </c>
      <c r="T57" s="103">
        <v>220.19399999999999</v>
      </c>
      <c r="U57" s="46"/>
    </row>
    <row r="58" spans="1:21" x14ac:dyDescent="0.25">
      <c r="A58" s="47">
        <v>37023</v>
      </c>
      <c r="B58" s="48">
        <v>18</v>
      </c>
      <c r="C58" s="49">
        <v>13</v>
      </c>
      <c r="D58" s="111">
        <v>35</v>
      </c>
      <c r="E58" s="51">
        <v>4.5</v>
      </c>
      <c r="F58" s="51">
        <v>4.5</v>
      </c>
      <c r="G58" s="52">
        <v>63.23</v>
      </c>
      <c r="H58" s="53">
        <v>28.23</v>
      </c>
      <c r="I58" s="54">
        <v>366.99</v>
      </c>
      <c r="J58" s="62">
        <v>11.292</v>
      </c>
      <c r="K58" s="63">
        <v>16.937999999999999</v>
      </c>
      <c r="L58" s="63">
        <v>146.79599999999999</v>
      </c>
      <c r="M58" s="101">
        <v>220.19399999999999</v>
      </c>
      <c r="N58" s="57">
        <v>35</v>
      </c>
      <c r="O58" s="58">
        <v>46.292000000000002</v>
      </c>
      <c r="P58" s="43">
        <v>455</v>
      </c>
      <c r="Q58" s="59">
        <v>601.79600000000005</v>
      </c>
      <c r="R58" s="43"/>
      <c r="S58" s="102">
        <v>146.79599999999999</v>
      </c>
      <c r="T58" s="103">
        <v>220.19399999999999</v>
      </c>
      <c r="U58" s="46"/>
    </row>
    <row r="59" spans="1:21" x14ac:dyDescent="0.25">
      <c r="A59" s="47">
        <v>37023</v>
      </c>
      <c r="B59" s="48">
        <v>19</v>
      </c>
      <c r="C59" s="49">
        <v>13</v>
      </c>
      <c r="D59" s="111">
        <v>35</v>
      </c>
      <c r="E59" s="51">
        <v>4.5</v>
      </c>
      <c r="F59" s="51">
        <v>4.5</v>
      </c>
      <c r="G59" s="52">
        <v>63.23</v>
      </c>
      <c r="H59" s="53">
        <v>28.23</v>
      </c>
      <c r="I59" s="54">
        <v>366.99</v>
      </c>
      <c r="J59" s="62">
        <v>11.292</v>
      </c>
      <c r="K59" s="63">
        <v>16.937999999999999</v>
      </c>
      <c r="L59" s="63">
        <v>146.79599999999999</v>
      </c>
      <c r="M59" s="101">
        <v>220.19399999999999</v>
      </c>
      <c r="N59" s="57">
        <v>35</v>
      </c>
      <c r="O59" s="58">
        <v>46.292000000000002</v>
      </c>
      <c r="P59" s="43">
        <v>455</v>
      </c>
      <c r="Q59" s="59">
        <v>601.79600000000005</v>
      </c>
      <c r="R59" s="43"/>
      <c r="S59" s="102">
        <v>146.79599999999999</v>
      </c>
      <c r="T59" s="103">
        <v>220.19399999999999</v>
      </c>
      <c r="U59" s="46"/>
    </row>
    <row r="60" spans="1:21" x14ac:dyDescent="0.25">
      <c r="A60" s="47">
        <v>37023</v>
      </c>
      <c r="B60" s="48">
        <v>20</v>
      </c>
      <c r="C60" s="49">
        <v>10</v>
      </c>
      <c r="D60" s="111">
        <v>30</v>
      </c>
      <c r="E60" s="51">
        <v>4.5</v>
      </c>
      <c r="F60" s="51">
        <v>4.5</v>
      </c>
      <c r="G60" s="52">
        <v>63.23</v>
      </c>
      <c r="H60" s="53">
        <v>33.229999999999997</v>
      </c>
      <c r="I60" s="54">
        <v>332.3</v>
      </c>
      <c r="J60" s="62">
        <v>13.292</v>
      </c>
      <c r="K60" s="63">
        <v>19.937999999999999</v>
      </c>
      <c r="L60" s="63">
        <v>132.91999999999999</v>
      </c>
      <c r="M60" s="101">
        <v>199.38</v>
      </c>
      <c r="N60" s="57">
        <v>30</v>
      </c>
      <c r="O60" s="58">
        <v>43.292000000000002</v>
      </c>
      <c r="P60" s="43">
        <v>300</v>
      </c>
      <c r="Q60" s="59">
        <v>432.92</v>
      </c>
      <c r="R60" s="43"/>
      <c r="S60" s="102">
        <v>132.91999999999999</v>
      </c>
      <c r="T60" s="103">
        <v>199.38</v>
      </c>
      <c r="U60" s="46"/>
    </row>
    <row r="61" spans="1:21" x14ac:dyDescent="0.25">
      <c r="A61" s="47">
        <v>37023</v>
      </c>
      <c r="B61" s="48">
        <v>21</v>
      </c>
      <c r="C61" s="49">
        <v>5</v>
      </c>
      <c r="D61" s="111">
        <v>30</v>
      </c>
      <c r="E61" s="51">
        <v>4.5</v>
      </c>
      <c r="F61" s="51">
        <v>4.5</v>
      </c>
      <c r="G61" s="52">
        <v>63.23</v>
      </c>
      <c r="H61" s="53">
        <v>33.229999999999997</v>
      </c>
      <c r="I61" s="54">
        <v>166.15</v>
      </c>
      <c r="J61" s="62">
        <v>13.292</v>
      </c>
      <c r="K61" s="63">
        <v>19.937999999999999</v>
      </c>
      <c r="L61" s="63">
        <v>66.459999999999994</v>
      </c>
      <c r="M61" s="101">
        <v>99.69</v>
      </c>
      <c r="N61" s="57">
        <v>30</v>
      </c>
      <c r="O61" s="58">
        <v>43.292000000000002</v>
      </c>
      <c r="P61" s="43">
        <v>150</v>
      </c>
      <c r="Q61" s="59">
        <v>216.46</v>
      </c>
      <c r="R61" s="43"/>
      <c r="S61" s="102">
        <v>66.459999999999994</v>
      </c>
      <c r="T61" s="103">
        <v>99.69</v>
      </c>
      <c r="U61" s="46"/>
    </row>
    <row r="62" spans="1:21" x14ac:dyDescent="0.25">
      <c r="A62" s="47">
        <v>37023</v>
      </c>
      <c r="B62" s="48">
        <v>22</v>
      </c>
      <c r="C62" s="49">
        <v>7</v>
      </c>
      <c r="D62" s="111">
        <v>24</v>
      </c>
      <c r="E62" s="51">
        <v>4.5</v>
      </c>
      <c r="F62" s="51">
        <v>4.5</v>
      </c>
      <c r="G62" s="52">
        <v>63.23</v>
      </c>
      <c r="H62" s="53">
        <v>39.229999999999997</v>
      </c>
      <c r="I62" s="54">
        <v>274.61</v>
      </c>
      <c r="J62" s="62">
        <v>15.692</v>
      </c>
      <c r="K62" s="63">
        <v>23.537999999999997</v>
      </c>
      <c r="L62" s="63">
        <v>109.84399999999999</v>
      </c>
      <c r="M62" s="101">
        <v>164.76599999999996</v>
      </c>
      <c r="N62" s="57">
        <v>24</v>
      </c>
      <c r="O62" s="58">
        <v>39.692</v>
      </c>
      <c r="P62" s="43">
        <v>168</v>
      </c>
      <c r="Q62" s="59">
        <v>277.84399999999999</v>
      </c>
      <c r="R62" s="43"/>
      <c r="S62" s="102">
        <v>109.84399999999999</v>
      </c>
      <c r="T62" s="103">
        <v>164.76599999999996</v>
      </c>
      <c r="U62" s="46"/>
    </row>
    <row r="63" spans="1:21" x14ac:dyDescent="0.25">
      <c r="A63" s="47">
        <v>37023</v>
      </c>
      <c r="B63" s="48">
        <v>23</v>
      </c>
      <c r="C63" s="49">
        <v>9</v>
      </c>
      <c r="D63" s="111">
        <v>22</v>
      </c>
      <c r="E63" s="51">
        <v>4.5</v>
      </c>
      <c r="F63" s="51">
        <v>4.5</v>
      </c>
      <c r="G63" s="52">
        <v>63.23</v>
      </c>
      <c r="H63" s="53">
        <v>41.23</v>
      </c>
      <c r="I63" s="54">
        <v>371.07</v>
      </c>
      <c r="J63" s="62">
        <v>1</v>
      </c>
      <c r="K63" s="43">
        <v>40.229999999999997</v>
      </c>
      <c r="L63" s="43">
        <v>9</v>
      </c>
      <c r="M63" s="101">
        <v>362.07</v>
      </c>
      <c r="N63" s="57">
        <v>22</v>
      </c>
      <c r="O63" s="58">
        <v>23</v>
      </c>
      <c r="P63" s="43">
        <v>198</v>
      </c>
      <c r="Q63" s="59">
        <v>207</v>
      </c>
      <c r="R63" s="43"/>
      <c r="S63" s="102">
        <v>9</v>
      </c>
      <c r="T63" s="103">
        <v>362.07</v>
      </c>
      <c r="U63" s="46"/>
    </row>
    <row r="64" spans="1:21" x14ac:dyDescent="0.25">
      <c r="A64" s="65">
        <v>37023</v>
      </c>
      <c r="B64" s="66">
        <v>24</v>
      </c>
      <c r="C64" s="67">
        <v>27</v>
      </c>
      <c r="D64" s="112">
        <v>21</v>
      </c>
      <c r="E64" s="69">
        <v>4.5</v>
      </c>
      <c r="F64" s="69">
        <v>4.5</v>
      </c>
      <c r="G64" s="70">
        <v>63.23</v>
      </c>
      <c r="H64" s="71">
        <v>42.23</v>
      </c>
      <c r="I64" s="72">
        <v>1140.21</v>
      </c>
      <c r="J64" s="105">
        <v>1</v>
      </c>
      <c r="K64" s="74">
        <v>41.23</v>
      </c>
      <c r="L64" s="74">
        <v>27</v>
      </c>
      <c r="M64" s="106">
        <v>1113.21</v>
      </c>
      <c r="N64" s="76">
        <v>21</v>
      </c>
      <c r="O64" s="77">
        <v>22</v>
      </c>
      <c r="P64" s="74">
        <v>567</v>
      </c>
      <c r="Q64" s="78">
        <v>594</v>
      </c>
      <c r="R64" s="43"/>
      <c r="S64" s="107">
        <v>27</v>
      </c>
      <c r="T64" s="108">
        <v>1113.21</v>
      </c>
      <c r="U64" s="46"/>
    </row>
    <row r="65" spans="2:20" x14ac:dyDescent="0.25">
      <c r="D65"/>
      <c r="N65"/>
      <c r="P65"/>
      <c r="R65"/>
      <c r="T65"/>
    </row>
    <row r="66" spans="2:20" x14ac:dyDescent="0.25">
      <c r="Q66" s="82">
        <v>10261.120000000001</v>
      </c>
      <c r="R66"/>
      <c r="T66"/>
    </row>
    <row r="67" spans="2:20" x14ac:dyDescent="0.25">
      <c r="D67"/>
      <c r="N67"/>
      <c r="P67"/>
      <c r="R67"/>
      <c r="T67"/>
    </row>
    <row r="68" spans="2:20" ht="12.75" hidden="1" customHeight="1" x14ac:dyDescent="0.25">
      <c r="B68" t="s">
        <v>33</v>
      </c>
      <c r="C68">
        <v>265</v>
      </c>
      <c r="R68"/>
      <c r="T68"/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2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workbookViewId="0">
      <selection activeCell="E18" sqref="E18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3.109375" customWidth="1"/>
    <col min="4" max="4" width="24" style="93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93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88">
        <v>37024</v>
      </c>
      <c r="D2" s="4"/>
    </row>
    <row r="3" spans="1:22" s="5" customFormat="1" x14ac:dyDescent="0.25">
      <c r="C3" s="89">
        <v>37024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v>37024</v>
      </c>
      <c r="B7" s="30">
        <v>1</v>
      </c>
      <c r="C7" s="31">
        <v>0</v>
      </c>
      <c r="D7" s="95">
        <v>0</v>
      </c>
      <c r="E7" s="33">
        <v>4.5</v>
      </c>
      <c r="F7" s="33">
        <v>4.5</v>
      </c>
      <c r="G7" s="34">
        <v>63.07</v>
      </c>
      <c r="H7" s="35" t="s">
        <v>36</v>
      </c>
      <c r="I7" s="36" t="s">
        <v>36</v>
      </c>
      <c r="J7" s="96" t="s">
        <v>36</v>
      </c>
      <c r="K7" s="38" t="s">
        <v>36</v>
      </c>
      <c r="L7" s="38" t="s">
        <v>36</v>
      </c>
      <c r="M7" s="97" t="s">
        <v>36</v>
      </c>
      <c r="N7" s="40" t="s">
        <v>36</v>
      </c>
      <c r="O7" s="41" t="s">
        <v>36</v>
      </c>
      <c r="P7" s="38" t="s">
        <v>36</v>
      </c>
      <c r="Q7" s="42" t="s">
        <v>36</v>
      </c>
      <c r="R7" s="43"/>
      <c r="S7" s="98" t="s">
        <v>36</v>
      </c>
      <c r="T7" s="99" t="s">
        <v>36</v>
      </c>
      <c r="U7" s="46"/>
    </row>
    <row r="8" spans="1:22" x14ac:dyDescent="0.25">
      <c r="A8" s="47">
        <v>37024</v>
      </c>
      <c r="B8" s="48">
        <v>2</v>
      </c>
      <c r="C8" s="49">
        <v>0</v>
      </c>
      <c r="D8" s="100">
        <v>0</v>
      </c>
      <c r="E8" s="51">
        <v>4.5</v>
      </c>
      <c r="F8" s="51">
        <v>4.5</v>
      </c>
      <c r="G8" s="52">
        <v>63.07</v>
      </c>
      <c r="H8" s="53" t="s">
        <v>36</v>
      </c>
      <c r="I8" s="54" t="s">
        <v>36</v>
      </c>
      <c r="J8" s="62" t="s">
        <v>36</v>
      </c>
      <c r="K8" s="43" t="s">
        <v>36</v>
      </c>
      <c r="L8" s="43" t="s">
        <v>36</v>
      </c>
      <c r="M8" s="101" t="s">
        <v>36</v>
      </c>
      <c r="N8" s="57" t="s">
        <v>36</v>
      </c>
      <c r="O8" s="58" t="s">
        <v>36</v>
      </c>
      <c r="P8" s="43" t="s">
        <v>36</v>
      </c>
      <c r="Q8" s="59" t="s">
        <v>36</v>
      </c>
      <c r="R8" s="43"/>
      <c r="S8" s="102" t="s">
        <v>36</v>
      </c>
      <c r="T8" s="103" t="s">
        <v>36</v>
      </c>
      <c r="U8" s="46"/>
    </row>
    <row r="9" spans="1:22" x14ac:dyDescent="0.25">
      <c r="A9" s="47">
        <v>37024</v>
      </c>
      <c r="B9" s="48">
        <v>3</v>
      </c>
      <c r="C9" s="49">
        <v>0</v>
      </c>
      <c r="D9" s="100">
        <v>0</v>
      </c>
      <c r="E9" s="51">
        <v>4.5</v>
      </c>
      <c r="F9" s="51">
        <v>4.5</v>
      </c>
      <c r="G9" s="52">
        <v>63.07</v>
      </c>
      <c r="H9" s="53" t="s">
        <v>36</v>
      </c>
      <c r="I9" s="54" t="s">
        <v>36</v>
      </c>
      <c r="J9" s="62" t="s">
        <v>36</v>
      </c>
      <c r="K9" s="43" t="s">
        <v>36</v>
      </c>
      <c r="L9" s="43" t="s">
        <v>36</v>
      </c>
      <c r="M9" s="101" t="s">
        <v>36</v>
      </c>
      <c r="N9" s="57" t="s">
        <v>36</v>
      </c>
      <c r="O9" s="58" t="s">
        <v>36</v>
      </c>
      <c r="P9" s="43" t="s">
        <v>36</v>
      </c>
      <c r="Q9" s="59" t="s">
        <v>36</v>
      </c>
      <c r="R9" s="43"/>
      <c r="S9" s="102" t="s">
        <v>36</v>
      </c>
      <c r="T9" s="103" t="s">
        <v>36</v>
      </c>
      <c r="U9" s="46"/>
    </row>
    <row r="10" spans="1:22" x14ac:dyDescent="0.25">
      <c r="A10" s="47">
        <v>37024</v>
      </c>
      <c r="B10" s="48">
        <v>4</v>
      </c>
      <c r="C10" s="49">
        <v>0</v>
      </c>
      <c r="D10" s="100">
        <v>0</v>
      </c>
      <c r="E10" s="51">
        <v>4.5</v>
      </c>
      <c r="F10" s="51">
        <v>4.5</v>
      </c>
      <c r="G10" s="52">
        <v>63.07</v>
      </c>
      <c r="H10" s="53" t="s">
        <v>36</v>
      </c>
      <c r="I10" s="54" t="s">
        <v>36</v>
      </c>
      <c r="J10" s="62" t="s">
        <v>36</v>
      </c>
      <c r="K10" s="43" t="s">
        <v>36</v>
      </c>
      <c r="L10" s="43" t="s">
        <v>36</v>
      </c>
      <c r="M10" s="101" t="s">
        <v>36</v>
      </c>
      <c r="N10" s="57" t="s">
        <v>36</v>
      </c>
      <c r="O10" s="58" t="s">
        <v>36</v>
      </c>
      <c r="P10" s="43" t="s">
        <v>36</v>
      </c>
      <c r="Q10" s="59" t="s">
        <v>36</v>
      </c>
      <c r="R10" s="43"/>
      <c r="S10" s="102" t="s">
        <v>36</v>
      </c>
      <c r="T10" s="103" t="s">
        <v>36</v>
      </c>
      <c r="U10" s="46"/>
    </row>
    <row r="11" spans="1:22" x14ac:dyDescent="0.25">
      <c r="A11" s="47">
        <v>37024</v>
      </c>
      <c r="B11" s="48">
        <v>5</v>
      </c>
      <c r="C11" s="49">
        <v>0</v>
      </c>
      <c r="D11" s="100">
        <v>0</v>
      </c>
      <c r="E11" s="51">
        <v>4.5</v>
      </c>
      <c r="F11" s="51">
        <v>4.5</v>
      </c>
      <c r="G11" s="52">
        <v>63.07</v>
      </c>
      <c r="H11" s="53" t="s">
        <v>36</v>
      </c>
      <c r="I11" s="54" t="s">
        <v>36</v>
      </c>
      <c r="J11" s="62" t="s">
        <v>36</v>
      </c>
      <c r="K11" s="43" t="s">
        <v>36</v>
      </c>
      <c r="L11" s="43" t="s">
        <v>36</v>
      </c>
      <c r="M11" s="101" t="s">
        <v>36</v>
      </c>
      <c r="N11" s="57" t="s">
        <v>36</v>
      </c>
      <c r="O11" s="58" t="s">
        <v>36</v>
      </c>
      <c r="P11" s="43" t="s">
        <v>36</v>
      </c>
      <c r="Q11" s="59" t="s">
        <v>36</v>
      </c>
      <c r="R11" s="43"/>
      <c r="S11" s="102" t="s">
        <v>36</v>
      </c>
      <c r="T11" s="103" t="s">
        <v>36</v>
      </c>
      <c r="U11" s="46"/>
    </row>
    <row r="12" spans="1:22" x14ac:dyDescent="0.25">
      <c r="A12" s="47">
        <v>37024</v>
      </c>
      <c r="B12" s="48">
        <v>6</v>
      </c>
      <c r="C12" s="49">
        <v>0</v>
      </c>
      <c r="D12" s="100">
        <v>0</v>
      </c>
      <c r="E12" s="51">
        <v>4.5</v>
      </c>
      <c r="F12" s="51">
        <v>4.5</v>
      </c>
      <c r="G12" s="52">
        <v>63.07</v>
      </c>
      <c r="H12" s="53" t="s">
        <v>36</v>
      </c>
      <c r="I12" s="54" t="s">
        <v>36</v>
      </c>
      <c r="J12" s="62" t="s">
        <v>36</v>
      </c>
      <c r="K12" s="43" t="s">
        <v>36</v>
      </c>
      <c r="L12" s="43" t="s">
        <v>36</v>
      </c>
      <c r="M12" s="101" t="s">
        <v>36</v>
      </c>
      <c r="N12" s="57" t="s">
        <v>36</v>
      </c>
      <c r="O12" s="58" t="s">
        <v>36</v>
      </c>
      <c r="P12" s="43" t="s">
        <v>36</v>
      </c>
      <c r="Q12" s="59" t="s">
        <v>36</v>
      </c>
      <c r="R12" s="43"/>
      <c r="S12" s="102" t="s">
        <v>36</v>
      </c>
      <c r="T12" s="103" t="s">
        <v>36</v>
      </c>
      <c r="U12" s="46"/>
    </row>
    <row r="13" spans="1:22" x14ac:dyDescent="0.25">
      <c r="A13" s="47">
        <v>37024</v>
      </c>
      <c r="B13" s="48">
        <v>7</v>
      </c>
      <c r="C13" s="49">
        <v>0</v>
      </c>
      <c r="D13" s="100">
        <v>0</v>
      </c>
      <c r="E13" s="51">
        <v>4.5</v>
      </c>
      <c r="F13" s="51">
        <v>4.5</v>
      </c>
      <c r="G13" s="52">
        <v>63.07</v>
      </c>
      <c r="H13" s="53" t="s">
        <v>36</v>
      </c>
      <c r="I13" s="54" t="s">
        <v>36</v>
      </c>
      <c r="J13" s="62" t="s">
        <v>36</v>
      </c>
      <c r="K13" s="63" t="s">
        <v>36</v>
      </c>
      <c r="L13" s="63" t="s">
        <v>36</v>
      </c>
      <c r="M13" s="101" t="s">
        <v>36</v>
      </c>
      <c r="N13" s="57" t="s">
        <v>36</v>
      </c>
      <c r="O13" s="58" t="s">
        <v>36</v>
      </c>
      <c r="P13" s="43" t="s">
        <v>36</v>
      </c>
      <c r="Q13" s="59" t="s">
        <v>36</v>
      </c>
      <c r="R13" s="43"/>
      <c r="S13" s="102" t="s">
        <v>36</v>
      </c>
      <c r="T13" s="103" t="s">
        <v>36</v>
      </c>
      <c r="U13" s="46"/>
    </row>
    <row r="14" spans="1:22" x14ac:dyDescent="0.25">
      <c r="A14" s="47">
        <v>37024</v>
      </c>
      <c r="B14" s="48">
        <v>8</v>
      </c>
      <c r="C14" s="49">
        <v>0</v>
      </c>
      <c r="D14" s="100">
        <v>0</v>
      </c>
      <c r="E14" s="51">
        <v>4.5</v>
      </c>
      <c r="F14" s="51">
        <v>4.5</v>
      </c>
      <c r="G14" s="52">
        <v>63.07</v>
      </c>
      <c r="H14" s="53" t="s">
        <v>36</v>
      </c>
      <c r="I14" s="54" t="s">
        <v>36</v>
      </c>
      <c r="J14" s="62" t="s">
        <v>36</v>
      </c>
      <c r="K14" s="63" t="s">
        <v>36</v>
      </c>
      <c r="L14" s="63" t="s">
        <v>36</v>
      </c>
      <c r="M14" s="101" t="s">
        <v>36</v>
      </c>
      <c r="N14" s="57" t="s">
        <v>36</v>
      </c>
      <c r="O14" s="58" t="s">
        <v>36</v>
      </c>
      <c r="P14" s="43" t="s">
        <v>36</v>
      </c>
      <c r="Q14" s="59" t="s">
        <v>36</v>
      </c>
      <c r="R14" s="43"/>
      <c r="S14" s="102" t="s">
        <v>36</v>
      </c>
      <c r="T14" s="103" t="s">
        <v>36</v>
      </c>
      <c r="U14" s="46"/>
    </row>
    <row r="15" spans="1:22" x14ac:dyDescent="0.25">
      <c r="A15" s="47">
        <v>37024</v>
      </c>
      <c r="B15" s="48">
        <v>9</v>
      </c>
      <c r="C15" s="49">
        <v>0</v>
      </c>
      <c r="D15" s="100">
        <v>0</v>
      </c>
      <c r="E15" s="51">
        <v>4.5</v>
      </c>
      <c r="F15" s="51">
        <v>4.5</v>
      </c>
      <c r="G15" s="52">
        <v>63.07</v>
      </c>
      <c r="H15" s="53" t="s">
        <v>36</v>
      </c>
      <c r="I15" s="54" t="s">
        <v>36</v>
      </c>
      <c r="J15" s="62" t="s">
        <v>36</v>
      </c>
      <c r="K15" s="63" t="s">
        <v>36</v>
      </c>
      <c r="L15" s="63" t="s">
        <v>36</v>
      </c>
      <c r="M15" s="101" t="s">
        <v>36</v>
      </c>
      <c r="N15" s="57" t="s">
        <v>36</v>
      </c>
      <c r="O15" s="58" t="s">
        <v>36</v>
      </c>
      <c r="P15" s="43" t="s">
        <v>36</v>
      </c>
      <c r="Q15" s="59" t="s">
        <v>36</v>
      </c>
      <c r="R15" s="43"/>
      <c r="S15" s="102" t="s">
        <v>36</v>
      </c>
      <c r="T15" s="103" t="s">
        <v>36</v>
      </c>
      <c r="U15" s="46"/>
    </row>
    <row r="16" spans="1:22" x14ac:dyDescent="0.25">
      <c r="A16" s="47">
        <v>37024</v>
      </c>
      <c r="B16" s="48">
        <v>10</v>
      </c>
      <c r="C16" s="49">
        <v>0</v>
      </c>
      <c r="D16" s="100">
        <v>0</v>
      </c>
      <c r="E16" s="51">
        <v>4.5</v>
      </c>
      <c r="F16" s="51">
        <v>4.5</v>
      </c>
      <c r="G16" s="52">
        <v>63.07</v>
      </c>
      <c r="H16" s="53" t="s">
        <v>36</v>
      </c>
      <c r="I16" s="54" t="s">
        <v>36</v>
      </c>
      <c r="J16" s="62" t="s">
        <v>36</v>
      </c>
      <c r="K16" s="63" t="s">
        <v>36</v>
      </c>
      <c r="L16" s="63" t="s">
        <v>36</v>
      </c>
      <c r="M16" s="101" t="s">
        <v>36</v>
      </c>
      <c r="N16" s="57" t="s">
        <v>36</v>
      </c>
      <c r="O16" s="58" t="s">
        <v>36</v>
      </c>
      <c r="P16" s="43" t="s">
        <v>36</v>
      </c>
      <c r="Q16" s="59" t="s">
        <v>36</v>
      </c>
      <c r="R16" s="43"/>
      <c r="S16" s="102" t="s">
        <v>36</v>
      </c>
      <c r="T16" s="103" t="s">
        <v>36</v>
      </c>
      <c r="U16" s="46"/>
    </row>
    <row r="17" spans="1:21" x14ac:dyDescent="0.25">
      <c r="A17" s="47">
        <v>37024</v>
      </c>
      <c r="B17" s="48">
        <v>11</v>
      </c>
      <c r="C17" s="49">
        <v>0</v>
      </c>
      <c r="D17" s="100">
        <v>0</v>
      </c>
      <c r="E17" s="51">
        <v>4.5</v>
      </c>
      <c r="F17" s="51">
        <v>4.5</v>
      </c>
      <c r="G17" s="52">
        <v>63.07</v>
      </c>
      <c r="H17" s="53" t="s">
        <v>36</v>
      </c>
      <c r="I17" s="54" t="s">
        <v>36</v>
      </c>
      <c r="J17" s="62" t="s">
        <v>36</v>
      </c>
      <c r="K17" s="63" t="s">
        <v>36</v>
      </c>
      <c r="L17" s="63" t="s">
        <v>36</v>
      </c>
      <c r="M17" s="101" t="s">
        <v>36</v>
      </c>
      <c r="N17" s="57" t="s">
        <v>36</v>
      </c>
      <c r="O17" s="58" t="s">
        <v>36</v>
      </c>
      <c r="P17" s="43" t="s">
        <v>36</v>
      </c>
      <c r="Q17" s="59" t="s">
        <v>36</v>
      </c>
      <c r="R17" s="43"/>
      <c r="S17" s="102" t="s">
        <v>36</v>
      </c>
      <c r="T17" s="103" t="s">
        <v>36</v>
      </c>
      <c r="U17" s="46"/>
    </row>
    <row r="18" spans="1:21" x14ac:dyDescent="0.25">
      <c r="A18" s="47">
        <v>37024</v>
      </c>
      <c r="B18" s="48">
        <v>12</v>
      </c>
      <c r="C18" s="49">
        <v>20</v>
      </c>
      <c r="D18" s="100">
        <v>38.75</v>
      </c>
      <c r="E18" s="51">
        <v>4.5</v>
      </c>
      <c r="F18" s="51">
        <v>4.5</v>
      </c>
      <c r="G18" s="52">
        <v>63.07</v>
      </c>
      <c r="H18" s="53">
        <v>24.32</v>
      </c>
      <c r="I18" s="54">
        <v>486.4</v>
      </c>
      <c r="J18" s="62">
        <v>9.7280000000000015</v>
      </c>
      <c r="K18" s="63">
        <v>14.591999999999999</v>
      </c>
      <c r="L18" s="63">
        <v>194.56</v>
      </c>
      <c r="M18" s="101">
        <v>291.83999999999997</v>
      </c>
      <c r="N18" s="57">
        <v>38.75</v>
      </c>
      <c r="O18" s="58">
        <v>48.478000000000002</v>
      </c>
      <c r="P18" s="43">
        <v>775</v>
      </c>
      <c r="Q18" s="59">
        <v>969.56</v>
      </c>
      <c r="R18" s="43"/>
      <c r="S18" s="102">
        <v>194.56</v>
      </c>
      <c r="T18" s="103">
        <v>291.83999999999997</v>
      </c>
      <c r="U18" s="46"/>
    </row>
    <row r="19" spans="1:21" x14ac:dyDescent="0.25">
      <c r="A19" s="47">
        <v>37024</v>
      </c>
      <c r="B19" s="48">
        <v>13</v>
      </c>
      <c r="C19" s="49">
        <v>20</v>
      </c>
      <c r="D19" s="100">
        <v>38.75</v>
      </c>
      <c r="E19" s="51">
        <v>4.5</v>
      </c>
      <c r="F19" s="51">
        <v>4.5</v>
      </c>
      <c r="G19" s="52">
        <v>63.07</v>
      </c>
      <c r="H19" s="53">
        <v>24.32</v>
      </c>
      <c r="I19" s="54">
        <v>486.4</v>
      </c>
      <c r="J19" s="62">
        <v>9.7280000000000015</v>
      </c>
      <c r="K19" s="63">
        <v>14.591999999999999</v>
      </c>
      <c r="L19" s="63">
        <v>194.56</v>
      </c>
      <c r="M19" s="101">
        <v>291.83999999999997</v>
      </c>
      <c r="N19" s="57">
        <v>38.75</v>
      </c>
      <c r="O19" s="58">
        <v>48.478000000000002</v>
      </c>
      <c r="P19" s="43">
        <v>775</v>
      </c>
      <c r="Q19" s="59">
        <v>969.56</v>
      </c>
      <c r="R19" s="43"/>
      <c r="S19" s="102">
        <v>194.56</v>
      </c>
      <c r="T19" s="103">
        <v>291.83999999999997</v>
      </c>
      <c r="U19" s="46"/>
    </row>
    <row r="20" spans="1:21" x14ac:dyDescent="0.25">
      <c r="A20" s="47">
        <v>37024</v>
      </c>
      <c r="B20" s="48">
        <v>14</v>
      </c>
      <c r="C20" s="49">
        <v>20</v>
      </c>
      <c r="D20" s="100">
        <v>38.75</v>
      </c>
      <c r="E20" s="51">
        <v>4.5</v>
      </c>
      <c r="F20" s="51">
        <v>4.5</v>
      </c>
      <c r="G20" s="52">
        <v>63.07</v>
      </c>
      <c r="H20" s="53">
        <v>24.32</v>
      </c>
      <c r="I20" s="54">
        <v>486.4</v>
      </c>
      <c r="J20" s="62">
        <v>9.7280000000000015</v>
      </c>
      <c r="K20" s="63">
        <v>14.591999999999999</v>
      </c>
      <c r="L20" s="63">
        <v>194.56</v>
      </c>
      <c r="M20" s="101">
        <v>291.83999999999997</v>
      </c>
      <c r="N20" s="57">
        <v>38.75</v>
      </c>
      <c r="O20" s="58">
        <v>48.478000000000002</v>
      </c>
      <c r="P20" s="43">
        <v>775</v>
      </c>
      <c r="Q20" s="59">
        <v>969.56</v>
      </c>
      <c r="R20" s="43"/>
      <c r="S20" s="102">
        <v>194.56</v>
      </c>
      <c r="T20" s="103">
        <v>291.83999999999997</v>
      </c>
      <c r="U20" s="46"/>
    </row>
    <row r="21" spans="1:21" x14ac:dyDescent="0.25">
      <c r="A21" s="47">
        <v>37024</v>
      </c>
      <c r="B21" s="48">
        <v>15</v>
      </c>
      <c r="C21" s="49">
        <v>20</v>
      </c>
      <c r="D21" s="100">
        <v>38.75</v>
      </c>
      <c r="E21" s="51">
        <v>4.5</v>
      </c>
      <c r="F21" s="51">
        <v>4.5</v>
      </c>
      <c r="G21" s="52">
        <v>63.07</v>
      </c>
      <c r="H21" s="53">
        <v>24.32</v>
      </c>
      <c r="I21" s="54">
        <v>486.4</v>
      </c>
      <c r="J21" s="62">
        <v>9.7280000000000015</v>
      </c>
      <c r="K21" s="63">
        <v>14.591999999999999</v>
      </c>
      <c r="L21" s="63">
        <v>194.56</v>
      </c>
      <c r="M21" s="101">
        <v>291.83999999999997</v>
      </c>
      <c r="N21" s="57">
        <v>38.75</v>
      </c>
      <c r="O21" s="58">
        <v>48.478000000000002</v>
      </c>
      <c r="P21" s="43">
        <v>775</v>
      </c>
      <c r="Q21" s="59">
        <v>969.56</v>
      </c>
      <c r="R21" s="43"/>
      <c r="S21" s="102">
        <v>194.56</v>
      </c>
      <c r="T21" s="103">
        <v>291.83999999999997</v>
      </c>
      <c r="U21" s="46"/>
    </row>
    <row r="22" spans="1:21" x14ac:dyDescent="0.25">
      <c r="A22" s="47">
        <v>37024</v>
      </c>
      <c r="B22" s="48">
        <v>16</v>
      </c>
      <c r="C22" s="49">
        <v>20</v>
      </c>
      <c r="D22" s="100">
        <v>38.75</v>
      </c>
      <c r="E22" s="51">
        <v>4.5</v>
      </c>
      <c r="F22" s="51">
        <v>4.5</v>
      </c>
      <c r="G22" s="52">
        <v>63.07</v>
      </c>
      <c r="H22" s="53">
        <v>24.32</v>
      </c>
      <c r="I22" s="54">
        <v>486.4</v>
      </c>
      <c r="J22" s="62">
        <v>9.7280000000000015</v>
      </c>
      <c r="K22" s="63">
        <v>14.591999999999999</v>
      </c>
      <c r="L22" s="63">
        <v>194.56</v>
      </c>
      <c r="M22" s="101">
        <v>291.83999999999997</v>
      </c>
      <c r="N22" s="57">
        <v>38.75</v>
      </c>
      <c r="O22" s="58">
        <v>48.478000000000002</v>
      </c>
      <c r="P22" s="43">
        <v>775</v>
      </c>
      <c r="Q22" s="59">
        <v>969.56</v>
      </c>
      <c r="R22" s="43"/>
      <c r="S22" s="102">
        <v>194.56</v>
      </c>
      <c r="T22" s="103">
        <v>291.83999999999997</v>
      </c>
      <c r="U22" s="46"/>
    </row>
    <row r="23" spans="1:21" x14ac:dyDescent="0.25">
      <c r="A23" s="47">
        <v>37024</v>
      </c>
      <c r="B23" s="48">
        <v>17</v>
      </c>
      <c r="C23" s="49">
        <v>20</v>
      </c>
      <c r="D23" s="100">
        <v>38.75</v>
      </c>
      <c r="E23" s="51">
        <v>4.5</v>
      </c>
      <c r="F23" s="51">
        <v>4.5</v>
      </c>
      <c r="G23" s="52">
        <v>63.07</v>
      </c>
      <c r="H23" s="53">
        <v>24.32</v>
      </c>
      <c r="I23" s="54">
        <v>486.4</v>
      </c>
      <c r="J23" s="62">
        <v>9.7280000000000015</v>
      </c>
      <c r="K23" s="63">
        <v>14.591999999999999</v>
      </c>
      <c r="L23" s="63">
        <v>194.56</v>
      </c>
      <c r="M23" s="101">
        <v>291.83999999999997</v>
      </c>
      <c r="N23" s="57">
        <v>38.75</v>
      </c>
      <c r="O23" s="58">
        <v>48.478000000000002</v>
      </c>
      <c r="P23" s="43">
        <v>775</v>
      </c>
      <c r="Q23" s="59">
        <v>969.56</v>
      </c>
      <c r="R23" s="43"/>
      <c r="S23" s="102">
        <v>194.56</v>
      </c>
      <c r="T23" s="103">
        <v>291.83999999999997</v>
      </c>
      <c r="U23" s="46"/>
    </row>
    <row r="24" spans="1:21" x14ac:dyDescent="0.25">
      <c r="A24" s="47">
        <v>37024</v>
      </c>
      <c r="B24" s="48">
        <v>18</v>
      </c>
      <c r="C24" s="49">
        <v>20</v>
      </c>
      <c r="D24" s="100">
        <v>38.75</v>
      </c>
      <c r="E24" s="51">
        <v>4.5</v>
      </c>
      <c r="F24" s="51">
        <v>4.5</v>
      </c>
      <c r="G24" s="52">
        <v>63.07</v>
      </c>
      <c r="H24" s="53">
        <v>24.32</v>
      </c>
      <c r="I24" s="54">
        <v>486.4</v>
      </c>
      <c r="J24" s="62">
        <v>9.7280000000000015</v>
      </c>
      <c r="K24" s="63">
        <v>14.591999999999999</v>
      </c>
      <c r="L24" s="63">
        <v>194.56</v>
      </c>
      <c r="M24" s="101">
        <v>291.83999999999997</v>
      </c>
      <c r="N24" s="57">
        <v>38.75</v>
      </c>
      <c r="O24" s="58">
        <v>48.478000000000002</v>
      </c>
      <c r="P24" s="43">
        <v>775</v>
      </c>
      <c r="Q24" s="59">
        <v>969.56</v>
      </c>
      <c r="R24" s="43"/>
      <c r="S24" s="102">
        <v>194.56</v>
      </c>
      <c r="T24" s="103">
        <v>291.83999999999997</v>
      </c>
      <c r="U24" s="46"/>
    </row>
    <row r="25" spans="1:21" x14ac:dyDescent="0.25">
      <c r="A25" s="47">
        <v>37024</v>
      </c>
      <c r="B25" s="48">
        <v>19</v>
      </c>
      <c r="C25" s="49">
        <v>20</v>
      </c>
      <c r="D25" s="100">
        <v>38.75</v>
      </c>
      <c r="E25" s="51">
        <v>4.5</v>
      </c>
      <c r="F25" s="51">
        <v>4.5</v>
      </c>
      <c r="G25" s="52">
        <v>63.07</v>
      </c>
      <c r="H25" s="53">
        <v>24.32</v>
      </c>
      <c r="I25" s="54">
        <v>486.4</v>
      </c>
      <c r="J25" s="62">
        <v>9.7280000000000015</v>
      </c>
      <c r="K25" s="63">
        <v>14.591999999999999</v>
      </c>
      <c r="L25" s="63">
        <v>194.56</v>
      </c>
      <c r="M25" s="101">
        <v>291.83999999999997</v>
      </c>
      <c r="N25" s="57">
        <v>38.75</v>
      </c>
      <c r="O25" s="58">
        <v>48.478000000000002</v>
      </c>
      <c r="P25" s="43">
        <v>775</v>
      </c>
      <c r="Q25" s="59">
        <v>969.56</v>
      </c>
      <c r="R25" s="43"/>
      <c r="S25" s="102">
        <v>194.56</v>
      </c>
      <c r="T25" s="103">
        <v>291.83999999999997</v>
      </c>
      <c r="U25" s="46"/>
    </row>
    <row r="26" spans="1:21" x14ac:dyDescent="0.25">
      <c r="A26" s="47">
        <v>37024</v>
      </c>
      <c r="B26" s="48">
        <v>20</v>
      </c>
      <c r="C26" s="49">
        <v>20</v>
      </c>
      <c r="D26" s="100">
        <v>38.75</v>
      </c>
      <c r="E26" s="51">
        <v>4.5</v>
      </c>
      <c r="F26" s="51">
        <v>4.5</v>
      </c>
      <c r="G26" s="52">
        <v>63.07</v>
      </c>
      <c r="H26" s="53">
        <v>24.32</v>
      </c>
      <c r="I26" s="54">
        <v>486.4</v>
      </c>
      <c r="J26" s="62">
        <v>9.7280000000000015</v>
      </c>
      <c r="K26" s="63">
        <v>14.591999999999999</v>
      </c>
      <c r="L26" s="63">
        <v>194.56</v>
      </c>
      <c r="M26" s="101">
        <v>291.83999999999997</v>
      </c>
      <c r="N26" s="57">
        <v>38.75</v>
      </c>
      <c r="O26" s="58">
        <v>48.478000000000002</v>
      </c>
      <c r="P26" s="43">
        <v>775</v>
      </c>
      <c r="Q26" s="59">
        <v>969.56</v>
      </c>
      <c r="R26" s="43"/>
      <c r="S26" s="102">
        <v>194.56</v>
      </c>
      <c r="T26" s="103">
        <v>291.83999999999997</v>
      </c>
      <c r="U26" s="46"/>
    </row>
    <row r="27" spans="1:21" x14ac:dyDescent="0.25">
      <c r="A27" s="47">
        <v>37024</v>
      </c>
      <c r="B27" s="48">
        <v>21</v>
      </c>
      <c r="C27" s="49">
        <v>20</v>
      </c>
      <c r="D27" s="100">
        <v>38.75</v>
      </c>
      <c r="E27" s="51">
        <v>4.5</v>
      </c>
      <c r="F27" s="51">
        <v>4.5</v>
      </c>
      <c r="G27" s="52">
        <v>63.07</v>
      </c>
      <c r="H27" s="53">
        <v>24.32</v>
      </c>
      <c r="I27" s="54">
        <v>486.4</v>
      </c>
      <c r="J27" s="62">
        <v>9.7280000000000015</v>
      </c>
      <c r="K27" s="63">
        <v>14.591999999999999</v>
      </c>
      <c r="L27" s="63">
        <v>194.56</v>
      </c>
      <c r="M27" s="101">
        <v>291.83999999999997</v>
      </c>
      <c r="N27" s="57">
        <v>38.75</v>
      </c>
      <c r="O27" s="58">
        <v>48.478000000000002</v>
      </c>
      <c r="P27" s="43">
        <v>775</v>
      </c>
      <c r="Q27" s="59">
        <v>969.56</v>
      </c>
      <c r="R27" s="43"/>
      <c r="S27" s="102">
        <v>194.56</v>
      </c>
      <c r="T27" s="103">
        <v>291.83999999999997</v>
      </c>
      <c r="U27" s="46"/>
    </row>
    <row r="28" spans="1:21" x14ac:dyDescent="0.25">
      <c r="A28" s="47">
        <v>37024</v>
      </c>
      <c r="B28" s="48">
        <v>22</v>
      </c>
      <c r="C28" s="49">
        <v>20</v>
      </c>
      <c r="D28" s="100">
        <v>38.75</v>
      </c>
      <c r="E28" s="51">
        <v>4.5</v>
      </c>
      <c r="F28" s="51">
        <v>4.5</v>
      </c>
      <c r="G28" s="52">
        <v>63.07</v>
      </c>
      <c r="H28" s="53">
        <v>24.32</v>
      </c>
      <c r="I28" s="54">
        <v>486.4</v>
      </c>
      <c r="J28" s="62">
        <v>9.7280000000000015</v>
      </c>
      <c r="K28" s="63">
        <v>14.591999999999999</v>
      </c>
      <c r="L28" s="63">
        <v>194.56</v>
      </c>
      <c r="M28" s="101">
        <v>291.83999999999997</v>
      </c>
      <c r="N28" s="57">
        <v>38.75</v>
      </c>
      <c r="O28" s="58">
        <v>48.478000000000002</v>
      </c>
      <c r="P28" s="43">
        <v>775</v>
      </c>
      <c r="Q28" s="59">
        <v>969.56</v>
      </c>
      <c r="R28" s="43"/>
      <c r="S28" s="102">
        <v>194.56</v>
      </c>
      <c r="T28" s="103">
        <v>291.83999999999997</v>
      </c>
      <c r="U28" s="46"/>
    </row>
    <row r="29" spans="1:21" x14ac:dyDescent="0.25">
      <c r="A29" s="47">
        <v>37024</v>
      </c>
      <c r="B29" s="48">
        <v>23</v>
      </c>
      <c r="C29" s="49">
        <v>20</v>
      </c>
      <c r="D29" s="100">
        <v>38.75</v>
      </c>
      <c r="E29" s="51">
        <v>4.5</v>
      </c>
      <c r="F29" s="51">
        <v>4.5</v>
      </c>
      <c r="G29" s="52">
        <v>63.07</v>
      </c>
      <c r="H29" s="53">
        <v>24.32</v>
      </c>
      <c r="I29" s="54">
        <v>486.4</v>
      </c>
      <c r="J29" s="62">
        <v>1</v>
      </c>
      <c r="K29" s="43">
        <v>23.32</v>
      </c>
      <c r="L29" s="43">
        <v>20</v>
      </c>
      <c r="M29" s="101">
        <v>466.4</v>
      </c>
      <c r="N29" s="57">
        <v>38.75</v>
      </c>
      <c r="O29" s="58">
        <v>39.75</v>
      </c>
      <c r="P29" s="43">
        <v>775</v>
      </c>
      <c r="Q29" s="59">
        <v>795</v>
      </c>
      <c r="R29" s="43"/>
      <c r="S29" s="102">
        <v>20</v>
      </c>
      <c r="T29" s="103">
        <v>466.4</v>
      </c>
      <c r="U29" s="46"/>
    </row>
    <row r="30" spans="1:21" x14ac:dyDescent="0.25">
      <c r="A30" s="65">
        <v>37024</v>
      </c>
      <c r="B30" s="66">
        <v>24</v>
      </c>
      <c r="C30" s="67">
        <v>0</v>
      </c>
      <c r="D30" s="104">
        <v>0</v>
      </c>
      <c r="E30" s="69">
        <v>4.5</v>
      </c>
      <c r="F30" s="69">
        <v>4.5</v>
      </c>
      <c r="G30" s="70">
        <v>63.07</v>
      </c>
      <c r="H30" s="71" t="s">
        <v>36</v>
      </c>
      <c r="I30" s="72" t="s">
        <v>36</v>
      </c>
      <c r="J30" s="105" t="s">
        <v>36</v>
      </c>
      <c r="K30" s="74" t="s">
        <v>36</v>
      </c>
      <c r="L30" s="74" t="s">
        <v>36</v>
      </c>
      <c r="M30" s="106" t="s">
        <v>36</v>
      </c>
      <c r="N30" s="76" t="s">
        <v>36</v>
      </c>
      <c r="O30" s="77" t="s">
        <v>36</v>
      </c>
      <c r="P30" s="74" t="s">
        <v>36</v>
      </c>
      <c r="Q30" s="78" t="s">
        <v>36</v>
      </c>
      <c r="R30" s="43"/>
      <c r="S30" s="107" t="s">
        <v>36</v>
      </c>
      <c r="T30" s="108" t="s">
        <v>36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109"/>
    </row>
    <row r="32" spans="1:21" x14ac:dyDescent="0.25">
      <c r="K32" s="84"/>
      <c r="L32" s="84"/>
      <c r="M32" s="84"/>
      <c r="N32" s="85"/>
      <c r="O32" s="84"/>
      <c r="P32" s="85"/>
      <c r="Q32" s="86">
        <v>11460.16</v>
      </c>
      <c r="R32" s="87"/>
      <c r="S32" s="86">
        <v>2160.16</v>
      </c>
      <c r="T32" s="86">
        <v>3676.64</v>
      </c>
    </row>
    <row r="33" spans="1:22" x14ac:dyDescent="0.25">
      <c r="D33"/>
      <c r="N33"/>
      <c r="P33"/>
      <c r="R33"/>
      <c r="T33"/>
    </row>
    <row r="34" spans="1:22" ht="12.75" hidden="1" customHeight="1" x14ac:dyDescent="0.25">
      <c r="B34" t="s">
        <v>33</v>
      </c>
      <c r="C34">
        <v>289</v>
      </c>
    </row>
    <row r="35" spans="1:22" x14ac:dyDescent="0.25">
      <c r="D35"/>
      <c r="N35"/>
      <c r="P35"/>
      <c r="R35"/>
      <c r="T35"/>
    </row>
    <row r="36" spans="1:22" x14ac:dyDescent="0.25">
      <c r="D36"/>
      <c r="N36"/>
      <c r="P36"/>
      <c r="R36"/>
      <c r="T36"/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5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v>37024</v>
      </c>
      <c r="B41" s="30">
        <v>1</v>
      </c>
      <c r="C41" s="31">
        <v>24</v>
      </c>
      <c r="D41" s="110">
        <v>18</v>
      </c>
      <c r="E41" s="33">
        <v>4.5</v>
      </c>
      <c r="F41" s="33">
        <v>4.5</v>
      </c>
      <c r="G41" s="34">
        <v>63.07</v>
      </c>
      <c r="H41" s="35">
        <v>45.07</v>
      </c>
      <c r="I41" s="36">
        <v>1081.68</v>
      </c>
      <c r="J41" s="96">
        <v>1</v>
      </c>
      <c r="K41" s="38">
        <v>44.07</v>
      </c>
      <c r="L41" s="38">
        <v>24</v>
      </c>
      <c r="M41" s="97">
        <v>1057.68</v>
      </c>
      <c r="N41" s="40">
        <v>18</v>
      </c>
      <c r="O41" s="41">
        <v>19</v>
      </c>
      <c r="P41" s="38">
        <v>432</v>
      </c>
      <c r="Q41" s="42">
        <v>456</v>
      </c>
      <c r="R41" s="43"/>
      <c r="S41" s="98">
        <v>24</v>
      </c>
      <c r="T41" s="99">
        <v>1057.68</v>
      </c>
      <c r="U41" s="46"/>
    </row>
    <row r="42" spans="1:22" x14ac:dyDescent="0.25">
      <c r="A42" s="47">
        <v>37024</v>
      </c>
      <c r="B42" s="48">
        <v>2</v>
      </c>
      <c r="C42" s="49">
        <v>21</v>
      </c>
      <c r="D42" s="111">
        <v>18</v>
      </c>
      <c r="E42" s="51">
        <v>4.5</v>
      </c>
      <c r="F42" s="51">
        <v>4.5</v>
      </c>
      <c r="G42" s="52">
        <v>63.07</v>
      </c>
      <c r="H42" s="53">
        <v>45.07</v>
      </c>
      <c r="I42" s="54">
        <v>946.47</v>
      </c>
      <c r="J42" s="62">
        <v>1</v>
      </c>
      <c r="K42" s="43">
        <v>44.07</v>
      </c>
      <c r="L42" s="43">
        <v>21</v>
      </c>
      <c r="M42" s="101">
        <v>925.47</v>
      </c>
      <c r="N42" s="57">
        <v>18</v>
      </c>
      <c r="O42" s="58">
        <v>19</v>
      </c>
      <c r="P42" s="43">
        <v>378</v>
      </c>
      <c r="Q42" s="59">
        <v>399</v>
      </c>
      <c r="R42" s="43"/>
      <c r="S42" s="102">
        <v>21</v>
      </c>
      <c r="T42" s="103">
        <v>925.47</v>
      </c>
      <c r="U42" s="46"/>
    </row>
    <row r="43" spans="1:22" x14ac:dyDescent="0.25">
      <c r="A43" s="47">
        <v>37024</v>
      </c>
      <c r="B43" s="48">
        <v>3</v>
      </c>
      <c r="C43" s="49">
        <v>20</v>
      </c>
      <c r="D43" s="111">
        <v>15</v>
      </c>
      <c r="E43" s="51">
        <v>4.5</v>
      </c>
      <c r="F43" s="51">
        <v>4.5</v>
      </c>
      <c r="G43" s="52">
        <v>63.07</v>
      </c>
      <c r="H43" s="53">
        <v>48.07</v>
      </c>
      <c r="I43" s="54">
        <v>961.4</v>
      </c>
      <c r="J43" s="62">
        <v>1</v>
      </c>
      <c r="K43" s="43">
        <v>47.07</v>
      </c>
      <c r="L43" s="43">
        <v>20</v>
      </c>
      <c r="M43" s="101">
        <v>941.4</v>
      </c>
      <c r="N43" s="57">
        <v>15</v>
      </c>
      <c r="O43" s="58">
        <v>16</v>
      </c>
      <c r="P43" s="43">
        <v>300</v>
      </c>
      <c r="Q43" s="59">
        <v>320</v>
      </c>
      <c r="R43" s="43"/>
      <c r="S43" s="102">
        <v>20</v>
      </c>
      <c r="T43" s="103">
        <v>941.4</v>
      </c>
      <c r="U43" s="46"/>
    </row>
    <row r="44" spans="1:22" x14ac:dyDescent="0.25">
      <c r="A44" s="47">
        <v>37024</v>
      </c>
      <c r="B44" s="48">
        <v>4</v>
      </c>
      <c r="C44" s="49">
        <v>18</v>
      </c>
      <c r="D44" s="111">
        <v>15</v>
      </c>
      <c r="E44" s="51">
        <v>4.5</v>
      </c>
      <c r="F44" s="51">
        <v>4.5</v>
      </c>
      <c r="G44" s="52">
        <v>63.07</v>
      </c>
      <c r="H44" s="53">
        <v>48.07</v>
      </c>
      <c r="I44" s="54">
        <v>865.26</v>
      </c>
      <c r="J44" s="62">
        <v>1</v>
      </c>
      <c r="K44" s="43">
        <v>47.07</v>
      </c>
      <c r="L44" s="43">
        <v>18</v>
      </c>
      <c r="M44" s="101">
        <v>847.26</v>
      </c>
      <c r="N44" s="57">
        <v>15</v>
      </c>
      <c r="O44" s="58">
        <v>16</v>
      </c>
      <c r="P44" s="43">
        <v>270</v>
      </c>
      <c r="Q44" s="59">
        <v>288</v>
      </c>
      <c r="R44" s="43"/>
      <c r="S44" s="102">
        <v>18</v>
      </c>
      <c r="T44" s="103">
        <v>847.26</v>
      </c>
      <c r="U44" s="46"/>
    </row>
    <row r="45" spans="1:22" x14ac:dyDescent="0.25">
      <c r="A45" s="47">
        <v>37024</v>
      </c>
      <c r="B45" s="48">
        <v>5</v>
      </c>
      <c r="C45" s="49">
        <v>17</v>
      </c>
      <c r="D45" s="111">
        <v>15</v>
      </c>
      <c r="E45" s="51">
        <v>4.5</v>
      </c>
      <c r="F45" s="51">
        <v>4.5</v>
      </c>
      <c r="G45" s="52">
        <v>63.07</v>
      </c>
      <c r="H45" s="53">
        <v>48.07</v>
      </c>
      <c r="I45" s="54">
        <v>817.19</v>
      </c>
      <c r="J45" s="62">
        <v>1</v>
      </c>
      <c r="K45" s="43">
        <v>47.07</v>
      </c>
      <c r="L45" s="43">
        <v>17</v>
      </c>
      <c r="M45" s="101">
        <v>800.19</v>
      </c>
      <c r="N45" s="57">
        <v>15</v>
      </c>
      <c r="O45" s="58">
        <v>16</v>
      </c>
      <c r="P45" s="43">
        <v>255</v>
      </c>
      <c r="Q45" s="59">
        <v>272</v>
      </c>
      <c r="R45" s="43"/>
      <c r="S45" s="102">
        <v>17</v>
      </c>
      <c r="T45" s="103">
        <v>800.19</v>
      </c>
      <c r="U45" s="46"/>
    </row>
    <row r="46" spans="1:22" x14ac:dyDescent="0.25">
      <c r="A46" s="47">
        <v>37024</v>
      </c>
      <c r="B46" s="48">
        <v>6</v>
      </c>
      <c r="C46" s="49">
        <v>18</v>
      </c>
      <c r="D46" s="111">
        <v>15</v>
      </c>
      <c r="E46" s="51">
        <v>4.5</v>
      </c>
      <c r="F46" s="51">
        <v>4.5</v>
      </c>
      <c r="G46" s="52">
        <v>63.07</v>
      </c>
      <c r="H46" s="53">
        <v>48.07</v>
      </c>
      <c r="I46" s="54">
        <v>865.26</v>
      </c>
      <c r="J46" s="62">
        <v>1</v>
      </c>
      <c r="K46" s="43">
        <v>47.07</v>
      </c>
      <c r="L46" s="43">
        <v>18</v>
      </c>
      <c r="M46" s="101">
        <v>847.26</v>
      </c>
      <c r="N46" s="57">
        <v>15</v>
      </c>
      <c r="O46" s="58">
        <v>16</v>
      </c>
      <c r="P46" s="43">
        <v>270</v>
      </c>
      <c r="Q46" s="59">
        <v>288</v>
      </c>
      <c r="R46" s="43"/>
      <c r="S46" s="102">
        <v>18</v>
      </c>
      <c r="T46" s="103">
        <v>847.26</v>
      </c>
      <c r="U46" s="46"/>
    </row>
    <row r="47" spans="1:22" x14ac:dyDescent="0.25">
      <c r="A47" s="47">
        <v>37024</v>
      </c>
      <c r="B47" s="48">
        <v>7</v>
      </c>
      <c r="C47" s="49">
        <v>18</v>
      </c>
      <c r="D47" s="111">
        <v>17</v>
      </c>
      <c r="E47" s="51">
        <v>4.5</v>
      </c>
      <c r="F47" s="51">
        <v>4.5</v>
      </c>
      <c r="G47" s="52">
        <v>63.07</v>
      </c>
      <c r="H47" s="53">
        <v>46.07</v>
      </c>
      <c r="I47" s="54">
        <v>829.26</v>
      </c>
      <c r="J47" s="62">
        <v>18.428000000000001</v>
      </c>
      <c r="K47" s="63">
        <v>27.641999999999999</v>
      </c>
      <c r="L47" s="63">
        <v>331.70400000000001</v>
      </c>
      <c r="M47" s="101">
        <v>497.55599999999998</v>
      </c>
      <c r="N47" s="57">
        <v>17</v>
      </c>
      <c r="O47" s="58">
        <v>35.427999999999997</v>
      </c>
      <c r="P47" s="43">
        <v>306</v>
      </c>
      <c r="Q47" s="59">
        <v>637.70399999999995</v>
      </c>
      <c r="R47" s="43"/>
      <c r="S47" s="102">
        <v>331.70400000000001</v>
      </c>
      <c r="T47" s="103">
        <v>497.55599999999998</v>
      </c>
      <c r="U47" s="46"/>
    </row>
    <row r="48" spans="1:22" x14ac:dyDescent="0.25">
      <c r="A48" s="47">
        <v>37024</v>
      </c>
      <c r="B48" s="48">
        <v>8</v>
      </c>
      <c r="C48" s="49">
        <v>18</v>
      </c>
      <c r="D48" s="111">
        <v>17</v>
      </c>
      <c r="E48" s="51">
        <v>4.5</v>
      </c>
      <c r="F48" s="51">
        <v>4.5</v>
      </c>
      <c r="G48" s="52">
        <v>63.07</v>
      </c>
      <c r="H48" s="53">
        <v>46.07</v>
      </c>
      <c r="I48" s="54">
        <v>829.26</v>
      </c>
      <c r="J48" s="62">
        <v>18.428000000000001</v>
      </c>
      <c r="K48" s="63">
        <v>27.641999999999999</v>
      </c>
      <c r="L48" s="63">
        <v>331.70400000000001</v>
      </c>
      <c r="M48" s="101">
        <v>497.55599999999998</v>
      </c>
      <c r="N48" s="57">
        <v>17</v>
      </c>
      <c r="O48" s="58">
        <v>35.427999999999997</v>
      </c>
      <c r="P48" s="43">
        <v>306</v>
      </c>
      <c r="Q48" s="59">
        <v>637.70399999999995</v>
      </c>
      <c r="R48" s="43"/>
      <c r="S48" s="102">
        <v>331.70400000000001</v>
      </c>
      <c r="T48" s="103">
        <v>497.55599999999998</v>
      </c>
      <c r="U48" s="46"/>
    </row>
    <row r="49" spans="1:21" x14ac:dyDescent="0.25">
      <c r="A49" s="47">
        <v>37024</v>
      </c>
      <c r="B49" s="48">
        <v>9</v>
      </c>
      <c r="C49" s="49">
        <v>18</v>
      </c>
      <c r="D49" s="111">
        <v>17</v>
      </c>
      <c r="E49" s="51">
        <v>4.5</v>
      </c>
      <c r="F49" s="51">
        <v>4.5</v>
      </c>
      <c r="G49" s="52">
        <v>63.07</v>
      </c>
      <c r="H49" s="53">
        <v>46.07</v>
      </c>
      <c r="I49" s="54">
        <v>829.26</v>
      </c>
      <c r="J49" s="62">
        <v>18.428000000000001</v>
      </c>
      <c r="K49" s="63">
        <v>27.641999999999999</v>
      </c>
      <c r="L49" s="63">
        <v>331.70400000000001</v>
      </c>
      <c r="M49" s="101">
        <v>497.55599999999998</v>
      </c>
      <c r="N49" s="57">
        <v>17</v>
      </c>
      <c r="O49" s="58">
        <v>35.427999999999997</v>
      </c>
      <c r="P49" s="43">
        <v>306</v>
      </c>
      <c r="Q49" s="59">
        <v>637.70399999999995</v>
      </c>
      <c r="R49" s="43"/>
      <c r="S49" s="102">
        <v>331.70400000000001</v>
      </c>
      <c r="T49" s="103">
        <v>497.55599999999998</v>
      </c>
      <c r="U49" s="46"/>
    </row>
    <row r="50" spans="1:21" x14ac:dyDescent="0.25">
      <c r="A50" s="47">
        <v>37024</v>
      </c>
      <c r="B50" s="48">
        <v>10</v>
      </c>
      <c r="C50" s="49">
        <v>18</v>
      </c>
      <c r="D50" s="111">
        <v>19</v>
      </c>
      <c r="E50" s="51">
        <v>4.5</v>
      </c>
      <c r="F50" s="51">
        <v>4.5</v>
      </c>
      <c r="G50" s="52">
        <v>63.07</v>
      </c>
      <c r="H50" s="53">
        <v>44.07</v>
      </c>
      <c r="I50" s="54">
        <v>793.26</v>
      </c>
      <c r="J50" s="62">
        <v>17.628</v>
      </c>
      <c r="K50" s="63">
        <v>26.442</v>
      </c>
      <c r="L50" s="63">
        <v>317.30399999999997</v>
      </c>
      <c r="M50" s="101">
        <v>475.95600000000002</v>
      </c>
      <c r="N50" s="57">
        <v>19</v>
      </c>
      <c r="O50" s="58">
        <v>36.628</v>
      </c>
      <c r="P50" s="43">
        <v>342</v>
      </c>
      <c r="Q50" s="59">
        <v>659.30399999999997</v>
      </c>
      <c r="R50" s="43"/>
      <c r="S50" s="102">
        <v>317.30399999999997</v>
      </c>
      <c r="T50" s="103">
        <v>475.95600000000002</v>
      </c>
      <c r="U50" s="46"/>
    </row>
    <row r="51" spans="1:21" x14ac:dyDescent="0.25">
      <c r="A51" s="47">
        <v>37024</v>
      </c>
      <c r="B51" s="48">
        <v>11</v>
      </c>
      <c r="C51" s="49">
        <v>18</v>
      </c>
      <c r="D51" s="111">
        <v>19</v>
      </c>
      <c r="E51" s="51">
        <v>4.5</v>
      </c>
      <c r="F51" s="51">
        <v>4.5</v>
      </c>
      <c r="G51" s="52">
        <v>63.07</v>
      </c>
      <c r="H51" s="53">
        <v>44.07</v>
      </c>
      <c r="I51" s="54">
        <v>793.26</v>
      </c>
      <c r="J51" s="62">
        <v>17.628</v>
      </c>
      <c r="K51" s="63">
        <v>26.442</v>
      </c>
      <c r="L51" s="63">
        <v>317.30399999999997</v>
      </c>
      <c r="M51" s="101">
        <v>475.95600000000002</v>
      </c>
      <c r="N51" s="57">
        <v>19</v>
      </c>
      <c r="O51" s="58">
        <v>36.628</v>
      </c>
      <c r="P51" s="43">
        <v>342</v>
      </c>
      <c r="Q51" s="59">
        <v>659.30399999999997</v>
      </c>
      <c r="R51" s="43"/>
      <c r="S51" s="102">
        <v>317.30399999999997</v>
      </c>
      <c r="T51" s="103">
        <v>475.95600000000002</v>
      </c>
      <c r="U51" s="46"/>
    </row>
    <row r="52" spans="1:21" x14ac:dyDescent="0.25">
      <c r="A52" s="47">
        <v>37024</v>
      </c>
      <c r="B52" s="48">
        <v>12</v>
      </c>
      <c r="C52" s="49">
        <v>10</v>
      </c>
      <c r="D52" s="111">
        <v>20</v>
      </c>
      <c r="E52" s="51">
        <v>4.5</v>
      </c>
      <c r="F52" s="51">
        <v>4.5</v>
      </c>
      <c r="G52" s="52">
        <v>63.07</v>
      </c>
      <c r="H52" s="53">
        <v>43.07</v>
      </c>
      <c r="I52" s="54">
        <v>430.7</v>
      </c>
      <c r="J52" s="62">
        <v>17.228000000000002</v>
      </c>
      <c r="K52" s="63">
        <v>25.841999999999999</v>
      </c>
      <c r="L52" s="63">
        <v>172.28</v>
      </c>
      <c r="M52" s="101">
        <v>258.42</v>
      </c>
      <c r="N52" s="57">
        <v>20</v>
      </c>
      <c r="O52" s="58">
        <v>37.228000000000002</v>
      </c>
      <c r="P52" s="43">
        <v>200</v>
      </c>
      <c r="Q52" s="59">
        <v>372.28</v>
      </c>
      <c r="R52" s="43"/>
      <c r="S52" s="102">
        <v>172.28</v>
      </c>
      <c r="T52" s="103">
        <v>258.42</v>
      </c>
      <c r="U52" s="46"/>
    </row>
    <row r="53" spans="1:21" x14ac:dyDescent="0.25">
      <c r="A53" s="47">
        <v>37024</v>
      </c>
      <c r="B53" s="48">
        <v>13</v>
      </c>
      <c r="C53" s="49">
        <v>10</v>
      </c>
      <c r="D53" s="111">
        <v>20</v>
      </c>
      <c r="E53" s="51">
        <v>4.5</v>
      </c>
      <c r="F53" s="51">
        <v>4.5</v>
      </c>
      <c r="G53" s="52">
        <v>63.07</v>
      </c>
      <c r="H53" s="53">
        <v>43.07</v>
      </c>
      <c r="I53" s="54">
        <v>430.7</v>
      </c>
      <c r="J53" s="62">
        <v>17.228000000000002</v>
      </c>
      <c r="K53" s="63">
        <v>25.841999999999999</v>
      </c>
      <c r="L53" s="63">
        <v>172.28</v>
      </c>
      <c r="M53" s="101">
        <v>258.42</v>
      </c>
      <c r="N53" s="57">
        <v>20</v>
      </c>
      <c r="O53" s="58">
        <v>37.228000000000002</v>
      </c>
      <c r="P53" s="43">
        <v>200</v>
      </c>
      <c r="Q53" s="59">
        <v>372.28</v>
      </c>
      <c r="R53" s="43"/>
      <c r="S53" s="102">
        <v>172.28</v>
      </c>
      <c r="T53" s="103">
        <v>258.42</v>
      </c>
      <c r="U53" s="46"/>
    </row>
    <row r="54" spans="1:21" x14ac:dyDescent="0.25">
      <c r="A54" s="47">
        <v>37024</v>
      </c>
      <c r="B54" s="48">
        <v>14</v>
      </c>
      <c r="C54" s="49">
        <v>10</v>
      </c>
      <c r="D54" s="111">
        <v>20</v>
      </c>
      <c r="E54" s="51">
        <v>4.5</v>
      </c>
      <c r="F54" s="51">
        <v>4.5</v>
      </c>
      <c r="G54" s="52">
        <v>63.07</v>
      </c>
      <c r="H54" s="53">
        <v>43.07</v>
      </c>
      <c r="I54" s="54">
        <v>430.7</v>
      </c>
      <c r="J54" s="62">
        <v>17.228000000000002</v>
      </c>
      <c r="K54" s="63">
        <v>25.841999999999999</v>
      </c>
      <c r="L54" s="63">
        <v>172.28</v>
      </c>
      <c r="M54" s="101">
        <v>258.42</v>
      </c>
      <c r="N54" s="57">
        <v>20</v>
      </c>
      <c r="O54" s="58">
        <v>37.228000000000002</v>
      </c>
      <c r="P54" s="43">
        <v>200</v>
      </c>
      <c r="Q54" s="59">
        <v>372.28</v>
      </c>
      <c r="R54" s="43"/>
      <c r="S54" s="102">
        <v>172.28</v>
      </c>
      <c r="T54" s="103">
        <v>258.42</v>
      </c>
      <c r="U54" s="46"/>
    </row>
    <row r="55" spans="1:21" x14ac:dyDescent="0.25">
      <c r="A55" s="47">
        <v>37024</v>
      </c>
      <c r="B55" s="48">
        <v>15</v>
      </c>
      <c r="C55" s="49">
        <v>10</v>
      </c>
      <c r="D55" s="111">
        <v>20</v>
      </c>
      <c r="E55" s="51">
        <v>4.5</v>
      </c>
      <c r="F55" s="51">
        <v>4.5</v>
      </c>
      <c r="G55" s="52">
        <v>63.07</v>
      </c>
      <c r="H55" s="53">
        <v>43.07</v>
      </c>
      <c r="I55" s="54">
        <v>430.7</v>
      </c>
      <c r="J55" s="62">
        <v>17.228000000000002</v>
      </c>
      <c r="K55" s="63">
        <v>25.841999999999999</v>
      </c>
      <c r="L55" s="63">
        <v>172.28</v>
      </c>
      <c r="M55" s="101">
        <v>258.42</v>
      </c>
      <c r="N55" s="57">
        <v>20</v>
      </c>
      <c r="O55" s="58"/>
      <c r="P55" s="43">
        <v>200</v>
      </c>
      <c r="Q55" s="59">
        <v>0</v>
      </c>
      <c r="R55" s="43"/>
      <c r="S55" s="102">
        <v>172.28</v>
      </c>
      <c r="T55" s="103">
        <v>258.42</v>
      </c>
      <c r="U55" s="46"/>
    </row>
    <row r="56" spans="1:21" x14ac:dyDescent="0.25">
      <c r="A56" s="47">
        <v>37024</v>
      </c>
      <c r="B56" s="48">
        <v>16</v>
      </c>
      <c r="C56" s="49">
        <v>10</v>
      </c>
      <c r="D56" s="111">
        <v>21</v>
      </c>
      <c r="E56" s="51">
        <v>4.5</v>
      </c>
      <c r="F56" s="51">
        <v>4.5</v>
      </c>
      <c r="G56" s="52">
        <v>63.07</v>
      </c>
      <c r="H56" s="53">
        <v>42.07</v>
      </c>
      <c r="I56" s="54">
        <v>420.7</v>
      </c>
      <c r="J56" s="62">
        <v>16.827999999999999</v>
      </c>
      <c r="K56" s="63">
        <v>25.242000000000001</v>
      </c>
      <c r="L56" s="63">
        <v>168.28</v>
      </c>
      <c r="M56" s="101">
        <v>252.42</v>
      </c>
      <c r="N56" s="57">
        <v>21</v>
      </c>
      <c r="O56" s="58"/>
      <c r="P56" s="43">
        <v>210</v>
      </c>
      <c r="Q56" s="59">
        <v>0</v>
      </c>
      <c r="R56" s="43"/>
      <c r="S56" s="102">
        <v>168.28</v>
      </c>
      <c r="T56" s="103">
        <v>252.42</v>
      </c>
      <c r="U56" s="46"/>
    </row>
    <row r="57" spans="1:21" x14ac:dyDescent="0.25">
      <c r="A57" s="47">
        <v>37024</v>
      </c>
      <c r="B57" s="48">
        <v>17</v>
      </c>
      <c r="C57" s="49">
        <v>10</v>
      </c>
      <c r="D57" s="111">
        <v>23</v>
      </c>
      <c r="E57" s="51">
        <v>4.5</v>
      </c>
      <c r="F57" s="51">
        <v>4.5</v>
      </c>
      <c r="G57" s="52">
        <v>63.07</v>
      </c>
      <c r="H57" s="53">
        <v>40.07</v>
      </c>
      <c r="I57" s="54">
        <v>400.7</v>
      </c>
      <c r="J57" s="62">
        <v>16.028000000000002</v>
      </c>
      <c r="K57" s="63">
        <v>24.041999999999998</v>
      </c>
      <c r="L57" s="63">
        <v>160.28</v>
      </c>
      <c r="M57" s="101">
        <v>240.42</v>
      </c>
      <c r="N57" s="57">
        <v>23</v>
      </c>
      <c r="O57" s="58"/>
      <c r="P57" s="43">
        <v>230</v>
      </c>
      <c r="Q57" s="59">
        <v>0</v>
      </c>
      <c r="R57" s="43"/>
      <c r="S57" s="102">
        <v>160.28</v>
      </c>
      <c r="T57" s="103">
        <v>240.42</v>
      </c>
      <c r="U57" s="46"/>
    </row>
    <row r="58" spans="1:21" x14ac:dyDescent="0.25">
      <c r="A58" s="47">
        <v>37024</v>
      </c>
      <c r="B58" s="48">
        <v>18</v>
      </c>
      <c r="C58" s="49">
        <v>10</v>
      </c>
      <c r="D58" s="111">
        <v>23</v>
      </c>
      <c r="E58" s="51">
        <v>4.5</v>
      </c>
      <c r="F58" s="51">
        <v>4.5</v>
      </c>
      <c r="G58" s="52">
        <v>63.07</v>
      </c>
      <c r="H58" s="53">
        <v>40.07</v>
      </c>
      <c r="I58" s="54">
        <v>400.7</v>
      </c>
      <c r="J58" s="62">
        <v>16.028000000000002</v>
      </c>
      <c r="K58" s="63">
        <v>24.041999999999998</v>
      </c>
      <c r="L58" s="63">
        <v>160.28</v>
      </c>
      <c r="M58" s="101">
        <v>240.42</v>
      </c>
      <c r="N58" s="57">
        <v>23</v>
      </c>
      <c r="O58" s="58">
        <v>39.028000000000006</v>
      </c>
      <c r="P58" s="43">
        <v>230</v>
      </c>
      <c r="Q58" s="59">
        <v>390.28</v>
      </c>
      <c r="R58" s="43"/>
      <c r="S58" s="102">
        <v>160.28</v>
      </c>
      <c r="T58" s="103">
        <v>240.42</v>
      </c>
      <c r="U58" s="46"/>
    </row>
    <row r="59" spans="1:21" x14ac:dyDescent="0.25">
      <c r="A59" s="47">
        <v>37024</v>
      </c>
      <c r="B59" s="48">
        <v>19</v>
      </c>
      <c r="C59" s="49">
        <v>15</v>
      </c>
      <c r="D59" s="111">
        <v>23</v>
      </c>
      <c r="E59" s="51">
        <v>4.5</v>
      </c>
      <c r="F59" s="51">
        <v>4.5</v>
      </c>
      <c r="G59" s="52">
        <v>63.07</v>
      </c>
      <c r="H59" s="53">
        <v>40.07</v>
      </c>
      <c r="I59" s="54">
        <v>601.04999999999995</v>
      </c>
      <c r="J59" s="62">
        <v>16.028000000000002</v>
      </c>
      <c r="K59" s="63">
        <v>24.041999999999998</v>
      </c>
      <c r="L59" s="63">
        <v>240.42</v>
      </c>
      <c r="M59" s="101">
        <v>360.63</v>
      </c>
      <c r="N59" s="57">
        <v>23</v>
      </c>
      <c r="O59" s="58">
        <v>39.028000000000006</v>
      </c>
      <c r="P59" s="43">
        <v>345</v>
      </c>
      <c r="Q59" s="59">
        <v>585.41999999999996</v>
      </c>
      <c r="R59" s="43"/>
      <c r="S59" s="102">
        <v>240.42</v>
      </c>
      <c r="T59" s="103">
        <v>360.63</v>
      </c>
      <c r="U59" s="46"/>
    </row>
    <row r="60" spans="1:21" x14ac:dyDescent="0.25">
      <c r="A60" s="47">
        <v>37024</v>
      </c>
      <c r="B60" s="48">
        <v>20</v>
      </c>
      <c r="C60" s="49">
        <v>13</v>
      </c>
      <c r="D60" s="111">
        <v>23</v>
      </c>
      <c r="E60" s="51">
        <v>4.5</v>
      </c>
      <c r="F60" s="51">
        <v>4.5</v>
      </c>
      <c r="G60" s="52">
        <v>63.07</v>
      </c>
      <c r="H60" s="53">
        <v>40.07</v>
      </c>
      <c r="I60" s="54">
        <v>520.91</v>
      </c>
      <c r="J60" s="62">
        <v>16.028000000000002</v>
      </c>
      <c r="K60" s="63">
        <v>24.041999999999998</v>
      </c>
      <c r="L60" s="63">
        <v>208.36400000000003</v>
      </c>
      <c r="M60" s="101">
        <v>312.54599999999999</v>
      </c>
      <c r="N60" s="57">
        <v>23</v>
      </c>
      <c r="O60" s="58">
        <v>39.028000000000006</v>
      </c>
      <c r="P60" s="43">
        <v>299</v>
      </c>
      <c r="Q60" s="59">
        <v>507.36400000000009</v>
      </c>
      <c r="R60" s="43"/>
      <c r="S60" s="102">
        <v>208.36400000000003</v>
      </c>
      <c r="T60" s="103">
        <v>312.54599999999999</v>
      </c>
      <c r="U60" s="46"/>
    </row>
    <row r="61" spans="1:21" x14ac:dyDescent="0.25">
      <c r="A61" s="47">
        <v>37024</v>
      </c>
      <c r="B61" s="48">
        <v>21</v>
      </c>
      <c r="C61" s="49">
        <v>11</v>
      </c>
      <c r="D61" s="111">
        <v>23</v>
      </c>
      <c r="E61" s="51">
        <v>4.5</v>
      </c>
      <c r="F61" s="51">
        <v>4.5</v>
      </c>
      <c r="G61" s="52">
        <v>63.07</v>
      </c>
      <c r="H61" s="53">
        <v>40.07</v>
      </c>
      <c r="I61" s="54">
        <v>440.77</v>
      </c>
      <c r="J61" s="62">
        <v>16.028000000000002</v>
      </c>
      <c r="K61" s="63">
        <v>24.041999999999998</v>
      </c>
      <c r="L61" s="63">
        <v>176.30800000000002</v>
      </c>
      <c r="M61" s="101">
        <v>264.46199999999999</v>
      </c>
      <c r="N61" s="57">
        <v>23</v>
      </c>
      <c r="O61" s="58">
        <v>39.028000000000006</v>
      </c>
      <c r="P61" s="43">
        <v>253</v>
      </c>
      <c r="Q61" s="59">
        <v>429.30800000000005</v>
      </c>
      <c r="R61" s="43"/>
      <c r="S61" s="102">
        <v>176.30800000000002</v>
      </c>
      <c r="T61" s="103">
        <v>264.46199999999999</v>
      </c>
      <c r="U61" s="46"/>
    </row>
    <row r="62" spans="1:21" x14ac:dyDescent="0.25">
      <c r="A62" s="47">
        <v>37024</v>
      </c>
      <c r="B62" s="48">
        <v>22</v>
      </c>
      <c r="C62" s="49">
        <v>9</v>
      </c>
      <c r="D62" s="111">
        <v>23</v>
      </c>
      <c r="E62" s="51">
        <v>4.5</v>
      </c>
      <c r="F62" s="51">
        <v>4.5</v>
      </c>
      <c r="G62" s="52">
        <v>63.07</v>
      </c>
      <c r="H62" s="53">
        <v>40.07</v>
      </c>
      <c r="I62" s="54">
        <v>360.63</v>
      </c>
      <c r="J62" s="62">
        <v>16.028000000000002</v>
      </c>
      <c r="K62" s="63">
        <v>24.041999999999998</v>
      </c>
      <c r="L62" s="63">
        <v>144.25200000000001</v>
      </c>
      <c r="M62" s="101">
        <v>216.37799999999999</v>
      </c>
      <c r="N62" s="57">
        <v>23</v>
      </c>
      <c r="O62" s="58">
        <v>39.028000000000006</v>
      </c>
      <c r="P62" s="43">
        <v>207</v>
      </c>
      <c r="Q62" s="59">
        <v>351.25200000000007</v>
      </c>
      <c r="R62" s="43"/>
      <c r="S62" s="102">
        <v>144.25200000000001</v>
      </c>
      <c r="T62" s="103">
        <v>216.37799999999999</v>
      </c>
      <c r="U62" s="46"/>
    </row>
    <row r="63" spans="1:21" x14ac:dyDescent="0.25">
      <c r="A63" s="47">
        <v>37024</v>
      </c>
      <c r="B63" s="48">
        <v>23</v>
      </c>
      <c r="C63" s="49">
        <v>6</v>
      </c>
      <c r="D63" s="111">
        <v>22</v>
      </c>
      <c r="E63" s="51">
        <v>4.5</v>
      </c>
      <c r="F63" s="51">
        <v>4.5</v>
      </c>
      <c r="G63" s="52">
        <v>63.07</v>
      </c>
      <c r="H63" s="53">
        <v>41.07</v>
      </c>
      <c r="I63" s="54">
        <v>246.42</v>
      </c>
      <c r="J63" s="62">
        <v>1</v>
      </c>
      <c r="K63" s="43">
        <v>40.07</v>
      </c>
      <c r="L63" s="43">
        <v>6</v>
      </c>
      <c r="M63" s="101">
        <v>240.42</v>
      </c>
      <c r="N63" s="57">
        <v>22</v>
      </c>
      <c r="O63" s="58">
        <v>23</v>
      </c>
      <c r="P63" s="43">
        <v>132</v>
      </c>
      <c r="Q63" s="59">
        <v>138</v>
      </c>
      <c r="R63" s="43"/>
      <c r="S63" s="102">
        <v>6</v>
      </c>
      <c r="T63" s="103">
        <v>240.42</v>
      </c>
      <c r="U63" s="46"/>
    </row>
    <row r="64" spans="1:21" x14ac:dyDescent="0.25">
      <c r="A64" s="65">
        <v>37024</v>
      </c>
      <c r="B64" s="66">
        <v>24</v>
      </c>
      <c r="C64" s="67">
        <v>25</v>
      </c>
      <c r="D64" s="112">
        <v>21</v>
      </c>
      <c r="E64" s="69">
        <v>4.5</v>
      </c>
      <c r="F64" s="69">
        <v>4.5</v>
      </c>
      <c r="G64" s="70">
        <v>63.07</v>
      </c>
      <c r="H64" s="71">
        <v>42.07</v>
      </c>
      <c r="I64" s="72">
        <v>1051.75</v>
      </c>
      <c r="J64" s="105">
        <v>1</v>
      </c>
      <c r="K64" s="74">
        <v>41.07</v>
      </c>
      <c r="L64" s="74">
        <v>25</v>
      </c>
      <c r="M64" s="106">
        <v>1026.75</v>
      </c>
      <c r="N64" s="76">
        <v>21</v>
      </c>
      <c r="O64" s="77">
        <v>22</v>
      </c>
      <c r="P64" s="74">
        <v>525</v>
      </c>
      <c r="Q64" s="78">
        <v>550</v>
      </c>
      <c r="R64" s="43"/>
      <c r="S64" s="107">
        <v>25</v>
      </c>
      <c r="T64" s="108">
        <v>1026.75</v>
      </c>
      <c r="U64" s="46"/>
    </row>
    <row r="65" spans="2:20" x14ac:dyDescent="0.25">
      <c r="D65"/>
      <c r="N65"/>
      <c r="P65"/>
      <c r="R65"/>
      <c r="T65"/>
    </row>
    <row r="66" spans="2:20" x14ac:dyDescent="0.25">
      <c r="Q66" s="82">
        <v>9323.1839999999993</v>
      </c>
      <c r="R66"/>
      <c r="T66"/>
    </row>
    <row r="67" spans="2:20" x14ac:dyDescent="0.25">
      <c r="D67"/>
      <c r="N67"/>
      <c r="P67"/>
      <c r="R67"/>
      <c r="T67"/>
    </row>
    <row r="68" spans="2:20" ht="12.75" hidden="1" customHeight="1" x14ac:dyDescent="0.25">
      <c r="B68" t="s">
        <v>33</v>
      </c>
      <c r="C68">
        <v>289</v>
      </c>
      <c r="R68"/>
      <c r="T68"/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1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E18" sqref="E18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3.109375" customWidth="1"/>
    <col min="4" max="4" width="24" style="93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93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88">
        <v>37025</v>
      </c>
      <c r="D2" s="4"/>
    </row>
    <row r="3" spans="1:22" s="5" customFormat="1" x14ac:dyDescent="0.25">
      <c r="C3" s="89">
        <v>37025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v>37025</v>
      </c>
      <c r="B7" s="30">
        <v>1</v>
      </c>
      <c r="C7" s="31">
        <v>0</v>
      </c>
      <c r="D7" s="95">
        <v>0</v>
      </c>
      <c r="E7" s="33">
        <v>4.55</v>
      </c>
      <c r="F7" s="33">
        <v>4.55</v>
      </c>
      <c r="G7" s="34">
        <v>65.319999999999993</v>
      </c>
      <c r="H7" s="35" t="s">
        <v>36</v>
      </c>
      <c r="I7" s="36" t="s">
        <v>36</v>
      </c>
      <c r="J7" s="96" t="s">
        <v>36</v>
      </c>
      <c r="K7" s="38" t="s">
        <v>36</v>
      </c>
      <c r="L7" s="38" t="s">
        <v>36</v>
      </c>
      <c r="M7" s="97" t="s">
        <v>36</v>
      </c>
      <c r="N7" s="40" t="s">
        <v>36</v>
      </c>
      <c r="O7" s="41" t="s">
        <v>36</v>
      </c>
      <c r="P7" s="38" t="s">
        <v>36</v>
      </c>
      <c r="Q7" s="42" t="s">
        <v>36</v>
      </c>
      <c r="R7" s="43"/>
      <c r="S7" s="98" t="s">
        <v>36</v>
      </c>
      <c r="T7" s="99" t="s">
        <v>36</v>
      </c>
      <c r="U7" s="46"/>
    </row>
    <row r="8" spans="1:22" x14ac:dyDescent="0.25">
      <c r="A8" s="47">
        <v>37025</v>
      </c>
      <c r="B8" s="48">
        <v>2</v>
      </c>
      <c r="C8" s="49">
        <v>0</v>
      </c>
      <c r="D8" s="100">
        <v>0</v>
      </c>
      <c r="E8" s="51">
        <v>4.55</v>
      </c>
      <c r="F8" s="51">
        <v>4.55</v>
      </c>
      <c r="G8" s="52">
        <v>65.319999999999993</v>
      </c>
      <c r="H8" s="53" t="s">
        <v>36</v>
      </c>
      <c r="I8" s="54" t="s">
        <v>36</v>
      </c>
      <c r="J8" s="62" t="s">
        <v>36</v>
      </c>
      <c r="K8" s="43" t="s">
        <v>36</v>
      </c>
      <c r="L8" s="43" t="s">
        <v>36</v>
      </c>
      <c r="M8" s="101" t="s">
        <v>36</v>
      </c>
      <c r="N8" s="57" t="s">
        <v>36</v>
      </c>
      <c r="O8" s="58" t="s">
        <v>36</v>
      </c>
      <c r="P8" s="43" t="s">
        <v>36</v>
      </c>
      <c r="Q8" s="59" t="s">
        <v>36</v>
      </c>
      <c r="R8" s="43"/>
      <c r="S8" s="102" t="s">
        <v>36</v>
      </c>
      <c r="T8" s="103" t="s">
        <v>36</v>
      </c>
      <c r="U8" s="46"/>
    </row>
    <row r="9" spans="1:22" x14ac:dyDescent="0.25">
      <c r="A9" s="47">
        <v>37025</v>
      </c>
      <c r="B9" s="48">
        <v>3</v>
      </c>
      <c r="C9" s="49">
        <v>0</v>
      </c>
      <c r="D9" s="100">
        <v>0</v>
      </c>
      <c r="E9" s="51">
        <v>4.55</v>
      </c>
      <c r="F9" s="51">
        <v>4.55</v>
      </c>
      <c r="G9" s="52">
        <v>65.319999999999993</v>
      </c>
      <c r="H9" s="53" t="s">
        <v>36</v>
      </c>
      <c r="I9" s="54" t="s">
        <v>36</v>
      </c>
      <c r="J9" s="62" t="s">
        <v>36</v>
      </c>
      <c r="K9" s="43" t="s">
        <v>36</v>
      </c>
      <c r="L9" s="43" t="s">
        <v>36</v>
      </c>
      <c r="M9" s="101" t="s">
        <v>36</v>
      </c>
      <c r="N9" s="57" t="s">
        <v>36</v>
      </c>
      <c r="O9" s="58" t="s">
        <v>36</v>
      </c>
      <c r="P9" s="43" t="s">
        <v>36</v>
      </c>
      <c r="Q9" s="59" t="s">
        <v>36</v>
      </c>
      <c r="R9" s="43"/>
      <c r="S9" s="102" t="s">
        <v>36</v>
      </c>
      <c r="T9" s="103" t="s">
        <v>36</v>
      </c>
      <c r="U9" s="46"/>
    </row>
    <row r="10" spans="1:22" x14ac:dyDescent="0.25">
      <c r="A10" s="47">
        <v>37025</v>
      </c>
      <c r="B10" s="48">
        <v>4</v>
      </c>
      <c r="C10" s="49">
        <v>0</v>
      </c>
      <c r="D10" s="100">
        <v>0</v>
      </c>
      <c r="E10" s="51">
        <v>4.55</v>
      </c>
      <c r="F10" s="51">
        <v>4.55</v>
      </c>
      <c r="G10" s="52">
        <v>65.319999999999993</v>
      </c>
      <c r="H10" s="53" t="s">
        <v>36</v>
      </c>
      <c r="I10" s="54" t="s">
        <v>36</v>
      </c>
      <c r="J10" s="62" t="s">
        <v>36</v>
      </c>
      <c r="K10" s="43" t="s">
        <v>36</v>
      </c>
      <c r="L10" s="43" t="s">
        <v>36</v>
      </c>
      <c r="M10" s="101" t="s">
        <v>36</v>
      </c>
      <c r="N10" s="57" t="s">
        <v>36</v>
      </c>
      <c r="O10" s="58" t="s">
        <v>36</v>
      </c>
      <c r="P10" s="43" t="s">
        <v>36</v>
      </c>
      <c r="Q10" s="59" t="s">
        <v>36</v>
      </c>
      <c r="R10" s="43"/>
      <c r="S10" s="102" t="s">
        <v>36</v>
      </c>
      <c r="T10" s="103" t="s">
        <v>36</v>
      </c>
      <c r="U10" s="46"/>
    </row>
    <row r="11" spans="1:22" x14ac:dyDescent="0.25">
      <c r="A11" s="47">
        <v>37025</v>
      </c>
      <c r="B11" s="48">
        <v>5</v>
      </c>
      <c r="C11" s="49">
        <v>0</v>
      </c>
      <c r="D11" s="100">
        <v>0</v>
      </c>
      <c r="E11" s="51">
        <v>4.55</v>
      </c>
      <c r="F11" s="51">
        <v>4.55</v>
      </c>
      <c r="G11" s="52">
        <v>65.319999999999993</v>
      </c>
      <c r="H11" s="53" t="s">
        <v>36</v>
      </c>
      <c r="I11" s="54" t="s">
        <v>36</v>
      </c>
      <c r="J11" s="62" t="s">
        <v>36</v>
      </c>
      <c r="K11" s="43" t="s">
        <v>36</v>
      </c>
      <c r="L11" s="43" t="s">
        <v>36</v>
      </c>
      <c r="M11" s="101" t="s">
        <v>36</v>
      </c>
      <c r="N11" s="57" t="s">
        <v>36</v>
      </c>
      <c r="O11" s="58" t="s">
        <v>36</v>
      </c>
      <c r="P11" s="43" t="s">
        <v>36</v>
      </c>
      <c r="Q11" s="59" t="s">
        <v>36</v>
      </c>
      <c r="R11" s="43"/>
      <c r="S11" s="102" t="s">
        <v>36</v>
      </c>
      <c r="T11" s="103" t="s">
        <v>36</v>
      </c>
      <c r="U11" s="46"/>
    </row>
    <row r="12" spans="1:22" x14ac:dyDescent="0.25">
      <c r="A12" s="47">
        <v>37025</v>
      </c>
      <c r="B12" s="48">
        <v>6</v>
      </c>
      <c r="C12" s="49">
        <v>0</v>
      </c>
      <c r="D12" s="100">
        <v>0</v>
      </c>
      <c r="E12" s="51">
        <v>4.55</v>
      </c>
      <c r="F12" s="51">
        <v>4.55</v>
      </c>
      <c r="G12" s="52">
        <v>65.319999999999993</v>
      </c>
      <c r="H12" s="53" t="s">
        <v>36</v>
      </c>
      <c r="I12" s="54" t="s">
        <v>36</v>
      </c>
      <c r="J12" s="62" t="s">
        <v>36</v>
      </c>
      <c r="K12" s="43" t="s">
        <v>36</v>
      </c>
      <c r="L12" s="43" t="s">
        <v>36</v>
      </c>
      <c r="M12" s="101" t="s">
        <v>36</v>
      </c>
      <c r="N12" s="57" t="s">
        <v>36</v>
      </c>
      <c r="O12" s="58" t="s">
        <v>36</v>
      </c>
      <c r="P12" s="43" t="s">
        <v>36</v>
      </c>
      <c r="Q12" s="59" t="s">
        <v>36</v>
      </c>
      <c r="R12" s="43"/>
      <c r="S12" s="102" t="s">
        <v>36</v>
      </c>
      <c r="T12" s="103" t="s">
        <v>36</v>
      </c>
      <c r="U12" s="46"/>
    </row>
    <row r="13" spans="1:22" x14ac:dyDescent="0.25">
      <c r="A13" s="47">
        <v>37025</v>
      </c>
      <c r="B13" s="48">
        <v>7</v>
      </c>
      <c r="C13" s="49">
        <v>20</v>
      </c>
      <c r="D13" s="100">
        <v>44.5</v>
      </c>
      <c r="E13" s="51">
        <v>4.55</v>
      </c>
      <c r="F13" s="51">
        <v>4.55</v>
      </c>
      <c r="G13" s="52">
        <v>65.319999999999993</v>
      </c>
      <c r="H13" s="53">
        <v>20.82</v>
      </c>
      <c r="I13" s="54">
        <v>416.4</v>
      </c>
      <c r="J13" s="62">
        <v>8.3279999999999976</v>
      </c>
      <c r="K13" s="63">
        <v>12.491999999999996</v>
      </c>
      <c r="L13" s="63">
        <v>166.56</v>
      </c>
      <c r="M13" s="101">
        <v>249.84</v>
      </c>
      <c r="N13" s="57">
        <v>44.5</v>
      </c>
      <c r="O13" s="58">
        <v>52.827999999999996</v>
      </c>
      <c r="P13" s="43">
        <v>890</v>
      </c>
      <c r="Q13" s="59">
        <v>1056.56</v>
      </c>
      <c r="R13" s="43"/>
      <c r="S13" s="102">
        <v>166.56</v>
      </c>
      <c r="T13" s="103">
        <v>249.84</v>
      </c>
      <c r="U13" s="46"/>
    </row>
    <row r="14" spans="1:22" x14ac:dyDescent="0.25">
      <c r="A14" s="47">
        <v>37025</v>
      </c>
      <c r="B14" s="48">
        <v>8</v>
      </c>
      <c r="C14" s="49">
        <v>30</v>
      </c>
      <c r="D14" s="100">
        <v>44.5</v>
      </c>
      <c r="E14" s="51">
        <v>4.55</v>
      </c>
      <c r="F14" s="51">
        <v>4.55</v>
      </c>
      <c r="G14" s="52">
        <v>65.319999999999993</v>
      </c>
      <c r="H14" s="53">
        <v>20.82</v>
      </c>
      <c r="I14" s="54">
        <v>624.6</v>
      </c>
      <c r="J14" s="62">
        <v>8.3279999999999976</v>
      </c>
      <c r="K14" s="63">
        <v>12.491999999999996</v>
      </c>
      <c r="L14" s="63">
        <v>249.84</v>
      </c>
      <c r="M14" s="101">
        <v>374.76</v>
      </c>
      <c r="N14" s="57">
        <v>44.5</v>
      </c>
      <c r="O14" s="58">
        <v>52.827999999999996</v>
      </c>
      <c r="P14" s="43">
        <v>1335</v>
      </c>
      <c r="Q14" s="59">
        <v>1584.84</v>
      </c>
      <c r="R14" s="43"/>
      <c r="S14" s="102">
        <v>249.84</v>
      </c>
      <c r="T14" s="103">
        <v>374.76</v>
      </c>
      <c r="U14" s="46"/>
    </row>
    <row r="15" spans="1:22" x14ac:dyDescent="0.25">
      <c r="A15" s="47">
        <v>37025</v>
      </c>
      <c r="B15" s="48">
        <v>9</v>
      </c>
      <c r="C15" s="49">
        <v>30</v>
      </c>
      <c r="D15" s="100">
        <v>44.5</v>
      </c>
      <c r="E15" s="51">
        <v>4.55</v>
      </c>
      <c r="F15" s="51">
        <v>4.55</v>
      </c>
      <c r="G15" s="52">
        <v>65.319999999999993</v>
      </c>
      <c r="H15" s="53">
        <v>20.82</v>
      </c>
      <c r="I15" s="54">
        <v>624.6</v>
      </c>
      <c r="J15" s="62">
        <v>8.3279999999999976</v>
      </c>
      <c r="K15" s="63">
        <v>12.491999999999996</v>
      </c>
      <c r="L15" s="63">
        <v>249.84</v>
      </c>
      <c r="M15" s="101">
        <v>374.76</v>
      </c>
      <c r="N15" s="57">
        <v>44.5</v>
      </c>
      <c r="O15" s="58">
        <v>52.827999999999996</v>
      </c>
      <c r="P15" s="43">
        <v>1335</v>
      </c>
      <c r="Q15" s="59">
        <v>1584.84</v>
      </c>
      <c r="R15" s="43"/>
      <c r="S15" s="102">
        <v>249.84</v>
      </c>
      <c r="T15" s="103">
        <v>374.76</v>
      </c>
      <c r="U15" s="46"/>
    </row>
    <row r="16" spans="1:22" x14ac:dyDescent="0.25">
      <c r="A16" s="47">
        <v>37025</v>
      </c>
      <c r="B16" s="48">
        <v>10</v>
      </c>
      <c r="C16" s="49">
        <v>30</v>
      </c>
      <c r="D16" s="100">
        <v>44.5</v>
      </c>
      <c r="E16" s="51">
        <v>4.55</v>
      </c>
      <c r="F16" s="51">
        <v>4.55</v>
      </c>
      <c r="G16" s="52">
        <v>65.319999999999993</v>
      </c>
      <c r="H16" s="53">
        <v>20.82</v>
      </c>
      <c r="I16" s="54">
        <v>624.6</v>
      </c>
      <c r="J16" s="62">
        <v>8.3279999999999976</v>
      </c>
      <c r="K16" s="63">
        <v>12.491999999999996</v>
      </c>
      <c r="L16" s="63">
        <v>249.84</v>
      </c>
      <c r="M16" s="101">
        <v>374.76</v>
      </c>
      <c r="N16" s="57">
        <v>44.5</v>
      </c>
      <c r="O16" s="58">
        <v>52.827999999999996</v>
      </c>
      <c r="P16" s="43">
        <v>1335</v>
      </c>
      <c r="Q16" s="59">
        <v>1584.84</v>
      </c>
      <c r="R16" s="43"/>
      <c r="S16" s="102">
        <v>249.84</v>
      </c>
      <c r="T16" s="103">
        <v>374.76</v>
      </c>
      <c r="U16" s="46"/>
    </row>
    <row r="17" spans="1:21" x14ac:dyDescent="0.25">
      <c r="A17" s="47">
        <v>37025</v>
      </c>
      <c r="B17" s="48">
        <v>11</v>
      </c>
      <c r="C17" s="49">
        <v>30</v>
      </c>
      <c r="D17" s="100">
        <v>44.5</v>
      </c>
      <c r="E17" s="51">
        <v>4.55</v>
      </c>
      <c r="F17" s="51">
        <v>4.55</v>
      </c>
      <c r="G17" s="52">
        <v>65.319999999999993</v>
      </c>
      <c r="H17" s="53">
        <v>20.82</v>
      </c>
      <c r="I17" s="54">
        <v>624.6</v>
      </c>
      <c r="J17" s="62">
        <v>8.3279999999999976</v>
      </c>
      <c r="K17" s="63">
        <v>12.491999999999996</v>
      </c>
      <c r="L17" s="63">
        <v>249.84</v>
      </c>
      <c r="M17" s="101">
        <v>374.76</v>
      </c>
      <c r="N17" s="57">
        <v>44.5</v>
      </c>
      <c r="O17" s="58">
        <v>52.827999999999996</v>
      </c>
      <c r="P17" s="43">
        <v>1335</v>
      </c>
      <c r="Q17" s="59">
        <v>1584.84</v>
      </c>
      <c r="R17" s="43"/>
      <c r="S17" s="102">
        <v>249.84</v>
      </c>
      <c r="T17" s="103">
        <v>374.76</v>
      </c>
      <c r="U17" s="46"/>
    </row>
    <row r="18" spans="1:21" x14ac:dyDescent="0.25">
      <c r="A18" s="47">
        <v>37025</v>
      </c>
      <c r="B18" s="48">
        <v>12</v>
      </c>
      <c r="C18" s="49">
        <v>30</v>
      </c>
      <c r="D18" s="100">
        <v>44.5</v>
      </c>
      <c r="E18" s="51">
        <v>4.55</v>
      </c>
      <c r="F18" s="51">
        <v>4.55</v>
      </c>
      <c r="G18" s="52">
        <v>65.319999999999993</v>
      </c>
      <c r="H18" s="53">
        <v>20.82</v>
      </c>
      <c r="I18" s="54">
        <v>624.6</v>
      </c>
      <c r="J18" s="62">
        <v>8.3279999999999976</v>
      </c>
      <c r="K18" s="63">
        <v>12.491999999999996</v>
      </c>
      <c r="L18" s="63">
        <v>249.84</v>
      </c>
      <c r="M18" s="101">
        <v>374.76</v>
      </c>
      <c r="N18" s="57">
        <v>44.5</v>
      </c>
      <c r="O18" s="58">
        <v>52.827999999999996</v>
      </c>
      <c r="P18" s="43">
        <v>1335</v>
      </c>
      <c r="Q18" s="59">
        <v>1584.84</v>
      </c>
      <c r="R18" s="43"/>
      <c r="S18" s="102">
        <v>249.84</v>
      </c>
      <c r="T18" s="103">
        <v>374.76</v>
      </c>
      <c r="U18" s="46"/>
    </row>
    <row r="19" spans="1:21" x14ac:dyDescent="0.25">
      <c r="A19" s="47">
        <v>37025</v>
      </c>
      <c r="B19" s="48">
        <v>13</v>
      </c>
      <c r="C19" s="49">
        <v>30</v>
      </c>
      <c r="D19" s="100">
        <v>44.5</v>
      </c>
      <c r="E19" s="51">
        <v>4.55</v>
      </c>
      <c r="F19" s="51">
        <v>4.55</v>
      </c>
      <c r="G19" s="52">
        <v>65.319999999999993</v>
      </c>
      <c r="H19" s="53">
        <v>20.82</v>
      </c>
      <c r="I19" s="54">
        <v>624.6</v>
      </c>
      <c r="J19" s="62">
        <v>8.3279999999999976</v>
      </c>
      <c r="K19" s="63">
        <v>12.491999999999996</v>
      </c>
      <c r="L19" s="63">
        <v>249.84</v>
      </c>
      <c r="M19" s="101">
        <v>374.76</v>
      </c>
      <c r="N19" s="57">
        <v>44.5</v>
      </c>
      <c r="O19" s="58">
        <v>52.827999999999996</v>
      </c>
      <c r="P19" s="43">
        <v>1335</v>
      </c>
      <c r="Q19" s="59">
        <v>1584.84</v>
      </c>
      <c r="R19" s="43"/>
      <c r="S19" s="102">
        <v>249.84</v>
      </c>
      <c r="T19" s="103">
        <v>374.76</v>
      </c>
      <c r="U19" s="46"/>
    </row>
    <row r="20" spans="1:21" x14ac:dyDescent="0.25">
      <c r="A20" s="47">
        <v>37025</v>
      </c>
      <c r="B20" s="48">
        <v>14</v>
      </c>
      <c r="C20" s="49">
        <v>30</v>
      </c>
      <c r="D20" s="100">
        <v>44.5</v>
      </c>
      <c r="E20" s="51">
        <v>4.55</v>
      </c>
      <c r="F20" s="51">
        <v>4.55</v>
      </c>
      <c r="G20" s="52">
        <v>65.319999999999993</v>
      </c>
      <c r="H20" s="53">
        <v>20.82</v>
      </c>
      <c r="I20" s="54">
        <v>624.6</v>
      </c>
      <c r="J20" s="62">
        <v>8.3279999999999976</v>
      </c>
      <c r="K20" s="63">
        <v>12.491999999999996</v>
      </c>
      <c r="L20" s="63">
        <v>249.84</v>
      </c>
      <c r="M20" s="101">
        <v>374.76</v>
      </c>
      <c r="N20" s="57">
        <v>44.5</v>
      </c>
      <c r="O20" s="58">
        <v>52.827999999999996</v>
      </c>
      <c r="P20" s="43">
        <v>1335</v>
      </c>
      <c r="Q20" s="59">
        <v>1584.84</v>
      </c>
      <c r="R20" s="43"/>
      <c r="S20" s="102">
        <v>249.84</v>
      </c>
      <c r="T20" s="103">
        <v>374.76</v>
      </c>
      <c r="U20" s="46"/>
    </row>
    <row r="21" spans="1:21" x14ac:dyDescent="0.25">
      <c r="A21" s="47">
        <v>37025</v>
      </c>
      <c r="B21" s="48">
        <v>15</v>
      </c>
      <c r="C21" s="49">
        <v>30</v>
      </c>
      <c r="D21" s="100">
        <v>44.5</v>
      </c>
      <c r="E21" s="51">
        <v>4.55</v>
      </c>
      <c r="F21" s="51">
        <v>4.55</v>
      </c>
      <c r="G21" s="52">
        <v>65.319999999999993</v>
      </c>
      <c r="H21" s="53">
        <v>20.82</v>
      </c>
      <c r="I21" s="54">
        <v>624.6</v>
      </c>
      <c r="J21" s="62">
        <v>8.3279999999999976</v>
      </c>
      <c r="K21" s="63">
        <v>12.491999999999996</v>
      </c>
      <c r="L21" s="63">
        <v>249.84</v>
      </c>
      <c r="M21" s="101">
        <v>374.76</v>
      </c>
      <c r="N21" s="57">
        <v>44.5</v>
      </c>
      <c r="O21" s="58">
        <v>52.827999999999996</v>
      </c>
      <c r="P21" s="43">
        <v>1335</v>
      </c>
      <c r="Q21" s="59">
        <v>1584.84</v>
      </c>
      <c r="R21" s="43"/>
      <c r="S21" s="102">
        <v>249.84</v>
      </c>
      <c r="T21" s="103">
        <v>374.76</v>
      </c>
      <c r="U21" s="46"/>
    </row>
    <row r="22" spans="1:21" x14ac:dyDescent="0.25">
      <c r="A22" s="47">
        <v>37025</v>
      </c>
      <c r="B22" s="48">
        <v>16</v>
      </c>
      <c r="C22" s="49">
        <v>30</v>
      </c>
      <c r="D22" s="100">
        <v>44.5</v>
      </c>
      <c r="E22" s="51">
        <v>4.55</v>
      </c>
      <c r="F22" s="51">
        <v>4.55</v>
      </c>
      <c r="G22" s="52">
        <v>65.319999999999993</v>
      </c>
      <c r="H22" s="53">
        <v>20.82</v>
      </c>
      <c r="I22" s="54">
        <v>624.6</v>
      </c>
      <c r="J22" s="62">
        <v>8.3279999999999976</v>
      </c>
      <c r="K22" s="63">
        <v>12.491999999999996</v>
      </c>
      <c r="L22" s="63">
        <v>249.84</v>
      </c>
      <c r="M22" s="101">
        <v>374.76</v>
      </c>
      <c r="N22" s="57">
        <v>44.5</v>
      </c>
      <c r="O22" s="58">
        <v>52.827999999999996</v>
      </c>
      <c r="P22" s="43">
        <v>1335</v>
      </c>
      <c r="Q22" s="59">
        <v>1584.84</v>
      </c>
      <c r="R22" s="43"/>
      <c r="S22" s="102">
        <v>249.84</v>
      </c>
      <c r="T22" s="103">
        <v>374.76</v>
      </c>
      <c r="U22" s="46"/>
    </row>
    <row r="23" spans="1:21" x14ac:dyDescent="0.25">
      <c r="A23" s="47">
        <v>37025</v>
      </c>
      <c r="B23" s="48">
        <v>17</v>
      </c>
      <c r="C23" s="49">
        <v>30</v>
      </c>
      <c r="D23" s="100">
        <v>44.5</v>
      </c>
      <c r="E23" s="51">
        <v>4.55</v>
      </c>
      <c r="F23" s="51">
        <v>4.55</v>
      </c>
      <c r="G23" s="52">
        <v>65.319999999999993</v>
      </c>
      <c r="H23" s="53">
        <v>20.82</v>
      </c>
      <c r="I23" s="54">
        <v>624.6</v>
      </c>
      <c r="J23" s="62">
        <v>8.3279999999999976</v>
      </c>
      <c r="K23" s="63">
        <v>12.491999999999996</v>
      </c>
      <c r="L23" s="63">
        <v>249.84</v>
      </c>
      <c r="M23" s="101">
        <v>374.76</v>
      </c>
      <c r="N23" s="57">
        <v>44.5</v>
      </c>
      <c r="O23" s="58">
        <v>52.827999999999996</v>
      </c>
      <c r="P23" s="43">
        <v>1335</v>
      </c>
      <c r="Q23" s="59">
        <v>1584.84</v>
      </c>
      <c r="R23" s="43"/>
      <c r="S23" s="102">
        <v>249.84</v>
      </c>
      <c r="T23" s="103">
        <v>374.76</v>
      </c>
      <c r="U23" s="46"/>
    </row>
    <row r="24" spans="1:21" x14ac:dyDescent="0.25">
      <c r="A24" s="47">
        <v>37025</v>
      </c>
      <c r="B24" s="48">
        <v>18</v>
      </c>
      <c r="C24" s="49">
        <v>30</v>
      </c>
      <c r="D24" s="100">
        <v>44.5</v>
      </c>
      <c r="E24" s="51">
        <v>4.55</v>
      </c>
      <c r="F24" s="51">
        <v>4.55</v>
      </c>
      <c r="G24" s="52">
        <v>65.319999999999993</v>
      </c>
      <c r="H24" s="53">
        <v>20.82</v>
      </c>
      <c r="I24" s="54">
        <v>624.6</v>
      </c>
      <c r="J24" s="62">
        <v>8.3279999999999976</v>
      </c>
      <c r="K24" s="63">
        <v>12.491999999999996</v>
      </c>
      <c r="L24" s="63">
        <v>249.84</v>
      </c>
      <c r="M24" s="101">
        <v>374.76</v>
      </c>
      <c r="N24" s="57">
        <v>44.5</v>
      </c>
      <c r="O24" s="58">
        <v>52.827999999999996</v>
      </c>
      <c r="P24" s="43">
        <v>1335</v>
      </c>
      <c r="Q24" s="59">
        <v>1584.84</v>
      </c>
      <c r="R24" s="43"/>
      <c r="S24" s="102">
        <v>249.84</v>
      </c>
      <c r="T24" s="103">
        <v>374.76</v>
      </c>
      <c r="U24" s="46"/>
    </row>
    <row r="25" spans="1:21" x14ac:dyDescent="0.25">
      <c r="A25" s="47">
        <v>37025</v>
      </c>
      <c r="B25" s="48">
        <v>19</v>
      </c>
      <c r="C25" s="49">
        <v>30</v>
      </c>
      <c r="D25" s="100">
        <v>44.5</v>
      </c>
      <c r="E25" s="51">
        <v>4.55</v>
      </c>
      <c r="F25" s="51">
        <v>4.55</v>
      </c>
      <c r="G25" s="52">
        <v>65.319999999999993</v>
      </c>
      <c r="H25" s="53">
        <v>20.82</v>
      </c>
      <c r="I25" s="54">
        <v>624.6</v>
      </c>
      <c r="J25" s="62">
        <v>8.3279999999999976</v>
      </c>
      <c r="K25" s="63">
        <v>12.491999999999996</v>
      </c>
      <c r="L25" s="63">
        <v>249.84</v>
      </c>
      <c r="M25" s="101">
        <v>374.76</v>
      </c>
      <c r="N25" s="57">
        <v>44.5</v>
      </c>
      <c r="O25" s="58">
        <v>52.827999999999996</v>
      </c>
      <c r="P25" s="43">
        <v>1335</v>
      </c>
      <c r="Q25" s="59">
        <v>1584.84</v>
      </c>
      <c r="R25" s="43"/>
      <c r="S25" s="102">
        <v>249.84</v>
      </c>
      <c r="T25" s="103">
        <v>374.76</v>
      </c>
      <c r="U25" s="46"/>
    </row>
    <row r="26" spans="1:21" x14ac:dyDescent="0.25">
      <c r="A26" s="47">
        <v>37025</v>
      </c>
      <c r="B26" s="48">
        <v>20</v>
      </c>
      <c r="C26" s="49">
        <v>30</v>
      </c>
      <c r="D26" s="100">
        <v>44.5</v>
      </c>
      <c r="E26" s="51">
        <v>4.55</v>
      </c>
      <c r="F26" s="51">
        <v>4.55</v>
      </c>
      <c r="G26" s="52">
        <v>65.319999999999993</v>
      </c>
      <c r="H26" s="53">
        <v>20.82</v>
      </c>
      <c r="I26" s="54">
        <v>624.6</v>
      </c>
      <c r="J26" s="62">
        <v>8.3279999999999976</v>
      </c>
      <c r="K26" s="63">
        <v>12.491999999999996</v>
      </c>
      <c r="L26" s="63">
        <v>249.84</v>
      </c>
      <c r="M26" s="101">
        <v>374.76</v>
      </c>
      <c r="N26" s="57">
        <v>44.5</v>
      </c>
      <c r="O26" s="58">
        <v>52.827999999999996</v>
      </c>
      <c r="P26" s="43">
        <v>1335</v>
      </c>
      <c r="Q26" s="59">
        <v>1584.84</v>
      </c>
      <c r="R26" s="43"/>
      <c r="S26" s="102">
        <v>249.84</v>
      </c>
      <c r="T26" s="103">
        <v>374.76</v>
      </c>
      <c r="U26" s="46"/>
    </row>
    <row r="27" spans="1:21" x14ac:dyDescent="0.25">
      <c r="A27" s="47">
        <v>37025</v>
      </c>
      <c r="B27" s="48">
        <v>21</v>
      </c>
      <c r="C27" s="49">
        <v>30</v>
      </c>
      <c r="D27" s="100">
        <v>44.5</v>
      </c>
      <c r="E27" s="51">
        <v>4.55</v>
      </c>
      <c r="F27" s="51">
        <v>4.55</v>
      </c>
      <c r="G27" s="52">
        <v>65.319999999999993</v>
      </c>
      <c r="H27" s="53">
        <v>20.82</v>
      </c>
      <c r="I27" s="54">
        <v>624.6</v>
      </c>
      <c r="J27" s="62">
        <v>8.3279999999999976</v>
      </c>
      <c r="K27" s="63">
        <v>12.491999999999996</v>
      </c>
      <c r="L27" s="63">
        <v>249.84</v>
      </c>
      <c r="M27" s="101">
        <v>374.76</v>
      </c>
      <c r="N27" s="57">
        <v>44.5</v>
      </c>
      <c r="O27" s="58">
        <v>52.827999999999996</v>
      </c>
      <c r="P27" s="43">
        <v>1335</v>
      </c>
      <c r="Q27" s="59">
        <v>1584.84</v>
      </c>
      <c r="R27" s="43"/>
      <c r="S27" s="102">
        <v>249.84</v>
      </c>
      <c r="T27" s="103">
        <v>374.76</v>
      </c>
      <c r="U27" s="46"/>
    </row>
    <row r="28" spans="1:21" x14ac:dyDescent="0.25">
      <c r="A28" s="47">
        <v>37025</v>
      </c>
      <c r="B28" s="48">
        <v>22</v>
      </c>
      <c r="C28" s="49">
        <v>30</v>
      </c>
      <c r="D28" s="100">
        <v>44.5</v>
      </c>
      <c r="E28" s="51">
        <v>4.55</v>
      </c>
      <c r="F28" s="51">
        <v>4.55</v>
      </c>
      <c r="G28" s="52">
        <v>65.319999999999993</v>
      </c>
      <c r="H28" s="53">
        <v>20.82</v>
      </c>
      <c r="I28" s="54">
        <v>624.6</v>
      </c>
      <c r="J28" s="62">
        <v>8.3279999999999976</v>
      </c>
      <c r="K28" s="63">
        <v>12.491999999999996</v>
      </c>
      <c r="L28" s="63">
        <v>249.84</v>
      </c>
      <c r="M28" s="101">
        <v>374.76</v>
      </c>
      <c r="N28" s="57">
        <v>44.5</v>
      </c>
      <c r="O28" s="58">
        <v>52.827999999999996</v>
      </c>
      <c r="P28" s="43">
        <v>1335</v>
      </c>
      <c r="Q28" s="59">
        <v>1584.84</v>
      </c>
      <c r="R28" s="43"/>
      <c r="S28" s="102">
        <v>249.84</v>
      </c>
      <c r="T28" s="103">
        <v>374.76</v>
      </c>
      <c r="U28" s="46"/>
    </row>
    <row r="29" spans="1:21" x14ac:dyDescent="0.25">
      <c r="A29" s="47">
        <v>37025</v>
      </c>
      <c r="B29" s="48">
        <v>23</v>
      </c>
      <c r="C29" s="49">
        <v>0</v>
      </c>
      <c r="D29" s="100">
        <v>0</v>
      </c>
      <c r="E29" s="51">
        <v>4.55</v>
      </c>
      <c r="F29" s="51">
        <v>4.55</v>
      </c>
      <c r="G29" s="52">
        <v>65.319999999999993</v>
      </c>
      <c r="H29" s="53" t="s">
        <v>36</v>
      </c>
      <c r="I29" s="54" t="s">
        <v>36</v>
      </c>
      <c r="J29" s="62" t="s">
        <v>36</v>
      </c>
      <c r="K29" s="43" t="s">
        <v>36</v>
      </c>
      <c r="L29" s="43" t="s">
        <v>36</v>
      </c>
      <c r="M29" s="101" t="s">
        <v>36</v>
      </c>
      <c r="N29" s="57" t="s">
        <v>36</v>
      </c>
      <c r="O29" s="58" t="s">
        <v>36</v>
      </c>
      <c r="P29" s="43" t="s">
        <v>36</v>
      </c>
      <c r="Q29" s="59" t="s">
        <v>36</v>
      </c>
      <c r="R29" s="43"/>
      <c r="S29" s="102" t="s">
        <v>36</v>
      </c>
      <c r="T29" s="103" t="s">
        <v>36</v>
      </c>
      <c r="U29" s="46"/>
    </row>
    <row r="30" spans="1:21" x14ac:dyDescent="0.25">
      <c r="A30" s="65">
        <v>37025</v>
      </c>
      <c r="B30" s="66">
        <v>24</v>
      </c>
      <c r="C30" s="67">
        <v>0</v>
      </c>
      <c r="D30" s="104">
        <v>0</v>
      </c>
      <c r="E30" s="69">
        <v>4.55</v>
      </c>
      <c r="F30" s="69">
        <v>4.55</v>
      </c>
      <c r="G30" s="70">
        <v>65.319999999999993</v>
      </c>
      <c r="H30" s="71" t="s">
        <v>36</v>
      </c>
      <c r="I30" s="72" t="s">
        <v>36</v>
      </c>
      <c r="J30" s="105" t="s">
        <v>36</v>
      </c>
      <c r="K30" s="74" t="s">
        <v>36</v>
      </c>
      <c r="L30" s="74" t="s">
        <v>36</v>
      </c>
      <c r="M30" s="106" t="s">
        <v>36</v>
      </c>
      <c r="N30" s="76" t="s">
        <v>36</v>
      </c>
      <c r="O30" s="77" t="s">
        <v>36</v>
      </c>
      <c r="P30" s="74" t="s">
        <v>36</v>
      </c>
      <c r="Q30" s="78" t="s">
        <v>36</v>
      </c>
      <c r="R30" s="43"/>
      <c r="S30" s="107" t="s">
        <v>36</v>
      </c>
      <c r="T30" s="108" t="s">
        <v>36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109"/>
    </row>
    <row r="32" spans="1:21" x14ac:dyDescent="0.25">
      <c r="K32" s="84"/>
      <c r="L32" s="84"/>
      <c r="M32" s="84"/>
      <c r="N32" s="85"/>
      <c r="O32" s="84"/>
      <c r="P32" s="85"/>
      <c r="Q32" s="86">
        <v>24829.16</v>
      </c>
      <c r="R32" s="87"/>
      <c r="S32" s="86">
        <v>3914.16</v>
      </c>
      <c r="T32" s="86">
        <v>5871.24</v>
      </c>
    </row>
    <row r="33" spans="1:22" x14ac:dyDescent="0.25">
      <c r="D33"/>
      <c r="N33"/>
      <c r="P33"/>
      <c r="R33"/>
      <c r="T33"/>
    </row>
    <row r="34" spans="1:22" ht="12.75" hidden="1" customHeight="1" x14ac:dyDescent="0.25">
      <c r="B34" t="s">
        <v>33</v>
      </c>
      <c r="C34">
        <v>313</v>
      </c>
    </row>
    <row r="35" spans="1:22" x14ac:dyDescent="0.25">
      <c r="D35"/>
      <c r="N35"/>
      <c r="P35"/>
      <c r="R35"/>
      <c r="T35"/>
    </row>
    <row r="36" spans="1:22" x14ac:dyDescent="0.25">
      <c r="D36"/>
      <c r="N36"/>
      <c r="P36"/>
      <c r="R36"/>
      <c r="T36"/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5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v>37025</v>
      </c>
      <c r="B41" s="30">
        <v>1</v>
      </c>
      <c r="C41" s="31">
        <v>23</v>
      </c>
      <c r="D41" s="110">
        <v>16</v>
      </c>
      <c r="E41" s="33">
        <v>4.55</v>
      </c>
      <c r="F41" s="33">
        <v>4.55</v>
      </c>
      <c r="G41" s="34">
        <v>65.319999999999993</v>
      </c>
      <c r="H41" s="35">
        <v>49.32</v>
      </c>
      <c r="I41" s="36">
        <v>1134.3599999999999</v>
      </c>
      <c r="J41" s="96">
        <v>1</v>
      </c>
      <c r="K41" s="38">
        <v>48.32</v>
      </c>
      <c r="L41" s="38">
        <v>23</v>
      </c>
      <c r="M41" s="97">
        <v>1111.3599999999999</v>
      </c>
      <c r="N41" s="40">
        <v>16</v>
      </c>
      <c r="O41" s="41">
        <v>17</v>
      </c>
      <c r="P41" s="38">
        <v>368</v>
      </c>
      <c r="Q41" s="42">
        <v>391</v>
      </c>
      <c r="R41" s="43"/>
      <c r="S41" s="98">
        <v>23</v>
      </c>
      <c r="T41" s="99">
        <v>1111.3599999999999</v>
      </c>
      <c r="U41" s="46"/>
    </row>
    <row r="42" spans="1:22" x14ac:dyDescent="0.25">
      <c r="A42" s="47">
        <v>37025</v>
      </c>
      <c r="B42" s="48">
        <v>2</v>
      </c>
      <c r="C42" s="49">
        <v>21</v>
      </c>
      <c r="D42" s="111">
        <v>16</v>
      </c>
      <c r="E42" s="51">
        <v>4.55</v>
      </c>
      <c r="F42" s="51">
        <v>4.55</v>
      </c>
      <c r="G42" s="52">
        <v>65.319999999999993</v>
      </c>
      <c r="H42" s="53">
        <v>49.32</v>
      </c>
      <c r="I42" s="54">
        <v>1035.72</v>
      </c>
      <c r="J42" s="62">
        <v>1</v>
      </c>
      <c r="K42" s="43">
        <v>48.32</v>
      </c>
      <c r="L42" s="43">
        <v>21</v>
      </c>
      <c r="M42" s="101">
        <v>1014.72</v>
      </c>
      <c r="N42" s="57">
        <v>16</v>
      </c>
      <c r="O42" s="58">
        <v>17</v>
      </c>
      <c r="P42" s="43">
        <v>336</v>
      </c>
      <c r="Q42" s="59">
        <v>357</v>
      </c>
      <c r="R42" s="43"/>
      <c r="S42" s="102">
        <v>21</v>
      </c>
      <c r="T42" s="103">
        <v>1014.72</v>
      </c>
      <c r="U42" s="46"/>
    </row>
    <row r="43" spans="1:22" x14ac:dyDescent="0.25">
      <c r="A43" s="47">
        <v>37025</v>
      </c>
      <c r="B43" s="48">
        <v>3</v>
      </c>
      <c r="C43" s="49">
        <v>19</v>
      </c>
      <c r="D43" s="111">
        <v>15</v>
      </c>
      <c r="E43" s="51">
        <v>4.55</v>
      </c>
      <c r="F43" s="51">
        <v>4.55</v>
      </c>
      <c r="G43" s="52">
        <v>65.319999999999993</v>
      </c>
      <c r="H43" s="53">
        <v>50.32</v>
      </c>
      <c r="I43" s="54">
        <v>956.08</v>
      </c>
      <c r="J43" s="62">
        <v>1</v>
      </c>
      <c r="K43" s="43">
        <v>49.32</v>
      </c>
      <c r="L43" s="43">
        <v>19</v>
      </c>
      <c r="M43" s="101">
        <v>937.08</v>
      </c>
      <c r="N43" s="57">
        <v>15</v>
      </c>
      <c r="O43" s="58">
        <v>16</v>
      </c>
      <c r="P43" s="43">
        <v>285</v>
      </c>
      <c r="Q43" s="59">
        <v>304</v>
      </c>
      <c r="R43" s="43"/>
      <c r="S43" s="102">
        <v>19</v>
      </c>
      <c r="T43" s="103">
        <v>937.08</v>
      </c>
      <c r="U43" s="46"/>
    </row>
    <row r="44" spans="1:22" x14ac:dyDescent="0.25">
      <c r="A44" s="47">
        <v>37025</v>
      </c>
      <c r="B44" s="48">
        <v>4</v>
      </c>
      <c r="C44" s="49">
        <v>17</v>
      </c>
      <c r="D44" s="111">
        <v>15</v>
      </c>
      <c r="E44" s="51">
        <v>4.55</v>
      </c>
      <c r="F44" s="51">
        <v>4.55</v>
      </c>
      <c r="G44" s="52">
        <v>65.319999999999993</v>
      </c>
      <c r="H44" s="53">
        <v>50.32</v>
      </c>
      <c r="I44" s="54">
        <v>855.44</v>
      </c>
      <c r="J44" s="62">
        <v>1</v>
      </c>
      <c r="K44" s="43">
        <v>49.32</v>
      </c>
      <c r="L44" s="43">
        <v>17</v>
      </c>
      <c r="M44" s="101">
        <v>838.44</v>
      </c>
      <c r="N44" s="57">
        <v>15</v>
      </c>
      <c r="O44" s="58">
        <v>16</v>
      </c>
      <c r="P44" s="43">
        <v>255</v>
      </c>
      <c r="Q44" s="59">
        <v>272</v>
      </c>
      <c r="R44" s="43"/>
      <c r="S44" s="102">
        <v>17</v>
      </c>
      <c r="T44" s="103">
        <v>838.44</v>
      </c>
      <c r="U44" s="46"/>
    </row>
    <row r="45" spans="1:22" x14ac:dyDescent="0.25">
      <c r="A45" s="47">
        <v>37025</v>
      </c>
      <c r="B45" s="48">
        <v>5</v>
      </c>
      <c r="C45" s="49">
        <v>17</v>
      </c>
      <c r="D45" s="111">
        <v>15</v>
      </c>
      <c r="E45" s="51">
        <v>4.55</v>
      </c>
      <c r="F45" s="51">
        <v>4.55</v>
      </c>
      <c r="G45" s="52">
        <v>65.319999999999993</v>
      </c>
      <c r="H45" s="53">
        <v>50.32</v>
      </c>
      <c r="I45" s="54">
        <v>855.44</v>
      </c>
      <c r="J45" s="62">
        <v>1</v>
      </c>
      <c r="K45" s="43">
        <v>49.32</v>
      </c>
      <c r="L45" s="43">
        <v>17</v>
      </c>
      <c r="M45" s="101">
        <v>838.44</v>
      </c>
      <c r="N45" s="57">
        <v>15</v>
      </c>
      <c r="O45" s="58">
        <v>16</v>
      </c>
      <c r="P45" s="43">
        <v>255</v>
      </c>
      <c r="Q45" s="59">
        <v>272</v>
      </c>
      <c r="R45" s="43"/>
      <c r="S45" s="102">
        <v>17</v>
      </c>
      <c r="T45" s="103">
        <v>838.44</v>
      </c>
      <c r="U45" s="46"/>
    </row>
    <row r="46" spans="1:22" x14ac:dyDescent="0.25">
      <c r="A46" s="47">
        <v>37025</v>
      </c>
      <c r="B46" s="48">
        <v>6</v>
      </c>
      <c r="C46" s="49">
        <v>18</v>
      </c>
      <c r="D46" s="111">
        <v>17</v>
      </c>
      <c r="E46" s="51">
        <v>4.55</v>
      </c>
      <c r="F46" s="51">
        <v>4.55</v>
      </c>
      <c r="G46" s="52">
        <v>65.319999999999993</v>
      </c>
      <c r="H46" s="53">
        <v>48.32</v>
      </c>
      <c r="I46" s="54">
        <v>869.76</v>
      </c>
      <c r="J46" s="62">
        <v>1</v>
      </c>
      <c r="K46" s="43">
        <v>47.32</v>
      </c>
      <c r="L46" s="43">
        <v>18</v>
      </c>
      <c r="M46" s="101">
        <v>851.76</v>
      </c>
      <c r="N46" s="57">
        <v>17</v>
      </c>
      <c r="O46" s="58">
        <v>18</v>
      </c>
      <c r="P46" s="43">
        <v>306</v>
      </c>
      <c r="Q46" s="59">
        <v>324</v>
      </c>
      <c r="R46" s="43"/>
      <c r="S46" s="102">
        <v>18</v>
      </c>
      <c r="T46" s="103">
        <v>851.76</v>
      </c>
      <c r="U46" s="46"/>
    </row>
    <row r="47" spans="1:22" x14ac:dyDescent="0.25">
      <c r="A47" s="47">
        <v>37025</v>
      </c>
      <c r="B47" s="48">
        <v>7</v>
      </c>
      <c r="C47" s="49">
        <v>0</v>
      </c>
      <c r="D47" s="111">
        <v>0</v>
      </c>
      <c r="E47" s="51">
        <v>4.55</v>
      </c>
      <c r="F47" s="51">
        <v>4.55</v>
      </c>
      <c r="G47" s="52">
        <v>65.319999999999993</v>
      </c>
      <c r="H47" s="53" t="s">
        <v>36</v>
      </c>
      <c r="I47" s="54" t="s">
        <v>36</v>
      </c>
      <c r="J47" s="62" t="s">
        <v>36</v>
      </c>
      <c r="K47" s="63" t="s">
        <v>36</v>
      </c>
      <c r="L47" s="63" t="s">
        <v>36</v>
      </c>
      <c r="M47" s="101" t="s">
        <v>36</v>
      </c>
      <c r="N47" s="57" t="s">
        <v>36</v>
      </c>
      <c r="O47" s="58" t="s">
        <v>36</v>
      </c>
      <c r="P47" s="43" t="s">
        <v>36</v>
      </c>
      <c r="Q47" s="59" t="s">
        <v>36</v>
      </c>
      <c r="R47" s="43"/>
      <c r="S47" s="102" t="s">
        <v>36</v>
      </c>
      <c r="T47" s="103" t="s">
        <v>36</v>
      </c>
      <c r="U47" s="46"/>
    </row>
    <row r="48" spans="1:22" x14ac:dyDescent="0.25">
      <c r="A48" s="47">
        <v>37025</v>
      </c>
      <c r="B48" s="48">
        <v>8</v>
      </c>
      <c r="C48" s="49">
        <v>0</v>
      </c>
      <c r="D48" s="111">
        <v>0</v>
      </c>
      <c r="E48" s="51">
        <v>4.55</v>
      </c>
      <c r="F48" s="51">
        <v>4.55</v>
      </c>
      <c r="G48" s="52">
        <v>65.319999999999993</v>
      </c>
      <c r="H48" s="53" t="s">
        <v>36</v>
      </c>
      <c r="I48" s="54" t="s">
        <v>36</v>
      </c>
      <c r="J48" s="62" t="s">
        <v>36</v>
      </c>
      <c r="K48" s="63" t="s">
        <v>36</v>
      </c>
      <c r="L48" s="63" t="s">
        <v>36</v>
      </c>
      <c r="M48" s="101" t="s">
        <v>36</v>
      </c>
      <c r="N48" s="57" t="s">
        <v>36</v>
      </c>
      <c r="O48" s="58" t="s">
        <v>36</v>
      </c>
      <c r="P48" s="43" t="s">
        <v>36</v>
      </c>
      <c r="Q48" s="59" t="s">
        <v>36</v>
      </c>
      <c r="R48" s="43"/>
      <c r="S48" s="102" t="s">
        <v>36</v>
      </c>
      <c r="T48" s="103" t="s">
        <v>36</v>
      </c>
      <c r="U48" s="46"/>
    </row>
    <row r="49" spans="1:21" x14ac:dyDescent="0.25">
      <c r="A49" s="47">
        <v>37025</v>
      </c>
      <c r="B49" s="48">
        <v>9</v>
      </c>
      <c r="C49" s="49">
        <v>0</v>
      </c>
      <c r="D49" s="111">
        <v>0</v>
      </c>
      <c r="E49" s="51">
        <v>4.55</v>
      </c>
      <c r="F49" s="51">
        <v>4.55</v>
      </c>
      <c r="G49" s="52">
        <v>65.319999999999993</v>
      </c>
      <c r="H49" s="53" t="s">
        <v>36</v>
      </c>
      <c r="I49" s="54" t="s">
        <v>36</v>
      </c>
      <c r="J49" s="62" t="s">
        <v>36</v>
      </c>
      <c r="K49" s="63" t="s">
        <v>36</v>
      </c>
      <c r="L49" s="63" t="s">
        <v>36</v>
      </c>
      <c r="M49" s="101" t="s">
        <v>36</v>
      </c>
      <c r="N49" s="57" t="s">
        <v>36</v>
      </c>
      <c r="O49" s="58" t="s">
        <v>36</v>
      </c>
      <c r="P49" s="43" t="s">
        <v>36</v>
      </c>
      <c r="Q49" s="59" t="s">
        <v>36</v>
      </c>
      <c r="R49" s="43"/>
      <c r="S49" s="102" t="s">
        <v>36</v>
      </c>
      <c r="T49" s="103" t="s">
        <v>36</v>
      </c>
      <c r="U49" s="46"/>
    </row>
    <row r="50" spans="1:21" x14ac:dyDescent="0.25">
      <c r="A50" s="47">
        <v>37025</v>
      </c>
      <c r="B50" s="48">
        <v>10</v>
      </c>
      <c r="C50" s="49">
        <v>0</v>
      </c>
      <c r="D50" s="111">
        <v>0</v>
      </c>
      <c r="E50" s="51">
        <v>4.55</v>
      </c>
      <c r="F50" s="51">
        <v>4.55</v>
      </c>
      <c r="G50" s="52">
        <v>65.319999999999993</v>
      </c>
      <c r="H50" s="53" t="s">
        <v>36</v>
      </c>
      <c r="I50" s="54" t="s">
        <v>36</v>
      </c>
      <c r="J50" s="62" t="s">
        <v>36</v>
      </c>
      <c r="K50" s="63" t="s">
        <v>36</v>
      </c>
      <c r="L50" s="63" t="s">
        <v>36</v>
      </c>
      <c r="M50" s="101" t="s">
        <v>36</v>
      </c>
      <c r="N50" s="57" t="s">
        <v>36</v>
      </c>
      <c r="O50" s="58" t="s">
        <v>36</v>
      </c>
      <c r="P50" s="43" t="s">
        <v>36</v>
      </c>
      <c r="Q50" s="59" t="s">
        <v>36</v>
      </c>
      <c r="R50" s="43"/>
      <c r="S50" s="102" t="s">
        <v>36</v>
      </c>
      <c r="T50" s="103" t="s">
        <v>36</v>
      </c>
      <c r="U50" s="46"/>
    </row>
    <row r="51" spans="1:21" x14ac:dyDescent="0.25">
      <c r="A51" s="47">
        <v>37025</v>
      </c>
      <c r="B51" s="48">
        <v>11</v>
      </c>
      <c r="C51" s="49">
        <v>0</v>
      </c>
      <c r="D51" s="111">
        <v>0</v>
      </c>
      <c r="E51" s="51">
        <v>4.55</v>
      </c>
      <c r="F51" s="51">
        <v>4.55</v>
      </c>
      <c r="G51" s="52">
        <v>65.319999999999993</v>
      </c>
      <c r="H51" s="53" t="s">
        <v>36</v>
      </c>
      <c r="I51" s="54" t="s">
        <v>36</v>
      </c>
      <c r="J51" s="62" t="s">
        <v>36</v>
      </c>
      <c r="K51" s="63" t="s">
        <v>36</v>
      </c>
      <c r="L51" s="63" t="s">
        <v>36</v>
      </c>
      <c r="M51" s="101" t="s">
        <v>36</v>
      </c>
      <c r="N51" s="57" t="s">
        <v>36</v>
      </c>
      <c r="O51" s="58" t="s">
        <v>36</v>
      </c>
      <c r="P51" s="43" t="s">
        <v>36</v>
      </c>
      <c r="Q51" s="59" t="s">
        <v>36</v>
      </c>
      <c r="R51" s="43"/>
      <c r="S51" s="102" t="s">
        <v>36</v>
      </c>
      <c r="T51" s="103" t="s">
        <v>36</v>
      </c>
      <c r="U51" s="46"/>
    </row>
    <row r="52" spans="1:21" x14ac:dyDescent="0.25">
      <c r="A52" s="47">
        <v>37025</v>
      </c>
      <c r="B52" s="48">
        <v>12</v>
      </c>
      <c r="C52" s="49">
        <v>0</v>
      </c>
      <c r="D52" s="111">
        <v>0</v>
      </c>
      <c r="E52" s="51">
        <v>4.55</v>
      </c>
      <c r="F52" s="51">
        <v>4.55</v>
      </c>
      <c r="G52" s="52">
        <v>65.319999999999993</v>
      </c>
      <c r="H52" s="53" t="s">
        <v>36</v>
      </c>
      <c r="I52" s="54" t="s">
        <v>36</v>
      </c>
      <c r="J52" s="62" t="s">
        <v>36</v>
      </c>
      <c r="K52" s="63" t="s">
        <v>36</v>
      </c>
      <c r="L52" s="63" t="s">
        <v>36</v>
      </c>
      <c r="M52" s="101" t="s">
        <v>36</v>
      </c>
      <c r="N52" s="57" t="s">
        <v>36</v>
      </c>
      <c r="O52" s="58" t="s">
        <v>36</v>
      </c>
      <c r="P52" s="43" t="s">
        <v>36</v>
      </c>
      <c r="Q52" s="59" t="s">
        <v>36</v>
      </c>
      <c r="R52" s="43"/>
      <c r="S52" s="102" t="s">
        <v>36</v>
      </c>
      <c r="T52" s="103" t="s">
        <v>36</v>
      </c>
      <c r="U52" s="46"/>
    </row>
    <row r="53" spans="1:21" x14ac:dyDescent="0.25">
      <c r="A53" s="47">
        <v>37025</v>
      </c>
      <c r="B53" s="48">
        <v>13</v>
      </c>
      <c r="C53" s="49">
        <v>0</v>
      </c>
      <c r="D53" s="111">
        <v>0</v>
      </c>
      <c r="E53" s="51">
        <v>4.55</v>
      </c>
      <c r="F53" s="51">
        <v>4.55</v>
      </c>
      <c r="G53" s="52">
        <v>65.319999999999993</v>
      </c>
      <c r="H53" s="53" t="s">
        <v>36</v>
      </c>
      <c r="I53" s="54" t="s">
        <v>36</v>
      </c>
      <c r="J53" s="62" t="s">
        <v>36</v>
      </c>
      <c r="K53" s="63" t="s">
        <v>36</v>
      </c>
      <c r="L53" s="63" t="s">
        <v>36</v>
      </c>
      <c r="M53" s="101" t="s">
        <v>36</v>
      </c>
      <c r="N53" s="57" t="s">
        <v>36</v>
      </c>
      <c r="O53" s="58" t="s">
        <v>36</v>
      </c>
      <c r="P53" s="43" t="s">
        <v>36</v>
      </c>
      <c r="Q53" s="59" t="s">
        <v>36</v>
      </c>
      <c r="R53" s="43"/>
      <c r="S53" s="102" t="s">
        <v>36</v>
      </c>
      <c r="T53" s="103" t="s">
        <v>36</v>
      </c>
      <c r="U53" s="46"/>
    </row>
    <row r="54" spans="1:21" x14ac:dyDescent="0.25">
      <c r="A54" s="47">
        <v>37025</v>
      </c>
      <c r="B54" s="48">
        <v>14</v>
      </c>
      <c r="C54" s="49">
        <v>0</v>
      </c>
      <c r="D54" s="111">
        <v>0</v>
      </c>
      <c r="E54" s="51">
        <v>4.55</v>
      </c>
      <c r="F54" s="51">
        <v>4.55</v>
      </c>
      <c r="G54" s="52">
        <v>65.319999999999993</v>
      </c>
      <c r="H54" s="53" t="s">
        <v>36</v>
      </c>
      <c r="I54" s="54" t="s">
        <v>36</v>
      </c>
      <c r="J54" s="62" t="s">
        <v>36</v>
      </c>
      <c r="K54" s="63" t="s">
        <v>36</v>
      </c>
      <c r="L54" s="63" t="s">
        <v>36</v>
      </c>
      <c r="M54" s="101" t="s">
        <v>36</v>
      </c>
      <c r="N54" s="57" t="s">
        <v>36</v>
      </c>
      <c r="O54" s="58" t="s">
        <v>36</v>
      </c>
      <c r="P54" s="43" t="s">
        <v>36</v>
      </c>
      <c r="Q54" s="59" t="s">
        <v>36</v>
      </c>
      <c r="R54" s="43"/>
      <c r="S54" s="102" t="s">
        <v>36</v>
      </c>
      <c r="T54" s="103" t="s">
        <v>36</v>
      </c>
      <c r="U54" s="46"/>
    </row>
    <row r="55" spans="1:21" x14ac:dyDescent="0.25">
      <c r="A55" s="47">
        <v>37025</v>
      </c>
      <c r="B55" s="48">
        <v>15</v>
      </c>
      <c r="C55" s="49">
        <v>0</v>
      </c>
      <c r="D55" s="111">
        <v>0</v>
      </c>
      <c r="E55" s="51">
        <v>4.55</v>
      </c>
      <c r="F55" s="51">
        <v>4.55</v>
      </c>
      <c r="G55" s="52">
        <v>65.319999999999993</v>
      </c>
      <c r="H55" s="53" t="s">
        <v>36</v>
      </c>
      <c r="I55" s="54" t="s">
        <v>36</v>
      </c>
      <c r="J55" s="62" t="s">
        <v>36</v>
      </c>
      <c r="K55" s="63" t="s">
        <v>36</v>
      </c>
      <c r="L55" s="63" t="s">
        <v>36</v>
      </c>
      <c r="M55" s="101" t="s">
        <v>36</v>
      </c>
      <c r="N55" s="57" t="s">
        <v>36</v>
      </c>
      <c r="O55" s="58"/>
      <c r="P55" s="43" t="s">
        <v>36</v>
      </c>
      <c r="Q55" s="59" t="s">
        <v>36</v>
      </c>
      <c r="R55" s="43"/>
      <c r="S55" s="102" t="s">
        <v>36</v>
      </c>
      <c r="T55" s="103" t="s">
        <v>36</v>
      </c>
      <c r="U55" s="46"/>
    </row>
    <row r="56" spans="1:21" x14ac:dyDescent="0.25">
      <c r="A56" s="47">
        <v>37025</v>
      </c>
      <c r="B56" s="48">
        <v>16</v>
      </c>
      <c r="C56" s="49">
        <v>0</v>
      </c>
      <c r="D56" s="111">
        <v>0</v>
      </c>
      <c r="E56" s="51">
        <v>4.55</v>
      </c>
      <c r="F56" s="51">
        <v>4.55</v>
      </c>
      <c r="G56" s="52">
        <v>65.319999999999993</v>
      </c>
      <c r="H56" s="53" t="s">
        <v>36</v>
      </c>
      <c r="I56" s="54" t="s">
        <v>36</v>
      </c>
      <c r="J56" s="62" t="s">
        <v>36</v>
      </c>
      <c r="K56" s="63" t="s">
        <v>36</v>
      </c>
      <c r="L56" s="63" t="s">
        <v>36</v>
      </c>
      <c r="M56" s="101" t="s">
        <v>36</v>
      </c>
      <c r="N56" s="57" t="s">
        <v>36</v>
      </c>
      <c r="O56" s="58"/>
      <c r="P56" s="43" t="s">
        <v>36</v>
      </c>
      <c r="Q56" s="59" t="s">
        <v>36</v>
      </c>
      <c r="R56" s="43"/>
      <c r="S56" s="102" t="s">
        <v>36</v>
      </c>
      <c r="T56" s="103" t="s">
        <v>36</v>
      </c>
      <c r="U56" s="46"/>
    </row>
    <row r="57" spans="1:21" x14ac:dyDescent="0.25">
      <c r="A57" s="47">
        <v>37025</v>
      </c>
      <c r="B57" s="48">
        <v>17</v>
      </c>
      <c r="C57" s="49">
        <v>5</v>
      </c>
      <c r="D57" s="111">
        <v>50</v>
      </c>
      <c r="E57" s="51">
        <v>4.55</v>
      </c>
      <c r="F57" s="51">
        <v>4.55</v>
      </c>
      <c r="G57" s="52">
        <v>65.319999999999993</v>
      </c>
      <c r="H57" s="53">
        <v>15.32</v>
      </c>
      <c r="I57" s="54">
        <v>76.599999999999994</v>
      </c>
      <c r="J57" s="62">
        <v>6.1279999999999974</v>
      </c>
      <c r="K57" s="63">
        <v>9.1919999999999948</v>
      </c>
      <c r="L57" s="63">
        <v>30.64</v>
      </c>
      <c r="M57" s="101">
        <v>45.96</v>
      </c>
      <c r="N57" s="57">
        <v>50</v>
      </c>
      <c r="O57" s="58"/>
      <c r="P57" s="43">
        <v>250</v>
      </c>
      <c r="Q57" s="59">
        <v>0</v>
      </c>
      <c r="R57" s="43"/>
      <c r="S57" s="102">
        <v>30.64</v>
      </c>
      <c r="T57" s="103">
        <v>45.96</v>
      </c>
      <c r="U57" s="46"/>
    </row>
    <row r="58" spans="1:21" x14ac:dyDescent="0.25">
      <c r="A58" s="47">
        <v>37025</v>
      </c>
      <c r="B58" s="48">
        <v>18</v>
      </c>
      <c r="C58" s="49">
        <v>5</v>
      </c>
      <c r="D58" s="111">
        <v>50</v>
      </c>
      <c r="E58" s="51">
        <v>4.55</v>
      </c>
      <c r="F58" s="51">
        <v>4.55</v>
      </c>
      <c r="G58" s="52">
        <v>65.319999999999993</v>
      </c>
      <c r="H58" s="53">
        <v>15.32</v>
      </c>
      <c r="I58" s="54">
        <v>76.599999999999994</v>
      </c>
      <c r="J58" s="62">
        <v>6.1279999999999974</v>
      </c>
      <c r="K58" s="63">
        <v>9.1919999999999948</v>
      </c>
      <c r="L58" s="63">
        <v>30.64</v>
      </c>
      <c r="M58" s="101">
        <v>45.96</v>
      </c>
      <c r="N58" s="57">
        <v>50</v>
      </c>
      <c r="O58" s="58">
        <v>56.128</v>
      </c>
      <c r="P58" s="43">
        <v>250</v>
      </c>
      <c r="Q58" s="59">
        <v>280.64</v>
      </c>
      <c r="R58" s="43"/>
      <c r="S58" s="102">
        <v>30.64</v>
      </c>
      <c r="T58" s="103">
        <v>45.96</v>
      </c>
      <c r="U58" s="46"/>
    </row>
    <row r="59" spans="1:21" x14ac:dyDescent="0.25">
      <c r="A59" s="47">
        <v>37025</v>
      </c>
      <c r="B59" s="48">
        <v>19</v>
      </c>
      <c r="C59" s="49">
        <v>5</v>
      </c>
      <c r="D59" s="111">
        <v>50</v>
      </c>
      <c r="E59" s="51">
        <v>4.55</v>
      </c>
      <c r="F59" s="51">
        <v>4.55</v>
      </c>
      <c r="G59" s="52">
        <v>65.319999999999993</v>
      </c>
      <c r="H59" s="53">
        <v>15.32</v>
      </c>
      <c r="I59" s="54">
        <v>76.599999999999994</v>
      </c>
      <c r="J59" s="62">
        <v>6.1279999999999974</v>
      </c>
      <c r="K59" s="63">
        <v>9.1919999999999948</v>
      </c>
      <c r="L59" s="63">
        <v>30.64</v>
      </c>
      <c r="M59" s="101">
        <v>45.96</v>
      </c>
      <c r="N59" s="57">
        <v>50</v>
      </c>
      <c r="O59" s="58">
        <v>56.128</v>
      </c>
      <c r="P59" s="43">
        <v>250</v>
      </c>
      <c r="Q59" s="59">
        <v>280.64</v>
      </c>
      <c r="R59" s="43"/>
      <c r="S59" s="102">
        <v>30.64</v>
      </c>
      <c r="T59" s="103">
        <v>45.96</v>
      </c>
      <c r="U59" s="46"/>
    </row>
    <row r="60" spans="1:21" x14ac:dyDescent="0.25">
      <c r="A60" s="47">
        <v>37025</v>
      </c>
      <c r="B60" s="48">
        <v>20</v>
      </c>
      <c r="C60" s="49">
        <v>5</v>
      </c>
      <c r="D60" s="111">
        <v>50</v>
      </c>
      <c r="E60" s="51">
        <v>4.55</v>
      </c>
      <c r="F60" s="51">
        <v>4.55</v>
      </c>
      <c r="G60" s="52">
        <v>65.319999999999993</v>
      </c>
      <c r="H60" s="53">
        <v>15.32</v>
      </c>
      <c r="I60" s="54">
        <v>76.599999999999994</v>
      </c>
      <c r="J60" s="62">
        <v>6.1279999999999974</v>
      </c>
      <c r="K60" s="63">
        <v>9.1919999999999948</v>
      </c>
      <c r="L60" s="63">
        <v>30.64</v>
      </c>
      <c r="M60" s="101">
        <v>45.96</v>
      </c>
      <c r="N60" s="57">
        <v>50</v>
      </c>
      <c r="O60" s="58">
        <v>56.128</v>
      </c>
      <c r="P60" s="43">
        <v>250</v>
      </c>
      <c r="Q60" s="59">
        <v>280.64</v>
      </c>
      <c r="R60" s="43"/>
      <c r="S60" s="102">
        <v>30.64</v>
      </c>
      <c r="T60" s="103">
        <v>45.96</v>
      </c>
      <c r="U60" s="46"/>
    </row>
    <row r="61" spans="1:21" x14ac:dyDescent="0.25">
      <c r="A61" s="47">
        <v>37025</v>
      </c>
      <c r="B61" s="48">
        <v>21</v>
      </c>
      <c r="C61" s="49">
        <v>5</v>
      </c>
      <c r="D61" s="111">
        <v>50</v>
      </c>
      <c r="E61" s="51">
        <v>4.55</v>
      </c>
      <c r="F61" s="51">
        <v>4.55</v>
      </c>
      <c r="G61" s="52">
        <v>65.319999999999993</v>
      </c>
      <c r="H61" s="53">
        <v>15.32</v>
      </c>
      <c r="I61" s="54">
        <v>76.599999999999994</v>
      </c>
      <c r="J61" s="62">
        <v>6.1279999999999974</v>
      </c>
      <c r="K61" s="63">
        <v>9.1919999999999948</v>
      </c>
      <c r="L61" s="63">
        <v>30.64</v>
      </c>
      <c r="M61" s="101">
        <v>45.96</v>
      </c>
      <c r="N61" s="57">
        <v>50</v>
      </c>
      <c r="O61" s="58">
        <v>56.128</v>
      </c>
      <c r="P61" s="43">
        <v>250</v>
      </c>
      <c r="Q61" s="59">
        <v>280.64</v>
      </c>
      <c r="R61" s="43"/>
      <c r="S61" s="102">
        <v>30.64</v>
      </c>
      <c r="T61" s="103">
        <v>45.96</v>
      </c>
      <c r="U61" s="46"/>
    </row>
    <row r="62" spans="1:21" x14ac:dyDescent="0.25">
      <c r="A62" s="47">
        <v>37025</v>
      </c>
      <c r="B62" s="48">
        <v>22</v>
      </c>
      <c r="C62" s="49">
        <v>0</v>
      </c>
      <c r="D62" s="111">
        <v>0</v>
      </c>
      <c r="E62" s="51">
        <v>4.55</v>
      </c>
      <c r="F62" s="51">
        <v>4.55</v>
      </c>
      <c r="G62" s="52">
        <v>65.319999999999993</v>
      </c>
      <c r="H62" s="53" t="s">
        <v>36</v>
      </c>
      <c r="I62" s="54" t="s">
        <v>36</v>
      </c>
      <c r="J62" s="62" t="s">
        <v>36</v>
      </c>
      <c r="K62" s="63" t="s">
        <v>36</v>
      </c>
      <c r="L62" s="63" t="s">
        <v>36</v>
      </c>
      <c r="M62" s="101" t="s">
        <v>36</v>
      </c>
      <c r="N62" s="57" t="s">
        <v>36</v>
      </c>
      <c r="O62" s="58" t="s">
        <v>36</v>
      </c>
      <c r="P62" s="43" t="s">
        <v>36</v>
      </c>
      <c r="Q62" s="59" t="s">
        <v>36</v>
      </c>
      <c r="R62" s="43"/>
      <c r="S62" s="102" t="s">
        <v>36</v>
      </c>
      <c r="T62" s="103" t="s">
        <v>36</v>
      </c>
      <c r="U62" s="46"/>
    </row>
    <row r="63" spans="1:21" x14ac:dyDescent="0.25">
      <c r="A63" s="47">
        <v>37025</v>
      </c>
      <c r="B63" s="48">
        <v>23</v>
      </c>
      <c r="C63" s="49">
        <v>30</v>
      </c>
      <c r="D63" s="111">
        <v>42</v>
      </c>
      <c r="E63" s="51">
        <v>4.55</v>
      </c>
      <c r="F63" s="51">
        <v>4.55</v>
      </c>
      <c r="G63" s="52">
        <v>65.319999999999993</v>
      </c>
      <c r="H63" s="53">
        <v>23.32</v>
      </c>
      <c r="I63" s="54">
        <v>699.6</v>
      </c>
      <c r="J63" s="62">
        <v>1</v>
      </c>
      <c r="K63" s="43">
        <v>22.32</v>
      </c>
      <c r="L63" s="43">
        <v>30</v>
      </c>
      <c r="M63" s="101">
        <v>669.6</v>
      </c>
      <c r="N63" s="57">
        <v>42</v>
      </c>
      <c r="O63" s="58">
        <v>43</v>
      </c>
      <c r="P63" s="43">
        <v>1260</v>
      </c>
      <c r="Q63" s="59">
        <v>1290</v>
      </c>
      <c r="R63" s="43"/>
      <c r="S63" s="102">
        <v>30</v>
      </c>
      <c r="T63" s="103">
        <v>669.6</v>
      </c>
      <c r="U63" s="46"/>
    </row>
    <row r="64" spans="1:21" x14ac:dyDescent="0.25">
      <c r="A64" s="65">
        <v>37025</v>
      </c>
      <c r="B64" s="66">
        <v>24</v>
      </c>
      <c r="C64" s="67">
        <v>28</v>
      </c>
      <c r="D64" s="112">
        <v>34</v>
      </c>
      <c r="E64" s="69">
        <v>4.55</v>
      </c>
      <c r="F64" s="69">
        <v>4.55</v>
      </c>
      <c r="G64" s="70">
        <v>65.319999999999993</v>
      </c>
      <c r="H64" s="71">
        <v>31.32</v>
      </c>
      <c r="I64" s="72">
        <v>876.96</v>
      </c>
      <c r="J64" s="105">
        <v>1</v>
      </c>
      <c r="K64" s="74">
        <v>30.32</v>
      </c>
      <c r="L64" s="74">
        <v>28</v>
      </c>
      <c r="M64" s="106">
        <v>848.96</v>
      </c>
      <c r="N64" s="76">
        <v>34</v>
      </c>
      <c r="O64" s="77">
        <v>35</v>
      </c>
      <c r="P64" s="74">
        <v>952</v>
      </c>
      <c r="Q64" s="78">
        <v>980</v>
      </c>
      <c r="R64" s="43"/>
      <c r="S64" s="107">
        <v>28</v>
      </c>
      <c r="T64" s="108">
        <v>848.96</v>
      </c>
      <c r="U64" s="46"/>
    </row>
    <row r="65" spans="2:20" x14ac:dyDescent="0.25">
      <c r="D65"/>
      <c r="N65"/>
      <c r="P65"/>
      <c r="R65"/>
      <c r="T65"/>
    </row>
    <row r="66" spans="2:20" x14ac:dyDescent="0.25">
      <c r="Q66" s="82">
        <v>5312.56</v>
      </c>
      <c r="R66"/>
      <c r="T66"/>
    </row>
    <row r="67" spans="2:20" x14ac:dyDescent="0.25">
      <c r="D67"/>
      <c r="N67"/>
      <c r="P67"/>
      <c r="R67"/>
      <c r="T67"/>
    </row>
    <row r="68" spans="2:20" ht="12.75" hidden="1" customHeight="1" x14ac:dyDescent="0.25">
      <c r="B68" t="s">
        <v>33</v>
      </c>
      <c r="C68">
        <v>313</v>
      </c>
      <c r="R68"/>
      <c r="T68"/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workbookViewId="0">
      <selection activeCell="H15" sqref="H15"/>
    </sheetView>
  </sheetViews>
  <sheetFormatPr defaultColWidth="10" defaultRowHeight="13.2" x14ac:dyDescent="0.25"/>
  <cols>
    <col min="1" max="1" width="6.5546875" bestFit="1" customWidth="1"/>
    <col min="2" max="2" width="10" customWidth="1"/>
    <col min="3" max="3" width="11.88671875" customWidth="1"/>
    <col min="4" max="4" width="24.109375" style="1" bestFit="1" customWidth="1"/>
    <col min="5" max="6" width="14.44140625" customWidth="1"/>
    <col min="7" max="7" width="14.5546875" bestFit="1" customWidth="1"/>
    <col min="8" max="8" width="29.109375" bestFit="1" customWidth="1"/>
    <col min="9" max="9" width="26.6640625" bestFit="1" customWidth="1"/>
    <col min="10" max="10" width="17.33203125" bestFit="1" customWidth="1"/>
    <col min="11" max="11" width="14.441406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1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3">
        <v>37013</v>
      </c>
      <c r="D2" s="4"/>
    </row>
    <row r="3" spans="1:22" s="5" customFormat="1" x14ac:dyDescent="0.25"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C4" s="11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v>37013</v>
      </c>
      <c r="B7" s="30">
        <v>1</v>
      </c>
      <c r="C7" s="31">
        <v>17</v>
      </c>
      <c r="D7" s="32">
        <v>23</v>
      </c>
      <c r="E7" s="33">
        <v>4.75</v>
      </c>
      <c r="F7" s="33">
        <v>0</v>
      </c>
      <c r="G7" s="34">
        <v>62.2</v>
      </c>
      <c r="H7" s="35">
        <f t="shared" ref="H7:H30" si="0">IF(C7&gt;0,G7-D7,"")</f>
        <v>39.200000000000003</v>
      </c>
      <c r="I7" s="36">
        <f t="shared" ref="I7:I30" si="1">IF(C7&gt;0,H7*ABS(C7),"")</f>
        <v>666.40000000000009</v>
      </c>
      <c r="J7" s="37">
        <f t="shared" ref="J7:J12" si="2">IF(C7=0,"",1)</f>
        <v>1</v>
      </c>
      <c r="K7" s="38">
        <f t="shared" ref="K7:K12" si="3">IF(C7=0,"",G7-(D7+1))</f>
        <v>38.200000000000003</v>
      </c>
      <c r="L7" s="38">
        <f t="shared" ref="L7:L12" si="4">IF(C7=0,"",C7*J7)</f>
        <v>17</v>
      </c>
      <c r="M7" s="39">
        <f>IF(C7=0,"",C7*K7)</f>
        <v>649.40000000000009</v>
      </c>
      <c r="N7" s="40">
        <f>IF(C7=0,"",D7)</f>
        <v>23</v>
      </c>
      <c r="O7" s="41">
        <f t="shared" ref="O7:O12" si="5">IF(C7=0,"",D7+1)</f>
        <v>24</v>
      </c>
      <c r="P7" s="38">
        <f>IF(C7=0,"",N7*C7)</f>
        <v>391</v>
      </c>
      <c r="Q7" s="42">
        <f t="shared" ref="Q7:Q30" si="6">IF(C7=0,"",O7*C7)</f>
        <v>408</v>
      </c>
      <c r="R7" s="43"/>
      <c r="S7" s="44">
        <f>IF(C7=0,"",L7)</f>
        <v>17</v>
      </c>
      <c r="T7" s="45">
        <f>IF(C7=0,"",M7)</f>
        <v>649.40000000000009</v>
      </c>
      <c r="U7" s="46"/>
    </row>
    <row r="8" spans="1:22" x14ac:dyDescent="0.25">
      <c r="A8" s="47">
        <v>37013</v>
      </c>
      <c r="B8" s="48">
        <v>2</v>
      </c>
      <c r="C8" s="49">
        <v>19</v>
      </c>
      <c r="D8" s="50">
        <v>20</v>
      </c>
      <c r="E8" s="51">
        <v>4.75</v>
      </c>
      <c r="F8" s="51">
        <v>0</v>
      </c>
      <c r="G8" s="52">
        <v>62.2</v>
      </c>
      <c r="H8" s="53">
        <f t="shared" si="0"/>
        <v>42.2</v>
      </c>
      <c r="I8" s="54">
        <f t="shared" si="1"/>
        <v>801.80000000000007</v>
      </c>
      <c r="J8" s="55">
        <f t="shared" si="2"/>
        <v>1</v>
      </c>
      <c r="K8" s="43">
        <f t="shared" si="3"/>
        <v>41.2</v>
      </c>
      <c r="L8" s="43">
        <f t="shared" si="4"/>
        <v>19</v>
      </c>
      <c r="M8" s="56">
        <f t="shared" ref="M8:M30" si="7">IF(C8=0,"",C8*K8)</f>
        <v>782.80000000000007</v>
      </c>
      <c r="N8" s="57">
        <f t="shared" ref="N8:N30" si="8">IF(C8=0,"",D8)</f>
        <v>20</v>
      </c>
      <c r="O8" s="58">
        <f t="shared" si="5"/>
        <v>21</v>
      </c>
      <c r="P8" s="43">
        <f t="shared" ref="P8:P30" si="9">IF(C8=0,"",N8*C8)</f>
        <v>380</v>
      </c>
      <c r="Q8" s="59">
        <f t="shared" si="6"/>
        <v>399</v>
      </c>
      <c r="R8" s="43"/>
      <c r="S8" s="60">
        <f t="shared" ref="S8:S30" si="10">IF(C8=0,"",L8)</f>
        <v>19</v>
      </c>
      <c r="T8" s="61">
        <f t="shared" ref="T8:T30" si="11">IF(C8=0,"",M8)</f>
        <v>782.80000000000007</v>
      </c>
      <c r="U8" s="46"/>
    </row>
    <row r="9" spans="1:22" x14ac:dyDescent="0.25">
      <c r="A9" s="47">
        <v>37013</v>
      </c>
      <c r="B9" s="48">
        <v>3</v>
      </c>
      <c r="C9" s="49">
        <v>17</v>
      </c>
      <c r="D9" s="50">
        <v>20</v>
      </c>
      <c r="E9" s="51">
        <v>4.75</v>
      </c>
      <c r="F9" s="51">
        <v>0</v>
      </c>
      <c r="G9" s="52">
        <v>62.2</v>
      </c>
      <c r="H9" s="53">
        <f t="shared" si="0"/>
        <v>42.2</v>
      </c>
      <c r="I9" s="54">
        <f t="shared" si="1"/>
        <v>717.40000000000009</v>
      </c>
      <c r="J9" s="55">
        <f t="shared" si="2"/>
        <v>1</v>
      </c>
      <c r="K9" s="43">
        <f t="shared" si="3"/>
        <v>41.2</v>
      </c>
      <c r="L9" s="43">
        <f t="shared" si="4"/>
        <v>17</v>
      </c>
      <c r="M9" s="56">
        <f t="shared" si="7"/>
        <v>700.40000000000009</v>
      </c>
      <c r="N9" s="57">
        <f t="shared" si="8"/>
        <v>20</v>
      </c>
      <c r="O9" s="58">
        <f t="shared" si="5"/>
        <v>21</v>
      </c>
      <c r="P9" s="43">
        <f t="shared" si="9"/>
        <v>340</v>
      </c>
      <c r="Q9" s="59">
        <f t="shared" si="6"/>
        <v>357</v>
      </c>
      <c r="R9" s="43"/>
      <c r="S9" s="60">
        <f t="shared" si="10"/>
        <v>17</v>
      </c>
      <c r="T9" s="61">
        <f t="shared" si="11"/>
        <v>700.40000000000009</v>
      </c>
      <c r="U9" s="46"/>
    </row>
    <row r="10" spans="1:22" x14ac:dyDescent="0.25">
      <c r="A10" s="47">
        <v>37013</v>
      </c>
      <c r="B10" s="48">
        <v>4</v>
      </c>
      <c r="C10" s="49">
        <v>17</v>
      </c>
      <c r="D10" s="50">
        <v>20</v>
      </c>
      <c r="E10" s="51">
        <v>4.75</v>
      </c>
      <c r="F10" s="51">
        <v>0</v>
      </c>
      <c r="G10" s="52">
        <v>62.2</v>
      </c>
      <c r="H10" s="53">
        <f t="shared" si="0"/>
        <v>42.2</v>
      </c>
      <c r="I10" s="54">
        <f t="shared" si="1"/>
        <v>717.40000000000009</v>
      </c>
      <c r="J10" s="55">
        <f t="shared" si="2"/>
        <v>1</v>
      </c>
      <c r="K10" s="43">
        <f t="shared" si="3"/>
        <v>41.2</v>
      </c>
      <c r="L10" s="43">
        <f t="shared" si="4"/>
        <v>17</v>
      </c>
      <c r="M10" s="56">
        <f t="shared" si="7"/>
        <v>700.40000000000009</v>
      </c>
      <c r="N10" s="57">
        <f t="shared" si="8"/>
        <v>20</v>
      </c>
      <c r="O10" s="58">
        <f t="shared" si="5"/>
        <v>21</v>
      </c>
      <c r="P10" s="43">
        <f t="shared" si="9"/>
        <v>340</v>
      </c>
      <c r="Q10" s="59">
        <f t="shared" si="6"/>
        <v>357</v>
      </c>
      <c r="R10" s="43"/>
      <c r="S10" s="60">
        <f t="shared" si="10"/>
        <v>17</v>
      </c>
      <c r="T10" s="61">
        <f t="shared" si="11"/>
        <v>700.40000000000009</v>
      </c>
      <c r="U10" s="46"/>
    </row>
    <row r="11" spans="1:22" x14ac:dyDescent="0.25">
      <c r="A11" s="47">
        <v>37013</v>
      </c>
      <c r="B11" s="48">
        <v>5</v>
      </c>
      <c r="C11" s="49">
        <v>16</v>
      </c>
      <c r="D11" s="50">
        <v>20</v>
      </c>
      <c r="E11" s="51">
        <v>4.75</v>
      </c>
      <c r="F11" s="51">
        <v>0</v>
      </c>
      <c r="G11" s="52">
        <v>62.2</v>
      </c>
      <c r="H11" s="53">
        <f t="shared" si="0"/>
        <v>42.2</v>
      </c>
      <c r="I11" s="54">
        <f t="shared" si="1"/>
        <v>675.2</v>
      </c>
      <c r="J11" s="55">
        <f t="shared" si="2"/>
        <v>1</v>
      </c>
      <c r="K11" s="43">
        <f t="shared" si="3"/>
        <v>41.2</v>
      </c>
      <c r="L11" s="43">
        <f t="shared" si="4"/>
        <v>16</v>
      </c>
      <c r="M11" s="56">
        <f t="shared" si="7"/>
        <v>659.2</v>
      </c>
      <c r="N11" s="57">
        <f t="shared" si="8"/>
        <v>20</v>
      </c>
      <c r="O11" s="58">
        <f t="shared" si="5"/>
        <v>21</v>
      </c>
      <c r="P11" s="43">
        <f t="shared" si="9"/>
        <v>320</v>
      </c>
      <c r="Q11" s="59">
        <f t="shared" si="6"/>
        <v>336</v>
      </c>
      <c r="R11" s="43"/>
      <c r="S11" s="60">
        <f t="shared" si="10"/>
        <v>16</v>
      </c>
      <c r="T11" s="61">
        <f t="shared" si="11"/>
        <v>659.2</v>
      </c>
      <c r="U11" s="46"/>
    </row>
    <row r="12" spans="1:22" x14ac:dyDescent="0.25">
      <c r="A12" s="47">
        <v>37013</v>
      </c>
      <c r="B12" s="48">
        <v>6</v>
      </c>
      <c r="C12" s="49">
        <v>13</v>
      </c>
      <c r="D12" s="50">
        <v>20</v>
      </c>
      <c r="E12" s="51">
        <v>4.75</v>
      </c>
      <c r="F12" s="51">
        <v>0</v>
      </c>
      <c r="G12" s="52">
        <v>62.2</v>
      </c>
      <c r="H12" s="53">
        <f t="shared" si="0"/>
        <v>42.2</v>
      </c>
      <c r="I12" s="54">
        <f t="shared" si="1"/>
        <v>548.6</v>
      </c>
      <c r="J12" s="55">
        <f t="shared" si="2"/>
        <v>1</v>
      </c>
      <c r="K12" s="43">
        <f t="shared" si="3"/>
        <v>41.2</v>
      </c>
      <c r="L12" s="43">
        <f t="shared" si="4"/>
        <v>13</v>
      </c>
      <c r="M12" s="56">
        <f t="shared" si="7"/>
        <v>535.6</v>
      </c>
      <c r="N12" s="57">
        <f t="shared" si="8"/>
        <v>20</v>
      </c>
      <c r="O12" s="58">
        <f t="shared" si="5"/>
        <v>21</v>
      </c>
      <c r="P12" s="43">
        <f t="shared" si="9"/>
        <v>260</v>
      </c>
      <c r="Q12" s="59">
        <f t="shared" si="6"/>
        <v>273</v>
      </c>
      <c r="R12" s="43"/>
      <c r="S12" s="60">
        <f t="shared" si="10"/>
        <v>13</v>
      </c>
      <c r="T12" s="61">
        <f t="shared" si="11"/>
        <v>535.6</v>
      </c>
      <c r="U12" s="46"/>
    </row>
    <row r="13" spans="1:22" x14ac:dyDescent="0.25">
      <c r="A13" s="47">
        <v>37013</v>
      </c>
      <c r="B13" s="48">
        <v>7</v>
      </c>
      <c r="C13" s="49">
        <v>16</v>
      </c>
      <c r="D13" s="50">
        <v>47.5</v>
      </c>
      <c r="E13" s="51">
        <v>4.75</v>
      </c>
      <c r="F13" s="51">
        <v>0</v>
      </c>
      <c r="G13" s="52">
        <v>62.2</v>
      </c>
      <c r="H13" s="53">
        <f t="shared" si="0"/>
        <v>14.700000000000003</v>
      </c>
      <c r="I13" s="54">
        <f t="shared" si="1"/>
        <v>235.20000000000005</v>
      </c>
      <c r="J13" s="62">
        <f>IF($C13=0,"",$H13*0.4)</f>
        <v>5.8800000000000017</v>
      </c>
      <c r="K13" s="63">
        <f t="shared" ref="K13:K28" si="12">IF($C13=0,"",$H13*0.6)</f>
        <v>8.8200000000000021</v>
      </c>
      <c r="L13" s="64">
        <f>IF(C13=0,"",J13*$C13)</f>
        <v>94.080000000000027</v>
      </c>
      <c r="M13" s="56">
        <f t="shared" si="7"/>
        <v>141.12000000000003</v>
      </c>
      <c r="N13" s="57">
        <f t="shared" si="8"/>
        <v>47.5</v>
      </c>
      <c r="O13" s="58">
        <f>IF(C13=0,"",D13+J13)</f>
        <v>53.38</v>
      </c>
      <c r="P13" s="43">
        <f t="shared" si="9"/>
        <v>760</v>
      </c>
      <c r="Q13" s="59">
        <f t="shared" si="6"/>
        <v>854.08</v>
      </c>
      <c r="R13" s="43"/>
      <c r="S13" s="60">
        <f t="shared" si="10"/>
        <v>94.080000000000027</v>
      </c>
      <c r="T13" s="61">
        <f t="shared" si="11"/>
        <v>141.12000000000003</v>
      </c>
      <c r="U13" s="46"/>
    </row>
    <row r="14" spans="1:22" x14ac:dyDescent="0.25">
      <c r="A14" s="47">
        <v>37013</v>
      </c>
      <c r="B14" s="48">
        <v>8</v>
      </c>
      <c r="C14" s="49">
        <v>25</v>
      </c>
      <c r="D14" s="50">
        <v>47.5</v>
      </c>
      <c r="E14" s="51">
        <v>4.75</v>
      </c>
      <c r="F14" s="51">
        <v>0</v>
      </c>
      <c r="G14" s="52">
        <v>62.2</v>
      </c>
      <c r="H14" s="53">
        <f t="shared" si="0"/>
        <v>14.700000000000003</v>
      </c>
      <c r="I14" s="54">
        <f t="shared" si="1"/>
        <v>367.50000000000006</v>
      </c>
      <c r="J14" s="62">
        <f t="shared" ref="J14:J28" si="13">IF($C14=0,"",$H14*0.4)</f>
        <v>5.8800000000000017</v>
      </c>
      <c r="K14" s="63">
        <f t="shared" si="12"/>
        <v>8.8200000000000021</v>
      </c>
      <c r="L14" s="64">
        <f t="shared" ref="L14:L28" si="14">IF(C14=0,"",J14*$C14)</f>
        <v>147.00000000000003</v>
      </c>
      <c r="M14" s="56">
        <f t="shared" si="7"/>
        <v>220.50000000000006</v>
      </c>
      <c r="N14" s="57">
        <f t="shared" si="8"/>
        <v>47.5</v>
      </c>
      <c r="O14" s="58">
        <f t="shared" ref="O14:O28" si="15">IF(C14=0,"",D14+J14)</f>
        <v>53.38</v>
      </c>
      <c r="P14" s="43">
        <f t="shared" si="9"/>
        <v>1187.5</v>
      </c>
      <c r="Q14" s="59">
        <f t="shared" si="6"/>
        <v>1334.5</v>
      </c>
      <c r="R14" s="43"/>
      <c r="S14" s="60">
        <f t="shared" si="10"/>
        <v>147.00000000000003</v>
      </c>
      <c r="T14" s="61">
        <f t="shared" si="11"/>
        <v>220.50000000000006</v>
      </c>
      <c r="U14" s="46"/>
    </row>
    <row r="15" spans="1:22" x14ac:dyDescent="0.25">
      <c r="A15" s="47">
        <v>37013</v>
      </c>
      <c r="B15" s="48">
        <v>9</v>
      </c>
      <c r="C15" s="49">
        <v>25</v>
      </c>
      <c r="D15" s="50">
        <v>47.5</v>
      </c>
      <c r="E15" s="51">
        <v>4.75</v>
      </c>
      <c r="F15" s="51">
        <v>0</v>
      </c>
      <c r="G15" s="52">
        <v>62.2</v>
      </c>
      <c r="H15" s="53">
        <f t="shared" si="0"/>
        <v>14.700000000000003</v>
      </c>
      <c r="I15" s="54">
        <f t="shared" si="1"/>
        <v>367.50000000000006</v>
      </c>
      <c r="J15" s="62">
        <f t="shared" si="13"/>
        <v>5.8800000000000017</v>
      </c>
      <c r="K15" s="63">
        <f t="shared" si="12"/>
        <v>8.8200000000000021</v>
      </c>
      <c r="L15" s="64">
        <f t="shared" si="14"/>
        <v>147.00000000000003</v>
      </c>
      <c r="M15" s="56">
        <f t="shared" si="7"/>
        <v>220.50000000000006</v>
      </c>
      <c r="N15" s="57">
        <f t="shared" si="8"/>
        <v>47.5</v>
      </c>
      <c r="O15" s="58">
        <f t="shared" si="15"/>
        <v>53.38</v>
      </c>
      <c r="P15" s="43">
        <f t="shared" si="9"/>
        <v>1187.5</v>
      </c>
      <c r="Q15" s="59">
        <f t="shared" si="6"/>
        <v>1334.5</v>
      </c>
      <c r="R15" s="43"/>
      <c r="S15" s="60">
        <f t="shared" si="10"/>
        <v>147.00000000000003</v>
      </c>
      <c r="T15" s="61">
        <f t="shared" si="11"/>
        <v>220.50000000000006</v>
      </c>
      <c r="U15" s="46"/>
    </row>
    <row r="16" spans="1:22" x14ac:dyDescent="0.25">
      <c r="A16" s="47">
        <v>37013</v>
      </c>
      <c r="B16" s="48">
        <v>10</v>
      </c>
      <c r="C16" s="49">
        <v>25</v>
      </c>
      <c r="D16" s="50">
        <v>47.5</v>
      </c>
      <c r="E16" s="51">
        <v>4.75</v>
      </c>
      <c r="F16" s="51">
        <v>0</v>
      </c>
      <c r="G16" s="52">
        <v>62.2</v>
      </c>
      <c r="H16" s="53">
        <f t="shared" si="0"/>
        <v>14.700000000000003</v>
      </c>
      <c r="I16" s="54">
        <f t="shared" si="1"/>
        <v>367.50000000000006</v>
      </c>
      <c r="J16" s="62">
        <f t="shared" si="13"/>
        <v>5.8800000000000017</v>
      </c>
      <c r="K16" s="63">
        <f t="shared" si="12"/>
        <v>8.8200000000000021</v>
      </c>
      <c r="L16" s="64">
        <f t="shared" si="14"/>
        <v>147.00000000000003</v>
      </c>
      <c r="M16" s="56">
        <f t="shared" si="7"/>
        <v>220.50000000000006</v>
      </c>
      <c r="N16" s="57">
        <f t="shared" si="8"/>
        <v>47.5</v>
      </c>
      <c r="O16" s="58">
        <f t="shared" si="15"/>
        <v>53.38</v>
      </c>
      <c r="P16" s="43">
        <f t="shared" si="9"/>
        <v>1187.5</v>
      </c>
      <c r="Q16" s="59">
        <f t="shared" si="6"/>
        <v>1334.5</v>
      </c>
      <c r="R16" s="43"/>
      <c r="S16" s="60">
        <f t="shared" si="10"/>
        <v>147.00000000000003</v>
      </c>
      <c r="T16" s="61">
        <f t="shared" si="11"/>
        <v>220.50000000000006</v>
      </c>
      <c r="U16" s="46"/>
    </row>
    <row r="17" spans="1:21" x14ac:dyDescent="0.25">
      <c r="A17" s="47">
        <v>37013</v>
      </c>
      <c r="B17" s="48">
        <v>11</v>
      </c>
      <c r="C17" s="49">
        <v>25</v>
      </c>
      <c r="D17" s="50">
        <v>47.5</v>
      </c>
      <c r="E17" s="51">
        <v>4.75</v>
      </c>
      <c r="F17" s="51">
        <v>0</v>
      </c>
      <c r="G17" s="52">
        <v>62.2</v>
      </c>
      <c r="H17" s="53">
        <f t="shared" si="0"/>
        <v>14.700000000000003</v>
      </c>
      <c r="I17" s="54">
        <f t="shared" si="1"/>
        <v>367.50000000000006</v>
      </c>
      <c r="J17" s="62">
        <f t="shared" si="13"/>
        <v>5.8800000000000017</v>
      </c>
      <c r="K17" s="63">
        <f t="shared" si="12"/>
        <v>8.8200000000000021</v>
      </c>
      <c r="L17" s="64">
        <f t="shared" si="14"/>
        <v>147.00000000000003</v>
      </c>
      <c r="M17" s="56">
        <f t="shared" si="7"/>
        <v>220.50000000000006</v>
      </c>
      <c r="N17" s="57">
        <f t="shared" si="8"/>
        <v>47.5</v>
      </c>
      <c r="O17" s="58">
        <f t="shared" si="15"/>
        <v>53.38</v>
      </c>
      <c r="P17" s="43">
        <f t="shared" si="9"/>
        <v>1187.5</v>
      </c>
      <c r="Q17" s="59">
        <f t="shared" si="6"/>
        <v>1334.5</v>
      </c>
      <c r="R17" s="43"/>
      <c r="S17" s="60">
        <f t="shared" si="10"/>
        <v>147.00000000000003</v>
      </c>
      <c r="T17" s="61">
        <f t="shared" si="11"/>
        <v>220.50000000000006</v>
      </c>
      <c r="U17" s="46"/>
    </row>
    <row r="18" spans="1:21" x14ac:dyDescent="0.25">
      <c r="A18" s="47">
        <v>37013</v>
      </c>
      <c r="B18" s="48">
        <v>12</v>
      </c>
      <c r="C18" s="49">
        <v>25</v>
      </c>
      <c r="D18" s="50">
        <v>47.5</v>
      </c>
      <c r="E18" s="51">
        <v>4.75</v>
      </c>
      <c r="F18" s="51">
        <v>0</v>
      </c>
      <c r="G18" s="52">
        <v>62.2</v>
      </c>
      <c r="H18" s="53">
        <f t="shared" si="0"/>
        <v>14.700000000000003</v>
      </c>
      <c r="I18" s="54">
        <f t="shared" si="1"/>
        <v>367.50000000000006</v>
      </c>
      <c r="J18" s="62">
        <f t="shared" si="13"/>
        <v>5.8800000000000017</v>
      </c>
      <c r="K18" s="63">
        <f t="shared" si="12"/>
        <v>8.8200000000000021</v>
      </c>
      <c r="L18" s="64">
        <f t="shared" si="14"/>
        <v>147.00000000000003</v>
      </c>
      <c r="M18" s="56">
        <f t="shared" si="7"/>
        <v>220.50000000000006</v>
      </c>
      <c r="N18" s="57">
        <f t="shared" si="8"/>
        <v>47.5</v>
      </c>
      <c r="O18" s="58">
        <f t="shared" si="15"/>
        <v>53.38</v>
      </c>
      <c r="P18" s="43">
        <f t="shared" si="9"/>
        <v>1187.5</v>
      </c>
      <c r="Q18" s="59">
        <f t="shared" si="6"/>
        <v>1334.5</v>
      </c>
      <c r="R18" s="43"/>
      <c r="S18" s="60">
        <f t="shared" si="10"/>
        <v>147.00000000000003</v>
      </c>
      <c r="T18" s="61">
        <f t="shared" si="11"/>
        <v>220.50000000000006</v>
      </c>
      <c r="U18" s="46"/>
    </row>
    <row r="19" spans="1:21" x14ac:dyDescent="0.25">
      <c r="A19" s="47">
        <v>37013</v>
      </c>
      <c r="B19" s="48">
        <v>13</v>
      </c>
      <c r="C19" s="49">
        <v>25</v>
      </c>
      <c r="D19" s="50">
        <v>47.5</v>
      </c>
      <c r="E19" s="51">
        <v>4.75</v>
      </c>
      <c r="F19" s="51">
        <v>0</v>
      </c>
      <c r="G19" s="52">
        <v>62.2</v>
      </c>
      <c r="H19" s="53">
        <f t="shared" si="0"/>
        <v>14.700000000000003</v>
      </c>
      <c r="I19" s="54">
        <f t="shared" si="1"/>
        <v>367.50000000000006</v>
      </c>
      <c r="J19" s="62">
        <f t="shared" si="13"/>
        <v>5.8800000000000017</v>
      </c>
      <c r="K19" s="63">
        <f t="shared" si="12"/>
        <v>8.8200000000000021</v>
      </c>
      <c r="L19" s="64">
        <f t="shared" si="14"/>
        <v>147.00000000000003</v>
      </c>
      <c r="M19" s="56">
        <f t="shared" si="7"/>
        <v>220.50000000000006</v>
      </c>
      <c r="N19" s="57">
        <f t="shared" si="8"/>
        <v>47.5</v>
      </c>
      <c r="O19" s="58">
        <f t="shared" si="15"/>
        <v>53.38</v>
      </c>
      <c r="P19" s="43">
        <f t="shared" si="9"/>
        <v>1187.5</v>
      </c>
      <c r="Q19" s="59">
        <f t="shared" si="6"/>
        <v>1334.5</v>
      </c>
      <c r="R19" s="43"/>
      <c r="S19" s="60">
        <f t="shared" si="10"/>
        <v>147.00000000000003</v>
      </c>
      <c r="T19" s="61">
        <f t="shared" si="11"/>
        <v>220.50000000000006</v>
      </c>
      <c r="U19" s="46"/>
    </row>
    <row r="20" spans="1:21" x14ac:dyDescent="0.25">
      <c r="A20" s="47">
        <v>37013</v>
      </c>
      <c r="B20" s="48">
        <v>14</v>
      </c>
      <c r="C20" s="49">
        <v>25</v>
      </c>
      <c r="D20" s="50">
        <v>47.5</v>
      </c>
      <c r="E20" s="51">
        <v>4.75</v>
      </c>
      <c r="F20" s="51">
        <v>0</v>
      </c>
      <c r="G20" s="52">
        <v>62.2</v>
      </c>
      <c r="H20" s="53">
        <f t="shared" si="0"/>
        <v>14.700000000000003</v>
      </c>
      <c r="I20" s="54">
        <f t="shared" si="1"/>
        <v>367.50000000000006</v>
      </c>
      <c r="J20" s="62">
        <f t="shared" si="13"/>
        <v>5.8800000000000017</v>
      </c>
      <c r="K20" s="63">
        <f t="shared" si="12"/>
        <v>8.8200000000000021</v>
      </c>
      <c r="L20" s="64">
        <f t="shared" si="14"/>
        <v>147.00000000000003</v>
      </c>
      <c r="M20" s="56">
        <f t="shared" si="7"/>
        <v>220.50000000000006</v>
      </c>
      <c r="N20" s="57">
        <f t="shared" si="8"/>
        <v>47.5</v>
      </c>
      <c r="O20" s="58">
        <f t="shared" si="15"/>
        <v>53.38</v>
      </c>
      <c r="P20" s="43">
        <f t="shared" si="9"/>
        <v>1187.5</v>
      </c>
      <c r="Q20" s="59">
        <f t="shared" si="6"/>
        <v>1334.5</v>
      </c>
      <c r="R20" s="43"/>
      <c r="S20" s="60">
        <f t="shared" si="10"/>
        <v>147.00000000000003</v>
      </c>
      <c r="T20" s="61">
        <f t="shared" si="11"/>
        <v>220.50000000000006</v>
      </c>
      <c r="U20" s="46"/>
    </row>
    <row r="21" spans="1:21" x14ac:dyDescent="0.25">
      <c r="A21" s="47">
        <v>37013</v>
      </c>
      <c r="B21" s="48">
        <v>15</v>
      </c>
      <c r="C21" s="49">
        <v>25</v>
      </c>
      <c r="D21" s="50">
        <v>47.5</v>
      </c>
      <c r="E21" s="51">
        <v>4.75</v>
      </c>
      <c r="F21" s="51">
        <v>0</v>
      </c>
      <c r="G21" s="52">
        <v>62.2</v>
      </c>
      <c r="H21" s="53">
        <f t="shared" si="0"/>
        <v>14.700000000000003</v>
      </c>
      <c r="I21" s="54">
        <f t="shared" si="1"/>
        <v>367.50000000000006</v>
      </c>
      <c r="J21" s="62">
        <f t="shared" si="13"/>
        <v>5.8800000000000017</v>
      </c>
      <c r="K21" s="63">
        <f t="shared" si="12"/>
        <v>8.8200000000000021</v>
      </c>
      <c r="L21" s="64">
        <f t="shared" si="14"/>
        <v>147.00000000000003</v>
      </c>
      <c r="M21" s="56">
        <f t="shared" si="7"/>
        <v>220.50000000000006</v>
      </c>
      <c r="N21" s="57">
        <f t="shared" si="8"/>
        <v>47.5</v>
      </c>
      <c r="O21" s="58">
        <f t="shared" si="15"/>
        <v>53.38</v>
      </c>
      <c r="P21" s="43">
        <f t="shared" si="9"/>
        <v>1187.5</v>
      </c>
      <c r="Q21" s="59">
        <f t="shared" si="6"/>
        <v>1334.5</v>
      </c>
      <c r="R21" s="43"/>
      <c r="S21" s="60">
        <f t="shared" si="10"/>
        <v>147.00000000000003</v>
      </c>
      <c r="T21" s="61">
        <f t="shared" si="11"/>
        <v>220.50000000000006</v>
      </c>
      <c r="U21" s="46"/>
    </row>
    <row r="22" spans="1:21" x14ac:dyDescent="0.25">
      <c r="A22" s="47">
        <v>37013</v>
      </c>
      <c r="B22" s="48">
        <v>16</v>
      </c>
      <c r="C22" s="49">
        <v>25</v>
      </c>
      <c r="D22" s="50">
        <v>47.5</v>
      </c>
      <c r="E22" s="51">
        <v>4.75</v>
      </c>
      <c r="F22" s="51">
        <v>0</v>
      </c>
      <c r="G22" s="52">
        <v>62.2</v>
      </c>
      <c r="H22" s="53">
        <f t="shared" si="0"/>
        <v>14.700000000000003</v>
      </c>
      <c r="I22" s="54">
        <f t="shared" si="1"/>
        <v>367.50000000000006</v>
      </c>
      <c r="J22" s="62">
        <f t="shared" si="13"/>
        <v>5.8800000000000017</v>
      </c>
      <c r="K22" s="63">
        <f t="shared" si="12"/>
        <v>8.8200000000000021</v>
      </c>
      <c r="L22" s="64">
        <f t="shared" si="14"/>
        <v>147.00000000000003</v>
      </c>
      <c r="M22" s="56">
        <f t="shared" si="7"/>
        <v>220.50000000000006</v>
      </c>
      <c r="N22" s="57">
        <f t="shared" si="8"/>
        <v>47.5</v>
      </c>
      <c r="O22" s="58">
        <f t="shared" si="15"/>
        <v>53.38</v>
      </c>
      <c r="P22" s="43">
        <f t="shared" si="9"/>
        <v>1187.5</v>
      </c>
      <c r="Q22" s="59">
        <f t="shared" si="6"/>
        <v>1334.5</v>
      </c>
      <c r="R22" s="43"/>
      <c r="S22" s="60">
        <f t="shared" si="10"/>
        <v>147.00000000000003</v>
      </c>
      <c r="T22" s="61">
        <f t="shared" si="11"/>
        <v>220.50000000000006</v>
      </c>
      <c r="U22" s="46"/>
    </row>
    <row r="23" spans="1:21" x14ac:dyDescent="0.25">
      <c r="A23" s="47">
        <v>37013</v>
      </c>
      <c r="B23" s="48">
        <v>17</v>
      </c>
      <c r="C23" s="49">
        <v>25</v>
      </c>
      <c r="D23" s="50">
        <v>47.5</v>
      </c>
      <c r="E23" s="51">
        <v>4.75</v>
      </c>
      <c r="F23" s="51">
        <v>0</v>
      </c>
      <c r="G23" s="52">
        <v>62.2</v>
      </c>
      <c r="H23" s="53">
        <f t="shared" si="0"/>
        <v>14.700000000000003</v>
      </c>
      <c r="I23" s="54">
        <f t="shared" si="1"/>
        <v>367.50000000000006</v>
      </c>
      <c r="J23" s="62">
        <f t="shared" si="13"/>
        <v>5.8800000000000017</v>
      </c>
      <c r="K23" s="63">
        <f t="shared" si="12"/>
        <v>8.8200000000000021</v>
      </c>
      <c r="L23" s="64">
        <f t="shared" si="14"/>
        <v>147.00000000000003</v>
      </c>
      <c r="M23" s="56">
        <f t="shared" si="7"/>
        <v>220.50000000000006</v>
      </c>
      <c r="N23" s="57">
        <f t="shared" si="8"/>
        <v>47.5</v>
      </c>
      <c r="O23" s="58">
        <f t="shared" si="15"/>
        <v>53.38</v>
      </c>
      <c r="P23" s="43">
        <f t="shared" si="9"/>
        <v>1187.5</v>
      </c>
      <c r="Q23" s="59">
        <f t="shared" si="6"/>
        <v>1334.5</v>
      </c>
      <c r="R23" s="43"/>
      <c r="S23" s="60">
        <f t="shared" si="10"/>
        <v>147.00000000000003</v>
      </c>
      <c r="T23" s="61">
        <f t="shared" si="11"/>
        <v>220.50000000000006</v>
      </c>
      <c r="U23" s="46"/>
    </row>
    <row r="24" spans="1:21" x14ac:dyDescent="0.25">
      <c r="A24" s="47">
        <v>37013</v>
      </c>
      <c r="B24" s="48">
        <v>18</v>
      </c>
      <c r="C24" s="49">
        <v>25</v>
      </c>
      <c r="D24" s="50">
        <v>47.5</v>
      </c>
      <c r="E24" s="51">
        <v>4.75</v>
      </c>
      <c r="F24" s="51">
        <v>0</v>
      </c>
      <c r="G24" s="52">
        <v>62.2</v>
      </c>
      <c r="H24" s="53">
        <f t="shared" si="0"/>
        <v>14.700000000000003</v>
      </c>
      <c r="I24" s="54">
        <f t="shared" si="1"/>
        <v>367.50000000000006</v>
      </c>
      <c r="J24" s="62">
        <f t="shared" si="13"/>
        <v>5.8800000000000017</v>
      </c>
      <c r="K24" s="63">
        <f t="shared" si="12"/>
        <v>8.8200000000000021</v>
      </c>
      <c r="L24" s="64">
        <f t="shared" si="14"/>
        <v>147.00000000000003</v>
      </c>
      <c r="M24" s="56">
        <f t="shared" si="7"/>
        <v>220.50000000000006</v>
      </c>
      <c r="N24" s="57">
        <f t="shared" si="8"/>
        <v>47.5</v>
      </c>
      <c r="O24" s="58">
        <f t="shared" si="15"/>
        <v>53.38</v>
      </c>
      <c r="P24" s="43">
        <f t="shared" si="9"/>
        <v>1187.5</v>
      </c>
      <c r="Q24" s="59">
        <f t="shared" si="6"/>
        <v>1334.5</v>
      </c>
      <c r="R24" s="43"/>
      <c r="S24" s="60">
        <f t="shared" si="10"/>
        <v>147.00000000000003</v>
      </c>
      <c r="T24" s="61">
        <f t="shared" si="11"/>
        <v>220.50000000000006</v>
      </c>
      <c r="U24" s="46"/>
    </row>
    <row r="25" spans="1:21" x14ac:dyDescent="0.25">
      <c r="A25" s="47">
        <v>37013</v>
      </c>
      <c r="B25" s="48">
        <v>19</v>
      </c>
      <c r="C25" s="49">
        <v>25</v>
      </c>
      <c r="D25" s="50">
        <v>47.5</v>
      </c>
      <c r="E25" s="51">
        <v>4.75</v>
      </c>
      <c r="F25" s="51">
        <v>0</v>
      </c>
      <c r="G25" s="52">
        <v>62.2</v>
      </c>
      <c r="H25" s="53">
        <f t="shared" si="0"/>
        <v>14.700000000000003</v>
      </c>
      <c r="I25" s="54">
        <f t="shared" si="1"/>
        <v>367.50000000000006</v>
      </c>
      <c r="J25" s="62">
        <f t="shared" si="13"/>
        <v>5.8800000000000017</v>
      </c>
      <c r="K25" s="63">
        <f t="shared" si="12"/>
        <v>8.8200000000000021</v>
      </c>
      <c r="L25" s="64">
        <f t="shared" si="14"/>
        <v>147.00000000000003</v>
      </c>
      <c r="M25" s="56">
        <f t="shared" si="7"/>
        <v>220.50000000000006</v>
      </c>
      <c r="N25" s="57">
        <f t="shared" si="8"/>
        <v>47.5</v>
      </c>
      <c r="O25" s="58">
        <f t="shared" si="15"/>
        <v>53.38</v>
      </c>
      <c r="P25" s="43">
        <f t="shared" si="9"/>
        <v>1187.5</v>
      </c>
      <c r="Q25" s="59">
        <f t="shared" si="6"/>
        <v>1334.5</v>
      </c>
      <c r="R25" s="43"/>
      <c r="S25" s="60">
        <f t="shared" si="10"/>
        <v>147.00000000000003</v>
      </c>
      <c r="T25" s="61">
        <f t="shared" si="11"/>
        <v>220.50000000000006</v>
      </c>
      <c r="U25" s="46"/>
    </row>
    <row r="26" spans="1:21" x14ac:dyDescent="0.25">
      <c r="A26" s="47">
        <v>37013</v>
      </c>
      <c r="B26" s="48">
        <v>20</v>
      </c>
      <c r="C26" s="49">
        <v>25</v>
      </c>
      <c r="D26" s="50">
        <v>47.5</v>
      </c>
      <c r="E26" s="51">
        <v>4.75</v>
      </c>
      <c r="F26" s="51">
        <v>0</v>
      </c>
      <c r="G26" s="52">
        <v>62.2</v>
      </c>
      <c r="H26" s="53">
        <f t="shared" si="0"/>
        <v>14.700000000000003</v>
      </c>
      <c r="I26" s="54">
        <f t="shared" si="1"/>
        <v>367.50000000000006</v>
      </c>
      <c r="J26" s="62">
        <f t="shared" si="13"/>
        <v>5.8800000000000017</v>
      </c>
      <c r="K26" s="63">
        <f t="shared" si="12"/>
        <v>8.8200000000000021</v>
      </c>
      <c r="L26" s="64">
        <f t="shared" si="14"/>
        <v>147.00000000000003</v>
      </c>
      <c r="M26" s="56">
        <f t="shared" si="7"/>
        <v>220.50000000000006</v>
      </c>
      <c r="N26" s="57">
        <f t="shared" si="8"/>
        <v>47.5</v>
      </c>
      <c r="O26" s="58">
        <f t="shared" si="15"/>
        <v>53.38</v>
      </c>
      <c r="P26" s="43">
        <f t="shared" si="9"/>
        <v>1187.5</v>
      </c>
      <c r="Q26" s="59">
        <f t="shared" si="6"/>
        <v>1334.5</v>
      </c>
      <c r="R26" s="43"/>
      <c r="S26" s="60">
        <f t="shared" si="10"/>
        <v>147.00000000000003</v>
      </c>
      <c r="T26" s="61">
        <f t="shared" si="11"/>
        <v>220.50000000000006</v>
      </c>
      <c r="U26" s="46"/>
    </row>
    <row r="27" spans="1:21" x14ac:dyDescent="0.25">
      <c r="A27" s="47">
        <v>37013</v>
      </c>
      <c r="B27" s="48">
        <v>21</v>
      </c>
      <c r="C27" s="49">
        <v>25</v>
      </c>
      <c r="D27" s="50">
        <v>47.5</v>
      </c>
      <c r="E27" s="51">
        <v>4.75</v>
      </c>
      <c r="F27" s="51">
        <v>0</v>
      </c>
      <c r="G27" s="52">
        <v>62.2</v>
      </c>
      <c r="H27" s="53">
        <f t="shared" si="0"/>
        <v>14.700000000000003</v>
      </c>
      <c r="I27" s="54">
        <f t="shared" si="1"/>
        <v>367.50000000000006</v>
      </c>
      <c r="J27" s="62">
        <f t="shared" si="13"/>
        <v>5.8800000000000017</v>
      </c>
      <c r="K27" s="63">
        <f t="shared" si="12"/>
        <v>8.8200000000000021</v>
      </c>
      <c r="L27" s="64">
        <f t="shared" si="14"/>
        <v>147.00000000000003</v>
      </c>
      <c r="M27" s="56">
        <f t="shared" si="7"/>
        <v>220.50000000000006</v>
      </c>
      <c r="N27" s="57">
        <f t="shared" si="8"/>
        <v>47.5</v>
      </c>
      <c r="O27" s="58">
        <f t="shared" si="15"/>
        <v>53.38</v>
      </c>
      <c r="P27" s="43">
        <f t="shared" si="9"/>
        <v>1187.5</v>
      </c>
      <c r="Q27" s="59">
        <f t="shared" si="6"/>
        <v>1334.5</v>
      </c>
      <c r="R27" s="43"/>
      <c r="S27" s="60">
        <f t="shared" si="10"/>
        <v>147.00000000000003</v>
      </c>
      <c r="T27" s="61">
        <f t="shared" si="11"/>
        <v>220.50000000000006</v>
      </c>
      <c r="U27" s="46"/>
    </row>
    <row r="28" spans="1:21" x14ac:dyDescent="0.25">
      <c r="A28" s="47">
        <v>37013</v>
      </c>
      <c r="B28" s="48">
        <v>22</v>
      </c>
      <c r="C28" s="49">
        <v>25</v>
      </c>
      <c r="D28" s="50">
        <v>47.5</v>
      </c>
      <c r="E28" s="51">
        <v>4.75</v>
      </c>
      <c r="F28" s="51">
        <v>0</v>
      </c>
      <c r="G28" s="52">
        <v>62.2</v>
      </c>
      <c r="H28" s="53">
        <f t="shared" si="0"/>
        <v>14.700000000000003</v>
      </c>
      <c r="I28" s="54">
        <f t="shared" si="1"/>
        <v>367.50000000000006</v>
      </c>
      <c r="J28" s="62">
        <f t="shared" si="13"/>
        <v>5.8800000000000017</v>
      </c>
      <c r="K28" s="63">
        <f t="shared" si="12"/>
        <v>8.8200000000000021</v>
      </c>
      <c r="L28" s="64">
        <f t="shared" si="14"/>
        <v>147.00000000000003</v>
      </c>
      <c r="M28" s="56">
        <f t="shared" si="7"/>
        <v>220.50000000000006</v>
      </c>
      <c r="N28" s="57">
        <f t="shared" si="8"/>
        <v>47.5</v>
      </c>
      <c r="O28" s="58">
        <f t="shared" si="15"/>
        <v>53.38</v>
      </c>
      <c r="P28" s="43">
        <f t="shared" si="9"/>
        <v>1187.5</v>
      </c>
      <c r="Q28" s="59">
        <f t="shared" si="6"/>
        <v>1334.5</v>
      </c>
      <c r="R28" s="43"/>
      <c r="S28" s="60">
        <f t="shared" si="10"/>
        <v>147.00000000000003</v>
      </c>
      <c r="T28" s="61">
        <f t="shared" si="11"/>
        <v>220.50000000000006</v>
      </c>
      <c r="U28" s="46"/>
    </row>
    <row r="29" spans="1:21" x14ac:dyDescent="0.25">
      <c r="A29" s="47">
        <v>37013</v>
      </c>
      <c r="B29" s="48">
        <v>23</v>
      </c>
      <c r="C29" s="49">
        <v>24</v>
      </c>
      <c r="D29" s="50">
        <v>55</v>
      </c>
      <c r="E29" s="51">
        <v>4.75</v>
      </c>
      <c r="F29" s="51">
        <v>0</v>
      </c>
      <c r="G29" s="52">
        <v>62.2</v>
      </c>
      <c r="H29" s="53">
        <f t="shared" si="0"/>
        <v>7.2000000000000028</v>
      </c>
      <c r="I29" s="54">
        <f t="shared" si="1"/>
        <v>172.80000000000007</v>
      </c>
      <c r="J29" s="55">
        <f>IF(C29=0,"",1)</f>
        <v>1</v>
      </c>
      <c r="K29" s="43">
        <f>IF(C29=0,"",G29-(D29+1))</f>
        <v>6.2000000000000028</v>
      </c>
      <c r="L29" s="43">
        <f>IF(C29=0,"",C29*J29)</f>
        <v>24</v>
      </c>
      <c r="M29" s="56">
        <f t="shared" si="7"/>
        <v>148.80000000000007</v>
      </c>
      <c r="N29" s="57">
        <f t="shared" si="8"/>
        <v>55</v>
      </c>
      <c r="O29" s="58">
        <f>IF(C29=0,"",D29+1)</f>
        <v>56</v>
      </c>
      <c r="P29" s="43">
        <f t="shared" si="9"/>
        <v>1320</v>
      </c>
      <c r="Q29" s="59">
        <f t="shared" si="6"/>
        <v>1344</v>
      </c>
      <c r="R29" s="43"/>
      <c r="S29" s="60">
        <f t="shared" si="10"/>
        <v>24</v>
      </c>
      <c r="T29" s="61">
        <f t="shared" si="11"/>
        <v>148.80000000000007</v>
      </c>
      <c r="U29" s="46"/>
    </row>
    <row r="30" spans="1:21" x14ac:dyDescent="0.25">
      <c r="A30" s="65">
        <v>37013</v>
      </c>
      <c r="B30" s="66">
        <v>24</v>
      </c>
      <c r="C30" s="67">
        <v>22</v>
      </c>
      <c r="D30" s="68">
        <v>35</v>
      </c>
      <c r="E30" s="69">
        <v>4.75</v>
      </c>
      <c r="F30" s="69">
        <v>0</v>
      </c>
      <c r="G30" s="70">
        <v>62.2</v>
      </c>
      <c r="H30" s="71">
        <f t="shared" si="0"/>
        <v>27.200000000000003</v>
      </c>
      <c r="I30" s="72">
        <f t="shared" si="1"/>
        <v>598.40000000000009</v>
      </c>
      <c r="J30" s="73">
        <f>IF(C30=0,"",1)</f>
        <v>1</v>
      </c>
      <c r="K30" s="74">
        <f>IF(C30=0,"",G30-(D30+1))</f>
        <v>26.200000000000003</v>
      </c>
      <c r="L30" s="74">
        <f>IF(C30=0,"",C30*J30)</f>
        <v>22</v>
      </c>
      <c r="M30" s="75">
        <f t="shared" si="7"/>
        <v>576.40000000000009</v>
      </c>
      <c r="N30" s="76">
        <f t="shared" si="8"/>
        <v>35</v>
      </c>
      <c r="O30" s="77">
        <f>IF(C30=0,"",D30+1)</f>
        <v>36</v>
      </c>
      <c r="P30" s="74">
        <f t="shared" si="9"/>
        <v>770</v>
      </c>
      <c r="Q30" s="78">
        <f t="shared" si="6"/>
        <v>792</v>
      </c>
      <c r="R30" s="43"/>
      <c r="S30" s="79">
        <f t="shared" si="10"/>
        <v>22</v>
      </c>
      <c r="T30" s="80">
        <f t="shared" si="11"/>
        <v>576.40000000000009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83"/>
    </row>
    <row r="32" spans="1:21" x14ac:dyDescent="0.25">
      <c r="K32" s="84"/>
      <c r="L32" s="84"/>
      <c r="M32" s="84"/>
      <c r="N32" s="85"/>
      <c r="O32" s="84"/>
      <c r="P32" s="85"/>
      <c r="Q32" s="86">
        <v>25137.58</v>
      </c>
      <c r="R32" s="87"/>
      <c r="S32" s="86">
        <v>2444.08</v>
      </c>
      <c r="T32" s="86">
        <v>8201.6200000000008</v>
      </c>
    </row>
    <row r="34" spans="2:3" hidden="1" x14ac:dyDescent="0.25">
      <c r="B34" t="s">
        <v>33</v>
      </c>
      <c r="C34">
        <v>25</v>
      </c>
    </row>
  </sheetData>
  <mergeCells count="9">
    <mergeCell ref="S3:T3"/>
    <mergeCell ref="N4:O4"/>
    <mergeCell ref="P4:Q4"/>
    <mergeCell ref="A1:C1"/>
    <mergeCell ref="A2:B2"/>
    <mergeCell ref="E3:G3"/>
    <mergeCell ref="H3:I3"/>
    <mergeCell ref="J3:M3"/>
    <mergeCell ref="N3:Q3"/>
  </mergeCells>
  <phoneticPr fontId="0" type="noConversion"/>
  <conditionalFormatting sqref="H3:H5 E3:G6 I3:J6 U1:IV1048576 A5:C65536 A1:C2 D1:D30 D31:N65536 K4:N6 H8:H30 I7:I30 J7:K12 P4:T65536 J29:K30 L7:N30">
    <cfRule type="cellIs" dxfId="12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F2" sqref="F2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1.88671875" customWidth="1"/>
    <col min="4" max="4" width="24" style="1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1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88">
        <v>37014</v>
      </c>
      <c r="D2" s="4"/>
    </row>
    <row r="3" spans="1:22" s="5" customFormat="1" x14ac:dyDescent="0.25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f>$C$2</f>
        <v>37014</v>
      </c>
      <c r="B7" s="30">
        <v>1</v>
      </c>
      <c r="C7" s="31">
        <f>INDEX(DaMw,C34,0)</f>
        <v>15</v>
      </c>
      <c r="D7" s="90">
        <f>INDEX(DaPrice,C34,0)</f>
        <v>20</v>
      </c>
      <c r="E7" s="33">
        <f>VLOOKUP(A7,Gas,4,FALSE)</f>
        <v>4.78</v>
      </c>
      <c r="F7" s="33">
        <f>VLOOKUP(A7,Gas,5,FALSE)</f>
        <v>4.78</v>
      </c>
      <c r="G7" s="34">
        <f>VLOOKUP(A7,Bogey,2,FALSE)</f>
        <v>61.93</v>
      </c>
      <c r="H7" s="35">
        <f t="shared" ref="H7:H30" si="0">IF(C7&gt;0,G7-D7,"")</f>
        <v>41.93</v>
      </c>
      <c r="I7" s="36">
        <f t="shared" ref="I7:I30" si="1">IF(C7&gt;0,H7*ABS(C7),"")</f>
        <v>628.95000000000005</v>
      </c>
      <c r="J7" s="37">
        <f t="shared" ref="J7:J12" si="2">IF(C7=0,"",1)</f>
        <v>1</v>
      </c>
      <c r="K7" s="38">
        <f t="shared" ref="K7:K12" si="3">IF(C7=0,"",G7-(D7+1))</f>
        <v>40.93</v>
      </c>
      <c r="L7" s="38">
        <f t="shared" ref="L7:L12" si="4">IF(C7=0,"",C7*J7)</f>
        <v>15</v>
      </c>
      <c r="M7" s="39">
        <f>IF(C7=0,"",C7*K7)</f>
        <v>613.95000000000005</v>
      </c>
      <c r="N7" s="40">
        <f>IF(C7=0,"",D7)</f>
        <v>20</v>
      </c>
      <c r="O7" s="41">
        <f t="shared" ref="O7:O12" si="5">IF(C7=0,"",D7+1)</f>
        <v>21</v>
      </c>
      <c r="P7" s="38">
        <f>IF(C7=0,"",N7*C7)</f>
        <v>300</v>
      </c>
      <c r="Q7" s="42">
        <f t="shared" ref="Q7:Q30" si="6">IF(C7=0,"",O7*C7)</f>
        <v>315</v>
      </c>
      <c r="R7" s="43"/>
      <c r="S7" s="44">
        <f>IF(C7=0,"",L7)</f>
        <v>15</v>
      </c>
      <c r="T7" s="45">
        <f>IF(C7=0,"",M7)</f>
        <v>613.95000000000005</v>
      </c>
      <c r="U7" s="46"/>
    </row>
    <row r="8" spans="1:22" x14ac:dyDescent="0.25">
      <c r="A8" s="47">
        <f t="shared" ref="A8:A30" si="7">$C$2</f>
        <v>37014</v>
      </c>
      <c r="B8" s="48">
        <v>2</v>
      </c>
      <c r="C8" s="49">
        <f>INDEX(DaMw,C34+1,0)</f>
        <v>15</v>
      </c>
      <c r="D8" s="91">
        <f>INDEX(DaPrice,C34+1,0)</f>
        <v>20</v>
      </c>
      <c r="E8" s="51">
        <f t="shared" ref="E8:E30" si="8">VLOOKUP(A8,Gas,4,FALSE)</f>
        <v>4.78</v>
      </c>
      <c r="F8" s="51">
        <f t="shared" ref="F8:F29" si="9">VLOOKUP(A8,Gas,5,FALSE)</f>
        <v>4.78</v>
      </c>
      <c r="G8" s="52">
        <f t="shared" ref="G8:G30" si="10">VLOOKUP(A8,Bogey,2,FALSE)</f>
        <v>61.93</v>
      </c>
      <c r="H8" s="53">
        <f t="shared" si="0"/>
        <v>41.93</v>
      </c>
      <c r="I8" s="54">
        <f t="shared" si="1"/>
        <v>628.95000000000005</v>
      </c>
      <c r="J8" s="55">
        <f t="shared" si="2"/>
        <v>1</v>
      </c>
      <c r="K8" s="43">
        <f t="shared" si="3"/>
        <v>40.93</v>
      </c>
      <c r="L8" s="43">
        <f t="shared" si="4"/>
        <v>15</v>
      </c>
      <c r="M8" s="56">
        <f t="shared" ref="M8:M30" si="11">IF(C8=0,"",C8*K8)</f>
        <v>613.95000000000005</v>
      </c>
      <c r="N8" s="57">
        <f t="shared" ref="N8:N30" si="12">IF(C8=0,"",D8)</f>
        <v>20</v>
      </c>
      <c r="O8" s="58">
        <f t="shared" si="5"/>
        <v>21</v>
      </c>
      <c r="P8" s="43">
        <f t="shared" ref="P8:P30" si="13">IF(C8=0,"",N8*C8)</f>
        <v>300</v>
      </c>
      <c r="Q8" s="59">
        <f t="shared" si="6"/>
        <v>315</v>
      </c>
      <c r="R8" s="43"/>
      <c r="S8" s="60">
        <f t="shared" ref="S8:S30" si="14">IF(C8=0,"",L8)</f>
        <v>15</v>
      </c>
      <c r="T8" s="61">
        <f t="shared" ref="T8:T30" si="15">IF(C8=0,"",M8)</f>
        <v>613.95000000000005</v>
      </c>
      <c r="U8" s="46"/>
    </row>
    <row r="9" spans="1:22" x14ac:dyDescent="0.25">
      <c r="A9" s="47">
        <f t="shared" si="7"/>
        <v>37014</v>
      </c>
      <c r="B9" s="48">
        <v>3</v>
      </c>
      <c r="C9" s="49">
        <f>INDEX(DaMw,C34+2,0)</f>
        <v>15</v>
      </c>
      <c r="D9" s="91">
        <f>INDEX(DaPrice,C34+2,0)</f>
        <v>20</v>
      </c>
      <c r="E9" s="51">
        <f t="shared" si="8"/>
        <v>4.78</v>
      </c>
      <c r="F9" s="51">
        <f t="shared" si="9"/>
        <v>4.78</v>
      </c>
      <c r="G9" s="52">
        <f t="shared" si="10"/>
        <v>61.93</v>
      </c>
      <c r="H9" s="53">
        <f t="shared" si="0"/>
        <v>41.93</v>
      </c>
      <c r="I9" s="54">
        <f t="shared" si="1"/>
        <v>628.95000000000005</v>
      </c>
      <c r="J9" s="55">
        <f t="shared" si="2"/>
        <v>1</v>
      </c>
      <c r="K9" s="43">
        <f t="shared" si="3"/>
        <v>40.93</v>
      </c>
      <c r="L9" s="43">
        <f t="shared" si="4"/>
        <v>15</v>
      </c>
      <c r="M9" s="56">
        <f t="shared" si="11"/>
        <v>613.95000000000005</v>
      </c>
      <c r="N9" s="57">
        <f t="shared" si="12"/>
        <v>20</v>
      </c>
      <c r="O9" s="58">
        <f t="shared" si="5"/>
        <v>21</v>
      </c>
      <c r="P9" s="43">
        <f t="shared" si="13"/>
        <v>300</v>
      </c>
      <c r="Q9" s="59">
        <f t="shared" si="6"/>
        <v>315</v>
      </c>
      <c r="R9" s="43"/>
      <c r="S9" s="60">
        <f t="shared" si="14"/>
        <v>15</v>
      </c>
      <c r="T9" s="61">
        <f t="shared" si="15"/>
        <v>613.95000000000005</v>
      </c>
      <c r="U9" s="46"/>
    </row>
    <row r="10" spans="1:22" x14ac:dyDescent="0.25">
      <c r="A10" s="47">
        <f t="shared" si="7"/>
        <v>37014</v>
      </c>
      <c r="B10" s="48">
        <v>4</v>
      </c>
      <c r="C10" s="49">
        <f>INDEX(DaMw,C34+3,0)</f>
        <v>15</v>
      </c>
      <c r="D10" s="91">
        <f>INDEX(DaPrice,C34+3,0)</f>
        <v>20</v>
      </c>
      <c r="E10" s="51">
        <f t="shared" si="8"/>
        <v>4.78</v>
      </c>
      <c r="F10" s="51">
        <f t="shared" si="9"/>
        <v>4.78</v>
      </c>
      <c r="G10" s="52">
        <f t="shared" si="10"/>
        <v>61.93</v>
      </c>
      <c r="H10" s="53">
        <f t="shared" si="0"/>
        <v>41.93</v>
      </c>
      <c r="I10" s="54">
        <f t="shared" si="1"/>
        <v>628.95000000000005</v>
      </c>
      <c r="J10" s="55">
        <f t="shared" si="2"/>
        <v>1</v>
      </c>
      <c r="K10" s="43">
        <f t="shared" si="3"/>
        <v>40.93</v>
      </c>
      <c r="L10" s="43">
        <f t="shared" si="4"/>
        <v>15</v>
      </c>
      <c r="M10" s="56">
        <f t="shared" si="11"/>
        <v>613.95000000000005</v>
      </c>
      <c r="N10" s="57">
        <f t="shared" si="12"/>
        <v>20</v>
      </c>
      <c r="O10" s="58">
        <f t="shared" si="5"/>
        <v>21</v>
      </c>
      <c r="P10" s="43">
        <f t="shared" si="13"/>
        <v>300</v>
      </c>
      <c r="Q10" s="59">
        <f t="shared" si="6"/>
        <v>315</v>
      </c>
      <c r="R10" s="43"/>
      <c r="S10" s="60">
        <f t="shared" si="14"/>
        <v>15</v>
      </c>
      <c r="T10" s="61">
        <f t="shared" si="15"/>
        <v>613.95000000000005</v>
      </c>
      <c r="U10" s="46"/>
    </row>
    <row r="11" spans="1:22" x14ac:dyDescent="0.25">
      <c r="A11" s="47">
        <f t="shared" si="7"/>
        <v>37014</v>
      </c>
      <c r="B11" s="48">
        <v>5</v>
      </c>
      <c r="C11" s="49">
        <f>INDEX(DaMw,C34+4,0)</f>
        <v>15</v>
      </c>
      <c r="D11" s="91">
        <f>INDEX(DaPrice,C34+4,0)</f>
        <v>20</v>
      </c>
      <c r="E11" s="51">
        <f t="shared" si="8"/>
        <v>4.78</v>
      </c>
      <c r="F11" s="51">
        <f t="shared" si="9"/>
        <v>4.78</v>
      </c>
      <c r="G11" s="52">
        <f t="shared" si="10"/>
        <v>61.93</v>
      </c>
      <c r="H11" s="53">
        <f t="shared" si="0"/>
        <v>41.93</v>
      </c>
      <c r="I11" s="54">
        <f t="shared" si="1"/>
        <v>628.95000000000005</v>
      </c>
      <c r="J11" s="55">
        <f t="shared" si="2"/>
        <v>1</v>
      </c>
      <c r="K11" s="43">
        <f t="shared" si="3"/>
        <v>40.93</v>
      </c>
      <c r="L11" s="43">
        <f t="shared" si="4"/>
        <v>15</v>
      </c>
      <c r="M11" s="56">
        <f t="shared" si="11"/>
        <v>613.95000000000005</v>
      </c>
      <c r="N11" s="57">
        <f t="shared" si="12"/>
        <v>20</v>
      </c>
      <c r="O11" s="58">
        <f t="shared" si="5"/>
        <v>21</v>
      </c>
      <c r="P11" s="43">
        <f t="shared" si="13"/>
        <v>300</v>
      </c>
      <c r="Q11" s="59">
        <f t="shared" si="6"/>
        <v>315</v>
      </c>
      <c r="R11" s="43"/>
      <c r="S11" s="60">
        <f t="shared" si="14"/>
        <v>15</v>
      </c>
      <c r="T11" s="61">
        <f t="shared" si="15"/>
        <v>613.95000000000005</v>
      </c>
      <c r="U11" s="46"/>
    </row>
    <row r="12" spans="1:22" x14ac:dyDescent="0.25">
      <c r="A12" s="47">
        <f t="shared" si="7"/>
        <v>37014</v>
      </c>
      <c r="B12" s="48">
        <v>6</v>
      </c>
      <c r="C12" s="49">
        <f>INDEX(DaMw,C34+5,0)</f>
        <v>15</v>
      </c>
      <c r="D12" s="91">
        <f>INDEX(DaPrice,C34+5,0)</f>
        <v>20</v>
      </c>
      <c r="E12" s="51">
        <f t="shared" si="8"/>
        <v>4.78</v>
      </c>
      <c r="F12" s="51">
        <f t="shared" si="9"/>
        <v>4.78</v>
      </c>
      <c r="G12" s="52">
        <f t="shared" si="10"/>
        <v>61.93</v>
      </c>
      <c r="H12" s="53">
        <f t="shared" si="0"/>
        <v>41.93</v>
      </c>
      <c r="I12" s="54">
        <f t="shared" si="1"/>
        <v>628.95000000000005</v>
      </c>
      <c r="J12" s="55">
        <f t="shared" si="2"/>
        <v>1</v>
      </c>
      <c r="K12" s="43">
        <f t="shared" si="3"/>
        <v>40.93</v>
      </c>
      <c r="L12" s="43">
        <f t="shared" si="4"/>
        <v>15</v>
      </c>
      <c r="M12" s="56">
        <f t="shared" si="11"/>
        <v>613.95000000000005</v>
      </c>
      <c r="N12" s="57">
        <f t="shared" si="12"/>
        <v>20</v>
      </c>
      <c r="O12" s="58">
        <f t="shared" si="5"/>
        <v>21</v>
      </c>
      <c r="P12" s="43">
        <f t="shared" si="13"/>
        <v>300</v>
      </c>
      <c r="Q12" s="59">
        <f t="shared" si="6"/>
        <v>315</v>
      </c>
      <c r="R12" s="43"/>
      <c r="S12" s="60">
        <f t="shared" si="14"/>
        <v>15</v>
      </c>
      <c r="T12" s="61">
        <f t="shared" si="15"/>
        <v>613.95000000000005</v>
      </c>
      <c r="U12" s="46"/>
    </row>
    <row r="13" spans="1:22" x14ac:dyDescent="0.25">
      <c r="A13" s="47">
        <f t="shared" si="7"/>
        <v>37014</v>
      </c>
      <c r="B13" s="48">
        <v>7</v>
      </c>
      <c r="C13" s="49">
        <f>INDEX(DaMw,C34+6,0)</f>
        <v>20</v>
      </c>
      <c r="D13" s="91">
        <f>INDEX(DaPrice,C34+6,0)</f>
        <v>50</v>
      </c>
      <c r="E13" s="51">
        <f t="shared" si="8"/>
        <v>4.78</v>
      </c>
      <c r="F13" s="51">
        <f t="shared" si="9"/>
        <v>4.78</v>
      </c>
      <c r="G13" s="52">
        <f t="shared" si="10"/>
        <v>61.93</v>
      </c>
      <c r="H13" s="53">
        <f t="shared" si="0"/>
        <v>11.93</v>
      </c>
      <c r="I13" s="54">
        <f t="shared" si="1"/>
        <v>238.6</v>
      </c>
      <c r="J13" s="62">
        <f>IF($C13=0,"",$H13*0.4)</f>
        <v>4.7720000000000002</v>
      </c>
      <c r="K13" s="63">
        <f t="shared" ref="K13:K28" si="16">IF($C13=0,"",$H13*0.6)</f>
        <v>7.1579999999999995</v>
      </c>
      <c r="L13" s="64">
        <f>IF(C13=0,"",J13*$C13)</f>
        <v>95.44</v>
      </c>
      <c r="M13" s="56">
        <f t="shared" si="11"/>
        <v>143.16</v>
      </c>
      <c r="N13" s="57">
        <f t="shared" si="12"/>
        <v>50</v>
      </c>
      <c r="O13" s="58">
        <f>IF(C13=0,"",D13+J13)</f>
        <v>54.771999999999998</v>
      </c>
      <c r="P13" s="43">
        <f t="shared" si="13"/>
        <v>1000</v>
      </c>
      <c r="Q13" s="59">
        <f t="shared" si="6"/>
        <v>1095.44</v>
      </c>
      <c r="R13" s="43"/>
      <c r="S13" s="60">
        <f t="shared" si="14"/>
        <v>95.44</v>
      </c>
      <c r="T13" s="61">
        <f t="shared" si="15"/>
        <v>143.16</v>
      </c>
      <c r="U13" s="46"/>
    </row>
    <row r="14" spans="1:22" x14ac:dyDescent="0.25">
      <c r="A14" s="47">
        <f t="shared" si="7"/>
        <v>37014</v>
      </c>
      <c r="B14" s="48">
        <v>8</v>
      </c>
      <c r="C14" s="49">
        <f>INDEX(DaMw,C34+7,0)</f>
        <v>20</v>
      </c>
      <c r="D14" s="91">
        <f>INDEX(DaPrice,C34+7,0)</f>
        <v>50</v>
      </c>
      <c r="E14" s="51">
        <f t="shared" si="8"/>
        <v>4.78</v>
      </c>
      <c r="F14" s="51">
        <f t="shared" si="9"/>
        <v>4.78</v>
      </c>
      <c r="G14" s="52">
        <f t="shared" si="10"/>
        <v>61.93</v>
      </c>
      <c r="H14" s="53">
        <f t="shared" si="0"/>
        <v>11.93</v>
      </c>
      <c r="I14" s="54">
        <f t="shared" si="1"/>
        <v>238.6</v>
      </c>
      <c r="J14" s="62">
        <f t="shared" ref="J14:J28" si="17">IF($C14=0,"",$H14*0.4)</f>
        <v>4.7720000000000002</v>
      </c>
      <c r="K14" s="63">
        <f t="shared" si="16"/>
        <v>7.1579999999999995</v>
      </c>
      <c r="L14" s="64">
        <f t="shared" ref="L14:L28" si="18">IF(C14=0,"",J14*$C14)</f>
        <v>95.44</v>
      </c>
      <c r="M14" s="56">
        <f t="shared" si="11"/>
        <v>143.16</v>
      </c>
      <c r="N14" s="57">
        <f t="shared" si="12"/>
        <v>50</v>
      </c>
      <c r="O14" s="58">
        <f t="shared" ref="O14:O28" si="19">IF(C14=0,"",D14+J14)</f>
        <v>54.771999999999998</v>
      </c>
      <c r="P14" s="43">
        <f t="shared" si="13"/>
        <v>1000</v>
      </c>
      <c r="Q14" s="59">
        <f t="shared" si="6"/>
        <v>1095.44</v>
      </c>
      <c r="R14" s="43"/>
      <c r="S14" s="60">
        <f t="shared" si="14"/>
        <v>95.44</v>
      </c>
      <c r="T14" s="61">
        <f t="shared" si="15"/>
        <v>143.16</v>
      </c>
      <c r="U14" s="46"/>
    </row>
    <row r="15" spans="1:22" x14ac:dyDescent="0.25">
      <c r="A15" s="47">
        <f t="shared" si="7"/>
        <v>37014</v>
      </c>
      <c r="B15" s="48">
        <v>9</v>
      </c>
      <c r="C15" s="49">
        <f>INDEX(DaMw,C34+8,0)</f>
        <v>21.126818092924395</v>
      </c>
      <c r="D15" s="91">
        <f>INDEX(DaPrice,C34+8,0)</f>
        <v>50</v>
      </c>
      <c r="E15" s="51">
        <f t="shared" si="8"/>
        <v>4.78</v>
      </c>
      <c r="F15" s="51">
        <f t="shared" si="9"/>
        <v>4.78</v>
      </c>
      <c r="G15" s="52">
        <f t="shared" si="10"/>
        <v>61.93</v>
      </c>
      <c r="H15" s="53">
        <f t="shared" si="0"/>
        <v>11.93</v>
      </c>
      <c r="I15" s="54">
        <f t="shared" si="1"/>
        <v>252.04293984858802</v>
      </c>
      <c r="J15" s="62">
        <f t="shared" si="17"/>
        <v>4.7720000000000002</v>
      </c>
      <c r="K15" s="63">
        <f t="shared" si="16"/>
        <v>7.1579999999999995</v>
      </c>
      <c r="L15" s="64">
        <f t="shared" si="18"/>
        <v>100.81717593943522</v>
      </c>
      <c r="M15" s="56">
        <f t="shared" si="11"/>
        <v>151.22576390915282</v>
      </c>
      <c r="N15" s="57">
        <f t="shared" si="12"/>
        <v>50</v>
      </c>
      <c r="O15" s="58">
        <f t="shared" si="19"/>
        <v>54.771999999999998</v>
      </c>
      <c r="P15" s="43">
        <f t="shared" si="13"/>
        <v>1056.3409046462198</v>
      </c>
      <c r="Q15" s="59">
        <f t="shared" si="6"/>
        <v>1157.1580805856549</v>
      </c>
      <c r="R15" s="43"/>
      <c r="S15" s="60">
        <f t="shared" si="14"/>
        <v>100.81717593943522</v>
      </c>
      <c r="T15" s="61">
        <f t="shared" si="15"/>
        <v>151.22576390915282</v>
      </c>
      <c r="U15" s="46"/>
    </row>
    <row r="16" spans="1:22" x14ac:dyDescent="0.25">
      <c r="A16" s="47">
        <f t="shared" si="7"/>
        <v>37014</v>
      </c>
      <c r="B16" s="48">
        <v>10</v>
      </c>
      <c r="C16" s="49">
        <f>INDEX(DaMw,C34+9,0)</f>
        <v>23.715465046674097</v>
      </c>
      <c r="D16" s="91">
        <f>INDEX(DaPrice,C34+9,0)</f>
        <v>50</v>
      </c>
      <c r="E16" s="51">
        <f t="shared" si="8"/>
        <v>4.78</v>
      </c>
      <c r="F16" s="51">
        <f t="shared" si="9"/>
        <v>4.78</v>
      </c>
      <c r="G16" s="52">
        <f t="shared" si="10"/>
        <v>61.93</v>
      </c>
      <c r="H16" s="53">
        <f t="shared" si="0"/>
        <v>11.93</v>
      </c>
      <c r="I16" s="54">
        <f t="shared" si="1"/>
        <v>282.92549800682195</v>
      </c>
      <c r="J16" s="62">
        <f t="shared" si="17"/>
        <v>4.7720000000000002</v>
      </c>
      <c r="K16" s="63">
        <f t="shared" si="16"/>
        <v>7.1579999999999995</v>
      </c>
      <c r="L16" s="64">
        <f t="shared" si="18"/>
        <v>113.1701992027288</v>
      </c>
      <c r="M16" s="56">
        <f t="shared" si="11"/>
        <v>169.75529880409317</v>
      </c>
      <c r="N16" s="57">
        <f t="shared" si="12"/>
        <v>50</v>
      </c>
      <c r="O16" s="58">
        <f t="shared" si="19"/>
        <v>54.771999999999998</v>
      </c>
      <c r="P16" s="43">
        <f t="shared" si="13"/>
        <v>1185.7732523337049</v>
      </c>
      <c r="Q16" s="59">
        <f t="shared" si="6"/>
        <v>1298.9434515364337</v>
      </c>
      <c r="R16" s="43"/>
      <c r="S16" s="60">
        <f t="shared" si="14"/>
        <v>113.1701992027288</v>
      </c>
      <c r="T16" s="61">
        <f t="shared" si="15"/>
        <v>169.75529880409317</v>
      </c>
      <c r="U16" s="46"/>
    </row>
    <row r="17" spans="1:21" x14ac:dyDescent="0.25">
      <c r="A17" s="47">
        <f t="shared" si="7"/>
        <v>37014</v>
      </c>
      <c r="B17" s="48">
        <v>11</v>
      </c>
      <c r="C17" s="49">
        <f>INDEX(DaMw,C34+10,0)</f>
        <v>23.374438612548701</v>
      </c>
      <c r="D17" s="91">
        <f>INDEX(DaPrice,C34+10,0)</f>
        <v>50</v>
      </c>
      <c r="E17" s="51">
        <f t="shared" si="8"/>
        <v>4.78</v>
      </c>
      <c r="F17" s="51">
        <f t="shared" si="9"/>
        <v>4.78</v>
      </c>
      <c r="G17" s="52">
        <f t="shared" si="10"/>
        <v>61.93</v>
      </c>
      <c r="H17" s="53">
        <f t="shared" si="0"/>
        <v>11.93</v>
      </c>
      <c r="I17" s="54">
        <f t="shared" si="1"/>
        <v>278.85705264770598</v>
      </c>
      <c r="J17" s="62">
        <f t="shared" si="17"/>
        <v>4.7720000000000002</v>
      </c>
      <c r="K17" s="63">
        <f t="shared" si="16"/>
        <v>7.1579999999999995</v>
      </c>
      <c r="L17" s="64">
        <f t="shared" si="18"/>
        <v>111.54282105908241</v>
      </c>
      <c r="M17" s="56">
        <f t="shared" si="11"/>
        <v>167.31423158862358</v>
      </c>
      <c r="N17" s="57">
        <f t="shared" si="12"/>
        <v>50</v>
      </c>
      <c r="O17" s="58">
        <f t="shared" si="19"/>
        <v>54.771999999999998</v>
      </c>
      <c r="P17" s="43">
        <f t="shared" si="13"/>
        <v>1168.7219306274351</v>
      </c>
      <c r="Q17" s="59">
        <f t="shared" si="6"/>
        <v>1280.2647516865175</v>
      </c>
      <c r="R17" s="43"/>
      <c r="S17" s="60">
        <f t="shared" si="14"/>
        <v>111.54282105908241</v>
      </c>
      <c r="T17" s="61">
        <f t="shared" si="15"/>
        <v>167.31423158862358</v>
      </c>
      <c r="U17" s="46"/>
    </row>
    <row r="18" spans="1:21" x14ac:dyDescent="0.25">
      <c r="A18" s="47">
        <f t="shared" si="7"/>
        <v>37014</v>
      </c>
      <c r="B18" s="48">
        <v>12</v>
      </c>
      <c r="C18" s="49">
        <f>INDEX(DaMw,C34+11,0)</f>
        <v>25.322940262234901</v>
      </c>
      <c r="D18" s="91">
        <f>INDEX(DaPrice,C34+11,0)</f>
        <v>50</v>
      </c>
      <c r="E18" s="51">
        <f t="shared" si="8"/>
        <v>4.78</v>
      </c>
      <c r="F18" s="51">
        <f t="shared" si="9"/>
        <v>4.78</v>
      </c>
      <c r="G18" s="52">
        <f t="shared" si="10"/>
        <v>61.93</v>
      </c>
      <c r="H18" s="53">
        <f t="shared" si="0"/>
        <v>11.93</v>
      </c>
      <c r="I18" s="54">
        <f t="shared" si="1"/>
        <v>302.10267732846239</v>
      </c>
      <c r="J18" s="62">
        <f t="shared" si="17"/>
        <v>4.7720000000000002</v>
      </c>
      <c r="K18" s="63">
        <f t="shared" si="16"/>
        <v>7.1579999999999995</v>
      </c>
      <c r="L18" s="64">
        <f t="shared" si="18"/>
        <v>120.84107093138496</v>
      </c>
      <c r="M18" s="56">
        <f t="shared" si="11"/>
        <v>181.2616063970774</v>
      </c>
      <c r="N18" s="57">
        <f t="shared" si="12"/>
        <v>50</v>
      </c>
      <c r="O18" s="58">
        <f t="shared" si="19"/>
        <v>54.771999999999998</v>
      </c>
      <c r="P18" s="43">
        <f t="shared" si="13"/>
        <v>1266.1470131117451</v>
      </c>
      <c r="Q18" s="59">
        <f t="shared" si="6"/>
        <v>1386.9880840431299</v>
      </c>
      <c r="R18" s="43"/>
      <c r="S18" s="60">
        <f t="shared" si="14"/>
        <v>120.84107093138496</v>
      </c>
      <c r="T18" s="61">
        <f t="shared" si="15"/>
        <v>181.2616063970774</v>
      </c>
      <c r="U18" s="46"/>
    </row>
    <row r="19" spans="1:21" x14ac:dyDescent="0.25">
      <c r="A19" s="47">
        <f t="shared" si="7"/>
        <v>37014</v>
      </c>
      <c r="B19" s="48">
        <v>13</v>
      </c>
      <c r="C19" s="49">
        <f>INDEX(DaMw,C34+12,0)</f>
        <v>24.493732343134496</v>
      </c>
      <c r="D19" s="91">
        <f>INDEX(DaPrice,C34+12,0)</f>
        <v>50</v>
      </c>
      <c r="E19" s="51">
        <f t="shared" si="8"/>
        <v>4.78</v>
      </c>
      <c r="F19" s="51">
        <f t="shared" si="9"/>
        <v>4.78</v>
      </c>
      <c r="G19" s="52">
        <f t="shared" si="10"/>
        <v>61.93</v>
      </c>
      <c r="H19" s="53">
        <f t="shared" si="0"/>
        <v>11.93</v>
      </c>
      <c r="I19" s="54">
        <f t="shared" si="1"/>
        <v>292.21022685359452</v>
      </c>
      <c r="J19" s="62">
        <f t="shared" si="17"/>
        <v>4.7720000000000002</v>
      </c>
      <c r="K19" s="63">
        <f t="shared" si="16"/>
        <v>7.1579999999999995</v>
      </c>
      <c r="L19" s="64">
        <f t="shared" si="18"/>
        <v>116.88409074143782</v>
      </c>
      <c r="M19" s="56">
        <f t="shared" si="11"/>
        <v>175.32613611215672</v>
      </c>
      <c r="N19" s="57">
        <f t="shared" si="12"/>
        <v>50</v>
      </c>
      <c r="O19" s="58">
        <f t="shared" si="19"/>
        <v>54.771999999999998</v>
      </c>
      <c r="P19" s="43">
        <f t="shared" si="13"/>
        <v>1224.6866171567249</v>
      </c>
      <c r="Q19" s="59">
        <f t="shared" si="6"/>
        <v>1341.5707078981627</v>
      </c>
      <c r="R19" s="43"/>
      <c r="S19" s="60">
        <f t="shared" si="14"/>
        <v>116.88409074143782</v>
      </c>
      <c r="T19" s="61">
        <f t="shared" si="15"/>
        <v>175.32613611215672</v>
      </c>
      <c r="U19" s="46"/>
    </row>
    <row r="20" spans="1:21" x14ac:dyDescent="0.25">
      <c r="A20" s="47">
        <f t="shared" si="7"/>
        <v>37014</v>
      </c>
      <c r="B20" s="48">
        <v>14</v>
      </c>
      <c r="C20" s="49">
        <f>INDEX(DaMw,C34+13,0)</f>
        <v>24.294912156213599</v>
      </c>
      <c r="D20" s="91">
        <f>INDEX(DaPrice,C34+13,0)</f>
        <v>50</v>
      </c>
      <c r="E20" s="51">
        <f t="shared" si="8"/>
        <v>4.78</v>
      </c>
      <c r="F20" s="51">
        <f t="shared" si="9"/>
        <v>4.78</v>
      </c>
      <c r="G20" s="52">
        <f t="shared" si="10"/>
        <v>61.93</v>
      </c>
      <c r="H20" s="53">
        <f t="shared" si="0"/>
        <v>11.93</v>
      </c>
      <c r="I20" s="54">
        <f t="shared" si="1"/>
        <v>289.83830202362822</v>
      </c>
      <c r="J20" s="62">
        <f t="shared" si="17"/>
        <v>4.7720000000000002</v>
      </c>
      <c r="K20" s="63">
        <f t="shared" si="16"/>
        <v>7.1579999999999995</v>
      </c>
      <c r="L20" s="64">
        <f t="shared" si="18"/>
        <v>115.9353208094513</v>
      </c>
      <c r="M20" s="56">
        <f t="shared" si="11"/>
        <v>173.90298121417692</v>
      </c>
      <c r="N20" s="57">
        <f t="shared" si="12"/>
        <v>50</v>
      </c>
      <c r="O20" s="58">
        <f t="shared" si="19"/>
        <v>54.771999999999998</v>
      </c>
      <c r="P20" s="43">
        <f t="shared" si="13"/>
        <v>1214.74560781068</v>
      </c>
      <c r="Q20" s="59">
        <f t="shared" si="6"/>
        <v>1330.6809286201312</v>
      </c>
      <c r="R20" s="43"/>
      <c r="S20" s="60">
        <f t="shared" si="14"/>
        <v>115.9353208094513</v>
      </c>
      <c r="T20" s="61">
        <f t="shared" si="15"/>
        <v>173.90298121417692</v>
      </c>
      <c r="U20" s="46"/>
    </row>
    <row r="21" spans="1:21" x14ac:dyDescent="0.25">
      <c r="A21" s="47">
        <f t="shared" si="7"/>
        <v>37014</v>
      </c>
      <c r="B21" s="48">
        <v>15</v>
      </c>
      <c r="C21" s="49">
        <f>INDEX(DaMw,C34+14,0)</f>
        <v>25.363422046692399</v>
      </c>
      <c r="D21" s="91">
        <f>INDEX(DaPrice,C34+14,0)</f>
        <v>50</v>
      </c>
      <c r="E21" s="51">
        <f t="shared" si="8"/>
        <v>4.78</v>
      </c>
      <c r="F21" s="51">
        <f t="shared" si="9"/>
        <v>4.78</v>
      </c>
      <c r="G21" s="52">
        <f t="shared" si="10"/>
        <v>61.93</v>
      </c>
      <c r="H21" s="53">
        <f t="shared" si="0"/>
        <v>11.93</v>
      </c>
      <c r="I21" s="54">
        <f t="shared" si="1"/>
        <v>302.58562501704034</v>
      </c>
      <c r="J21" s="62">
        <f t="shared" si="17"/>
        <v>4.7720000000000002</v>
      </c>
      <c r="K21" s="63">
        <f t="shared" si="16"/>
        <v>7.1579999999999995</v>
      </c>
      <c r="L21" s="64">
        <f t="shared" si="18"/>
        <v>121.03425000681614</v>
      </c>
      <c r="M21" s="56">
        <f t="shared" si="11"/>
        <v>181.55137501022418</v>
      </c>
      <c r="N21" s="57">
        <f t="shared" si="12"/>
        <v>50</v>
      </c>
      <c r="O21" s="58">
        <f t="shared" si="19"/>
        <v>54.771999999999998</v>
      </c>
      <c r="P21" s="43">
        <f t="shared" si="13"/>
        <v>1268.1711023346199</v>
      </c>
      <c r="Q21" s="59">
        <f t="shared" si="6"/>
        <v>1389.2053523414361</v>
      </c>
      <c r="R21" s="43"/>
      <c r="S21" s="60">
        <f t="shared" si="14"/>
        <v>121.03425000681614</v>
      </c>
      <c r="T21" s="61">
        <f t="shared" si="15"/>
        <v>181.55137501022418</v>
      </c>
      <c r="U21" s="46"/>
    </row>
    <row r="22" spans="1:21" x14ac:dyDescent="0.25">
      <c r="A22" s="47">
        <f t="shared" si="7"/>
        <v>37014</v>
      </c>
      <c r="B22" s="48">
        <v>16</v>
      </c>
      <c r="C22" s="49">
        <f>INDEX(DaMw,C34+15,0)</f>
        <v>26.156870753818801</v>
      </c>
      <c r="D22" s="91">
        <f>INDEX(DaPrice,C34+15,0)</f>
        <v>50</v>
      </c>
      <c r="E22" s="51">
        <f t="shared" si="8"/>
        <v>4.78</v>
      </c>
      <c r="F22" s="51">
        <f t="shared" si="9"/>
        <v>4.78</v>
      </c>
      <c r="G22" s="52">
        <f t="shared" si="10"/>
        <v>61.93</v>
      </c>
      <c r="H22" s="53">
        <f t="shared" si="0"/>
        <v>11.93</v>
      </c>
      <c r="I22" s="54">
        <f t="shared" si="1"/>
        <v>312.0514680930583</v>
      </c>
      <c r="J22" s="62">
        <f t="shared" si="17"/>
        <v>4.7720000000000002</v>
      </c>
      <c r="K22" s="63">
        <f t="shared" si="16"/>
        <v>7.1579999999999995</v>
      </c>
      <c r="L22" s="64">
        <f t="shared" si="18"/>
        <v>124.82058723722332</v>
      </c>
      <c r="M22" s="56">
        <f t="shared" si="11"/>
        <v>187.23088085583495</v>
      </c>
      <c r="N22" s="57">
        <f t="shared" si="12"/>
        <v>50</v>
      </c>
      <c r="O22" s="58">
        <f t="shared" si="19"/>
        <v>54.771999999999998</v>
      </c>
      <c r="P22" s="43">
        <f t="shared" si="13"/>
        <v>1307.8435376909401</v>
      </c>
      <c r="Q22" s="59">
        <f t="shared" si="6"/>
        <v>1432.6641249281633</v>
      </c>
      <c r="R22" s="43"/>
      <c r="S22" s="60">
        <f t="shared" si="14"/>
        <v>124.82058723722332</v>
      </c>
      <c r="T22" s="61">
        <f t="shared" si="15"/>
        <v>187.23088085583495</v>
      </c>
      <c r="U22" s="46"/>
    </row>
    <row r="23" spans="1:21" x14ac:dyDescent="0.25">
      <c r="A23" s="47">
        <f t="shared" si="7"/>
        <v>37014</v>
      </c>
      <c r="B23" s="48">
        <v>17</v>
      </c>
      <c r="C23" s="49">
        <f>INDEX(DaMw,C34+16,0)</f>
        <v>23.944801030868803</v>
      </c>
      <c r="D23" s="91">
        <f>INDEX(DaPrice,C34+16,0)</f>
        <v>50</v>
      </c>
      <c r="E23" s="51">
        <f t="shared" si="8"/>
        <v>4.78</v>
      </c>
      <c r="F23" s="51">
        <f t="shared" si="9"/>
        <v>4.78</v>
      </c>
      <c r="G23" s="52">
        <f t="shared" si="10"/>
        <v>61.93</v>
      </c>
      <c r="H23" s="53">
        <f t="shared" si="0"/>
        <v>11.93</v>
      </c>
      <c r="I23" s="54">
        <f t="shared" si="1"/>
        <v>285.6614762982648</v>
      </c>
      <c r="J23" s="62">
        <f t="shared" si="17"/>
        <v>4.7720000000000002</v>
      </c>
      <c r="K23" s="63">
        <f t="shared" si="16"/>
        <v>7.1579999999999995</v>
      </c>
      <c r="L23" s="64">
        <f t="shared" si="18"/>
        <v>114.26459051930593</v>
      </c>
      <c r="M23" s="56">
        <f t="shared" si="11"/>
        <v>171.39688577895888</v>
      </c>
      <c r="N23" s="57">
        <f t="shared" si="12"/>
        <v>50</v>
      </c>
      <c r="O23" s="58">
        <f t="shared" si="19"/>
        <v>54.771999999999998</v>
      </c>
      <c r="P23" s="43">
        <f t="shared" si="13"/>
        <v>1197.2400515434401</v>
      </c>
      <c r="Q23" s="59">
        <f t="shared" si="6"/>
        <v>1311.5046420627459</v>
      </c>
      <c r="R23" s="43"/>
      <c r="S23" s="60">
        <f t="shared" si="14"/>
        <v>114.26459051930593</v>
      </c>
      <c r="T23" s="61">
        <f t="shared" si="15"/>
        <v>171.39688577895888</v>
      </c>
      <c r="U23" s="46"/>
    </row>
    <row r="24" spans="1:21" x14ac:dyDescent="0.25">
      <c r="A24" s="47">
        <f t="shared" si="7"/>
        <v>37014</v>
      </c>
      <c r="B24" s="48">
        <v>18</v>
      </c>
      <c r="C24" s="49">
        <f>INDEX(DaMw,C34+17,0)</f>
        <v>22.490152223263301</v>
      </c>
      <c r="D24" s="91">
        <f>INDEX(DaPrice,C34+17,0)</f>
        <v>50</v>
      </c>
      <c r="E24" s="51">
        <f t="shared" si="8"/>
        <v>4.78</v>
      </c>
      <c r="F24" s="51">
        <f t="shared" si="9"/>
        <v>4.78</v>
      </c>
      <c r="G24" s="52">
        <f t="shared" si="10"/>
        <v>61.93</v>
      </c>
      <c r="H24" s="53">
        <f t="shared" si="0"/>
        <v>11.93</v>
      </c>
      <c r="I24" s="54">
        <f t="shared" si="1"/>
        <v>268.30751602353115</v>
      </c>
      <c r="J24" s="62">
        <f t="shared" si="17"/>
        <v>4.7720000000000002</v>
      </c>
      <c r="K24" s="63">
        <f t="shared" si="16"/>
        <v>7.1579999999999995</v>
      </c>
      <c r="L24" s="64">
        <f t="shared" si="18"/>
        <v>107.32300640941249</v>
      </c>
      <c r="M24" s="56">
        <f t="shared" si="11"/>
        <v>160.98450961411871</v>
      </c>
      <c r="N24" s="57">
        <f t="shared" si="12"/>
        <v>50</v>
      </c>
      <c r="O24" s="58">
        <f t="shared" si="19"/>
        <v>54.771999999999998</v>
      </c>
      <c r="P24" s="43">
        <f t="shared" si="13"/>
        <v>1124.5076111631652</v>
      </c>
      <c r="Q24" s="59">
        <f t="shared" si="6"/>
        <v>1231.8306175725775</v>
      </c>
      <c r="R24" s="43"/>
      <c r="S24" s="60">
        <f t="shared" si="14"/>
        <v>107.32300640941249</v>
      </c>
      <c r="T24" s="61">
        <f t="shared" si="15"/>
        <v>160.98450961411871</v>
      </c>
      <c r="U24" s="46"/>
    </row>
    <row r="25" spans="1:21" x14ac:dyDescent="0.25">
      <c r="A25" s="47">
        <f t="shared" si="7"/>
        <v>37014</v>
      </c>
      <c r="B25" s="48">
        <v>19</v>
      </c>
      <c r="C25" s="49">
        <f>INDEX(DaMw,C34+18,0)</f>
        <v>23.027796395488195</v>
      </c>
      <c r="D25" s="91">
        <f>INDEX(DaPrice,C34+18,0)</f>
        <v>50</v>
      </c>
      <c r="E25" s="51">
        <f t="shared" si="8"/>
        <v>4.78</v>
      </c>
      <c r="F25" s="51">
        <f t="shared" si="9"/>
        <v>4.78</v>
      </c>
      <c r="G25" s="52">
        <f t="shared" si="10"/>
        <v>61.93</v>
      </c>
      <c r="H25" s="53">
        <f t="shared" si="0"/>
        <v>11.93</v>
      </c>
      <c r="I25" s="54">
        <f t="shared" si="1"/>
        <v>274.72161099817419</v>
      </c>
      <c r="J25" s="62">
        <f t="shared" si="17"/>
        <v>4.7720000000000002</v>
      </c>
      <c r="K25" s="63">
        <f t="shared" si="16"/>
        <v>7.1579999999999995</v>
      </c>
      <c r="L25" s="64">
        <f t="shared" si="18"/>
        <v>109.88864439926968</v>
      </c>
      <c r="M25" s="56">
        <f t="shared" si="11"/>
        <v>164.83296659890448</v>
      </c>
      <c r="N25" s="57">
        <f t="shared" si="12"/>
        <v>50</v>
      </c>
      <c r="O25" s="58">
        <f t="shared" si="19"/>
        <v>54.771999999999998</v>
      </c>
      <c r="P25" s="43">
        <f t="shared" si="13"/>
        <v>1151.3898197744097</v>
      </c>
      <c r="Q25" s="59">
        <f t="shared" si="6"/>
        <v>1261.2784641736794</v>
      </c>
      <c r="R25" s="43"/>
      <c r="S25" s="60">
        <f t="shared" si="14"/>
        <v>109.88864439926968</v>
      </c>
      <c r="T25" s="61">
        <f t="shared" si="15"/>
        <v>164.83296659890448</v>
      </c>
      <c r="U25" s="46"/>
    </row>
    <row r="26" spans="1:21" x14ac:dyDescent="0.25">
      <c r="A26" s="47">
        <f t="shared" si="7"/>
        <v>37014</v>
      </c>
      <c r="B26" s="48">
        <v>20</v>
      </c>
      <c r="C26" s="49">
        <f>INDEX(DaMw,C34+19,0)</f>
        <v>21.842478541566003</v>
      </c>
      <c r="D26" s="91">
        <f>INDEX(DaPrice,C34+19,0)</f>
        <v>50</v>
      </c>
      <c r="E26" s="51">
        <f t="shared" si="8"/>
        <v>4.78</v>
      </c>
      <c r="F26" s="51">
        <f t="shared" si="9"/>
        <v>4.78</v>
      </c>
      <c r="G26" s="52">
        <f t="shared" si="10"/>
        <v>61.93</v>
      </c>
      <c r="H26" s="53">
        <f t="shared" si="0"/>
        <v>11.93</v>
      </c>
      <c r="I26" s="54">
        <f t="shared" si="1"/>
        <v>260.58076900088241</v>
      </c>
      <c r="J26" s="62">
        <f t="shared" si="17"/>
        <v>4.7720000000000002</v>
      </c>
      <c r="K26" s="63">
        <f t="shared" si="16"/>
        <v>7.1579999999999995</v>
      </c>
      <c r="L26" s="64">
        <f t="shared" si="18"/>
        <v>104.23230760035297</v>
      </c>
      <c r="M26" s="56">
        <f t="shared" si="11"/>
        <v>156.34846140052943</v>
      </c>
      <c r="N26" s="57">
        <f t="shared" si="12"/>
        <v>50</v>
      </c>
      <c r="O26" s="58">
        <f t="shared" si="19"/>
        <v>54.771999999999998</v>
      </c>
      <c r="P26" s="43">
        <f t="shared" si="13"/>
        <v>1092.1239270783001</v>
      </c>
      <c r="Q26" s="59">
        <f t="shared" si="6"/>
        <v>1196.356234678653</v>
      </c>
      <c r="R26" s="43"/>
      <c r="S26" s="60">
        <f t="shared" si="14"/>
        <v>104.23230760035297</v>
      </c>
      <c r="T26" s="61">
        <f t="shared" si="15"/>
        <v>156.34846140052943</v>
      </c>
      <c r="U26" s="46"/>
    </row>
    <row r="27" spans="1:21" x14ac:dyDescent="0.25">
      <c r="A27" s="47">
        <f t="shared" si="7"/>
        <v>37014</v>
      </c>
      <c r="B27" s="48">
        <v>21</v>
      </c>
      <c r="C27" s="49">
        <f>INDEX(DaMw,C34+20,0)</f>
        <v>24.8374741468255</v>
      </c>
      <c r="D27" s="91">
        <f>INDEX(DaPrice,C34+20,0)</f>
        <v>50</v>
      </c>
      <c r="E27" s="51">
        <f t="shared" si="8"/>
        <v>4.78</v>
      </c>
      <c r="F27" s="51">
        <f t="shared" si="9"/>
        <v>4.78</v>
      </c>
      <c r="G27" s="52">
        <f t="shared" si="10"/>
        <v>61.93</v>
      </c>
      <c r="H27" s="53">
        <f t="shared" si="0"/>
        <v>11.93</v>
      </c>
      <c r="I27" s="54">
        <f t="shared" si="1"/>
        <v>296.3110665716282</v>
      </c>
      <c r="J27" s="62">
        <f t="shared" si="17"/>
        <v>4.7720000000000002</v>
      </c>
      <c r="K27" s="63">
        <f t="shared" si="16"/>
        <v>7.1579999999999995</v>
      </c>
      <c r="L27" s="64">
        <f t="shared" si="18"/>
        <v>118.52442662865128</v>
      </c>
      <c r="M27" s="56">
        <f t="shared" si="11"/>
        <v>177.7866399429769</v>
      </c>
      <c r="N27" s="57">
        <f t="shared" si="12"/>
        <v>50</v>
      </c>
      <c r="O27" s="58">
        <f t="shared" si="19"/>
        <v>54.771999999999998</v>
      </c>
      <c r="P27" s="43">
        <f t="shared" si="13"/>
        <v>1241.8737073412749</v>
      </c>
      <c r="Q27" s="59">
        <f t="shared" si="6"/>
        <v>1360.3981339699262</v>
      </c>
      <c r="R27" s="43"/>
      <c r="S27" s="60">
        <f t="shared" si="14"/>
        <v>118.52442662865128</v>
      </c>
      <c r="T27" s="61">
        <f t="shared" si="15"/>
        <v>177.7866399429769</v>
      </c>
      <c r="U27" s="46"/>
    </row>
    <row r="28" spans="1:21" x14ac:dyDescent="0.25">
      <c r="A28" s="47">
        <f t="shared" si="7"/>
        <v>37014</v>
      </c>
      <c r="B28" s="48">
        <v>22</v>
      </c>
      <c r="C28" s="49">
        <f>INDEX(DaMw,C34+21,0)</f>
        <v>24.617253253736003</v>
      </c>
      <c r="D28" s="91">
        <f>INDEX(DaPrice,C34+21,0)</f>
        <v>50</v>
      </c>
      <c r="E28" s="51">
        <f t="shared" si="8"/>
        <v>4.78</v>
      </c>
      <c r="F28" s="51">
        <f t="shared" si="9"/>
        <v>4.78</v>
      </c>
      <c r="G28" s="52">
        <f t="shared" si="10"/>
        <v>61.93</v>
      </c>
      <c r="H28" s="53">
        <f t="shared" si="0"/>
        <v>11.93</v>
      </c>
      <c r="I28" s="54">
        <f t="shared" si="1"/>
        <v>293.68383131707049</v>
      </c>
      <c r="J28" s="62">
        <f t="shared" si="17"/>
        <v>4.7720000000000002</v>
      </c>
      <c r="K28" s="63">
        <f t="shared" si="16"/>
        <v>7.1579999999999995</v>
      </c>
      <c r="L28" s="64">
        <f t="shared" si="18"/>
        <v>117.47353252682821</v>
      </c>
      <c r="M28" s="56">
        <f t="shared" si="11"/>
        <v>176.21029879024229</v>
      </c>
      <c r="N28" s="57">
        <f t="shared" si="12"/>
        <v>50</v>
      </c>
      <c r="O28" s="58">
        <f t="shared" si="19"/>
        <v>54.771999999999998</v>
      </c>
      <c r="P28" s="43">
        <f t="shared" si="13"/>
        <v>1230.8626626868001</v>
      </c>
      <c r="Q28" s="59">
        <f t="shared" si="6"/>
        <v>1348.3361952136283</v>
      </c>
      <c r="R28" s="43"/>
      <c r="S28" s="60">
        <f t="shared" si="14"/>
        <v>117.47353252682821</v>
      </c>
      <c r="T28" s="61">
        <f t="shared" si="15"/>
        <v>176.21029879024229</v>
      </c>
      <c r="U28" s="46"/>
    </row>
    <row r="29" spans="1:21" x14ac:dyDescent="0.25">
      <c r="A29" s="47">
        <f t="shared" si="7"/>
        <v>37014</v>
      </c>
      <c r="B29" s="48">
        <v>23</v>
      </c>
      <c r="C29" s="49">
        <f>INDEX(DaMw,C34+22,0)</f>
        <v>15</v>
      </c>
      <c r="D29" s="91">
        <f>INDEX(DaPrice,C34+22,0)</f>
        <v>20</v>
      </c>
      <c r="E29" s="51">
        <f t="shared" si="8"/>
        <v>4.78</v>
      </c>
      <c r="F29" s="51">
        <f t="shared" si="9"/>
        <v>4.78</v>
      </c>
      <c r="G29" s="52">
        <f t="shared" si="10"/>
        <v>61.93</v>
      </c>
      <c r="H29" s="53">
        <f t="shared" si="0"/>
        <v>41.93</v>
      </c>
      <c r="I29" s="54">
        <f t="shared" si="1"/>
        <v>628.95000000000005</v>
      </c>
      <c r="J29" s="55">
        <f>IF(C29=0,"",1)</f>
        <v>1</v>
      </c>
      <c r="K29" s="43">
        <f>IF(C29=0,"",G29-(D29+1))</f>
        <v>40.93</v>
      </c>
      <c r="L29" s="43">
        <f>IF(C29=0,"",C29*J29)</f>
        <v>15</v>
      </c>
      <c r="M29" s="56">
        <f t="shared" si="11"/>
        <v>613.95000000000005</v>
      </c>
      <c r="N29" s="57">
        <f t="shared" si="12"/>
        <v>20</v>
      </c>
      <c r="O29" s="58">
        <f>IF(C29=0,"",D29+1)</f>
        <v>21</v>
      </c>
      <c r="P29" s="43">
        <f t="shared" si="13"/>
        <v>300</v>
      </c>
      <c r="Q29" s="59">
        <f t="shared" si="6"/>
        <v>315</v>
      </c>
      <c r="R29" s="43"/>
      <c r="S29" s="60">
        <f t="shared" si="14"/>
        <v>15</v>
      </c>
      <c r="T29" s="61">
        <f t="shared" si="15"/>
        <v>613.95000000000005</v>
      </c>
      <c r="U29" s="46"/>
    </row>
    <row r="30" spans="1:21" x14ac:dyDescent="0.25">
      <c r="A30" s="65">
        <f t="shared" si="7"/>
        <v>37014</v>
      </c>
      <c r="B30" s="66">
        <v>24</v>
      </c>
      <c r="C30" s="67">
        <f>INDEX(DaMw,C34+23,0)</f>
        <v>15</v>
      </c>
      <c r="D30" s="92">
        <f>INDEX(DaPrice,C34+23,0)</f>
        <v>20</v>
      </c>
      <c r="E30" s="69">
        <f t="shared" si="8"/>
        <v>4.78</v>
      </c>
      <c r="F30" s="69">
        <f>VLOOKUP(A30,Gas,5,FALSE)</f>
        <v>4.78</v>
      </c>
      <c r="G30" s="70">
        <f t="shared" si="10"/>
        <v>61.93</v>
      </c>
      <c r="H30" s="71">
        <f t="shared" si="0"/>
        <v>41.93</v>
      </c>
      <c r="I30" s="72">
        <f t="shared" si="1"/>
        <v>628.95000000000005</v>
      </c>
      <c r="J30" s="73">
        <f>IF(C30=0,"",1)</f>
        <v>1</v>
      </c>
      <c r="K30" s="74">
        <f>IF(C30=0,"",G30-(D30+1))</f>
        <v>40.93</v>
      </c>
      <c r="L30" s="74">
        <f>IF(C30=0,"",C30*J30)</f>
        <v>15</v>
      </c>
      <c r="M30" s="75">
        <f t="shared" si="11"/>
        <v>613.95000000000005</v>
      </c>
      <c r="N30" s="76">
        <f t="shared" si="12"/>
        <v>20</v>
      </c>
      <c r="O30" s="77">
        <f>IF(C30=0,"",D30+1)</f>
        <v>21</v>
      </c>
      <c r="P30" s="74">
        <f t="shared" si="13"/>
        <v>300</v>
      </c>
      <c r="Q30" s="78">
        <f t="shared" si="6"/>
        <v>315</v>
      </c>
      <c r="R30" s="43"/>
      <c r="S30" s="79">
        <f t="shared" si="14"/>
        <v>15</v>
      </c>
      <c r="T30" s="80">
        <f t="shared" si="15"/>
        <v>613.95000000000005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83"/>
    </row>
    <row r="32" spans="1:21" x14ac:dyDescent="0.25">
      <c r="K32" s="84"/>
      <c r="L32" s="84"/>
      <c r="M32" s="84"/>
      <c r="N32" s="85"/>
      <c r="O32" s="84"/>
      <c r="P32" s="85"/>
      <c r="Q32" s="86">
        <f>SUM(Q7:Q30)</f>
        <v>23038.059769310843</v>
      </c>
      <c r="R32" s="87"/>
      <c r="S32" s="86">
        <f>SUM(S7:S30)</f>
        <v>1907.6320240113805</v>
      </c>
      <c r="T32" s="86">
        <f>SUM(T7:T30)</f>
        <v>7593.0480360170695</v>
      </c>
    </row>
    <row r="34" spans="1:22" hidden="1" x14ac:dyDescent="0.25">
      <c r="B34" t="s">
        <v>33</v>
      </c>
      <c r="C34">
        <f>MATCH(C2,DaDate,0)</f>
        <v>49</v>
      </c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5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f>$C$2</f>
        <v>37014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4.78</v>
      </c>
      <c r="F41" s="33">
        <f>VLOOKUP(A41,Gas,5,FALSE)</f>
        <v>4.78</v>
      </c>
      <c r="G41" s="34">
        <f>VLOOKUP(A41,Bogey,2,FALSE)</f>
        <v>61.93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5">
      <c r="A42" s="47">
        <f t="shared" ref="A42:A64" si="27">$C$2</f>
        <v>37014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4.78</v>
      </c>
      <c r="F42" s="51">
        <f t="shared" ref="F42:F63" si="29">VLOOKUP(A42,Gas,5,FALSE)</f>
        <v>4.78</v>
      </c>
      <c r="G42" s="52">
        <f t="shared" ref="G42:G64" si="30">VLOOKUP(A42,Bogey,2,FALSE)</f>
        <v>61.93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5">
      <c r="A43" s="47">
        <f t="shared" si="27"/>
        <v>37014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4.78</v>
      </c>
      <c r="F43" s="51">
        <f t="shared" si="29"/>
        <v>4.78</v>
      </c>
      <c r="G43" s="52">
        <f t="shared" si="30"/>
        <v>61.93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5">
      <c r="A44" s="47">
        <f t="shared" si="27"/>
        <v>37014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4.78</v>
      </c>
      <c r="F44" s="51">
        <f t="shared" si="29"/>
        <v>4.78</v>
      </c>
      <c r="G44" s="52">
        <f t="shared" si="30"/>
        <v>61.93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5">
      <c r="A45" s="47">
        <f t="shared" si="27"/>
        <v>37014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4.78</v>
      </c>
      <c r="F45" s="51">
        <f t="shared" si="29"/>
        <v>4.78</v>
      </c>
      <c r="G45" s="52">
        <f t="shared" si="30"/>
        <v>61.93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5">
      <c r="A46" s="47">
        <f t="shared" si="27"/>
        <v>37014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4.78</v>
      </c>
      <c r="F46" s="51">
        <f t="shared" si="29"/>
        <v>4.78</v>
      </c>
      <c r="G46" s="52">
        <f t="shared" si="30"/>
        <v>61.93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5">
      <c r="A47" s="47">
        <f t="shared" si="27"/>
        <v>37014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4.78</v>
      </c>
      <c r="F47" s="51">
        <f t="shared" si="29"/>
        <v>4.78</v>
      </c>
      <c r="G47" s="52">
        <f t="shared" si="30"/>
        <v>61.93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5">
      <c r="A48" s="47">
        <f t="shared" si="27"/>
        <v>37014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4.78</v>
      </c>
      <c r="F48" s="51">
        <f t="shared" si="29"/>
        <v>4.78</v>
      </c>
      <c r="G48" s="52">
        <f t="shared" si="30"/>
        <v>61.93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5">
      <c r="A49" s="47">
        <f t="shared" si="27"/>
        <v>37014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4.78</v>
      </c>
      <c r="F49" s="51">
        <f t="shared" si="29"/>
        <v>4.78</v>
      </c>
      <c r="G49" s="52">
        <f t="shared" si="30"/>
        <v>61.93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5">
      <c r="A50" s="47">
        <f t="shared" si="27"/>
        <v>37014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4.78</v>
      </c>
      <c r="F50" s="51">
        <f t="shared" si="29"/>
        <v>4.78</v>
      </c>
      <c r="G50" s="52">
        <f t="shared" si="30"/>
        <v>61.93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5">
      <c r="A51" s="47">
        <f t="shared" si="27"/>
        <v>37014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4.78</v>
      </c>
      <c r="F51" s="51">
        <f t="shared" si="29"/>
        <v>4.78</v>
      </c>
      <c r="G51" s="52">
        <f t="shared" si="30"/>
        <v>61.93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5">
      <c r="A52" s="47">
        <f t="shared" si="27"/>
        <v>37014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4.78</v>
      </c>
      <c r="F52" s="51">
        <f t="shared" si="29"/>
        <v>4.78</v>
      </c>
      <c r="G52" s="52">
        <f t="shared" si="30"/>
        <v>61.93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5">
      <c r="A53" s="47">
        <f t="shared" si="27"/>
        <v>37014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4.78</v>
      </c>
      <c r="F53" s="51">
        <f t="shared" si="29"/>
        <v>4.78</v>
      </c>
      <c r="G53" s="52">
        <f t="shared" si="30"/>
        <v>61.93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5">
      <c r="A54" s="47">
        <f t="shared" si="27"/>
        <v>37014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4.78</v>
      </c>
      <c r="F54" s="51">
        <f t="shared" si="29"/>
        <v>4.78</v>
      </c>
      <c r="G54" s="52">
        <f t="shared" si="30"/>
        <v>61.93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5">
      <c r="A55" s="47">
        <f t="shared" si="27"/>
        <v>37014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4.78</v>
      </c>
      <c r="F55" s="51">
        <f t="shared" si="29"/>
        <v>4.78</v>
      </c>
      <c r="G55" s="52">
        <f t="shared" si="30"/>
        <v>61.93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5">
      <c r="A56" s="47">
        <f t="shared" si="27"/>
        <v>37014</v>
      </c>
      <c r="B56" s="48">
        <v>16</v>
      </c>
      <c r="C56" s="49">
        <f>INDEX(RtMw,C68+15,0)</f>
        <v>7</v>
      </c>
      <c r="D56" s="50">
        <f>INDEX(RTPrice,C68+15,0)</f>
        <v>50</v>
      </c>
      <c r="E56" s="51">
        <f t="shared" si="28"/>
        <v>4.78</v>
      </c>
      <c r="F56" s="51">
        <f t="shared" si="29"/>
        <v>4.78</v>
      </c>
      <c r="G56" s="52">
        <f t="shared" si="30"/>
        <v>61.93</v>
      </c>
      <c r="H56" s="53">
        <f t="shared" si="20"/>
        <v>11.93</v>
      </c>
      <c r="I56" s="54">
        <f t="shared" si="21"/>
        <v>83.509999999999991</v>
      </c>
      <c r="J56" s="62">
        <f t="shared" si="37"/>
        <v>4.7720000000000002</v>
      </c>
      <c r="K56" s="63">
        <f t="shared" si="36"/>
        <v>7.1579999999999995</v>
      </c>
      <c r="L56" s="64">
        <f t="shared" si="38"/>
        <v>33.404000000000003</v>
      </c>
      <c r="M56" s="56">
        <f t="shared" si="31"/>
        <v>50.105999999999995</v>
      </c>
      <c r="N56" s="57">
        <f t="shared" si="32"/>
        <v>50</v>
      </c>
      <c r="O56" s="58"/>
      <c r="P56" s="43">
        <f t="shared" si="33"/>
        <v>350</v>
      </c>
      <c r="Q56" s="59">
        <f t="shared" si="26"/>
        <v>0</v>
      </c>
      <c r="R56" s="43"/>
      <c r="S56" s="60">
        <f t="shared" si="34"/>
        <v>33.404000000000003</v>
      </c>
      <c r="T56" s="61">
        <f t="shared" si="35"/>
        <v>50.105999999999995</v>
      </c>
      <c r="U56" s="46"/>
    </row>
    <row r="57" spans="1:21" x14ac:dyDescent="0.25">
      <c r="A57" s="47">
        <f t="shared" si="27"/>
        <v>37014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4.78</v>
      </c>
      <c r="F57" s="51">
        <f t="shared" si="29"/>
        <v>4.78</v>
      </c>
      <c r="G57" s="52">
        <f t="shared" si="30"/>
        <v>61.93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5">
      <c r="A58" s="47">
        <f t="shared" si="27"/>
        <v>37014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4.78</v>
      </c>
      <c r="F58" s="51">
        <f t="shared" si="29"/>
        <v>4.78</v>
      </c>
      <c r="G58" s="52">
        <f t="shared" si="30"/>
        <v>61.93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5">
      <c r="A59" s="47">
        <f t="shared" si="27"/>
        <v>37014</v>
      </c>
      <c r="B59" s="48">
        <v>19</v>
      </c>
      <c r="C59" s="49">
        <f>INDEX(RtMw,C68+18,0)</f>
        <v>10</v>
      </c>
      <c r="D59" s="50">
        <f>INDEX(RTPrice,C68+18,0)</f>
        <v>75</v>
      </c>
      <c r="E59" s="51">
        <f t="shared" si="28"/>
        <v>4.78</v>
      </c>
      <c r="F59" s="51">
        <f t="shared" si="29"/>
        <v>4.78</v>
      </c>
      <c r="G59" s="52">
        <f t="shared" si="30"/>
        <v>61.93</v>
      </c>
      <c r="H59" s="53">
        <f t="shared" si="20"/>
        <v>-13.07</v>
      </c>
      <c r="I59" s="54">
        <f t="shared" si="21"/>
        <v>-130.69999999999999</v>
      </c>
      <c r="J59" s="62">
        <f t="shared" si="37"/>
        <v>-5.2280000000000006</v>
      </c>
      <c r="K59" s="63">
        <f t="shared" si="36"/>
        <v>-7.8419999999999996</v>
      </c>
      <c r="L59" s="64">
        <f t="shared" si="38"/>
        <v>-52.280000000000008</v>
      </c>
      <c r="M59" s="56">
        <f t="shared" si="31"/>
        <v>-78.42</v>
      </c>
      <c r="N59" s="57">
        <f t="shared" si="32"/>
        <v>75</v>
      </c>
      <c r="O59" s="58"/>
      <c r="P59" s="43">
        <f t="shared" si="33"/>
        <v>750</v>
      </c>
      <c r="Q59" s="59">
        <f t="shared" si="26"/>
        <v>0</v>
      </c>
      <c r="R59" s="43"/>
      <c r="S59" s="60">
        <f t="shared" si="34"/>
        <v>-52.280000000000008</v>
      </c>
      <c r="T59" s="61">
        <f t="shared" si="35"/>
        <v>-78.42</v>
      </c>
      <c r="U59" s="46"/>
    </row>
    <row r="60" spans="1:21" x14ac:dyDescent="0.25">
      <c r="A60" s="47">
        <f t="shared" si="27"/>
        <v>37014</v>
      </c>
      <c r="B60" s="48">
        <v>20</v>
      </c>
      <c r="C60" s="49">
        <f>INDEX(RtMw,C68+19,0)</f>
        <v>10</v>
      </c>
      <c r="D60" s="50">
        <f>INDEX(RTPrice,C68+19,0)</f>
        <v>75</v>
      </c>
      <c r="E60" s="51">
        <f t="shared" si="28"/>
        <v>4.78</v>
      </c>
      <c r="F60" s="51">
        <f t="shared" si="29"/>
        <v>4.78</v>
      </c>
      <c r="G60" s="52">
        <f t="shared" si="30"/>
        <v>61.93</v>
      </c>
      <c r="H60" s="53">
        <f t="shared" si="20"/>
        <v>-13.07</v>
      </c>
      <c r="I60" s="54">
        <f t="shared" si="21"/>
        <v>-130.69999999999999</v>
      </c>
      <c r="J60" s="62">
        <f t="shared" si="37"/>
        <v>-5.2280000000000006</v>
      </c>
      <c r="K60" s="63">
        <f t="shared" si="36"/>
        <v>-7.8419999999999996</v>
      </c>
      <c r="L60" s="64">
        <f t="shared" si="38"/>
        <v>-52.280000000000008</v>
      </c>
      <c r="M60" s="56">
        <f t="shared" si="31"/>
        <v>-78.42</v>
      </c>
      <c r="N60" s="57">
        <f t="shared" si="32"/>
        <v>75</v>
      </c>
      <c r="O60" s="58"/>
      <c r="P60" s="43">
        <f t="shared" si="33"/>
        <v>750</v>
      </c>
      <c r="Q60" s="59">
        <f t="shared" si="26"/>
        <v>0</v>
      </c>
      <c r="R60" s="43"/>
      <c r="S60" s="60">
        <f t="shared" si="34"/>
        <v>-52.280000000000008</v>
      </c>
      <c r="T60" s="61">
        <f t="shared" si="35"/>
        <v>-78.42</v>
      </c>
      <c r="U60" s="46"/>
    </row>
    <row r="61" spans="1:21" x14ac:dyDescent="0.25">
      <c r="A61" s="47">
        <f t="shared" si="27"/>
        <v>37014</v>
      </c>
      <c r="B61" s="48">
        <v>21</v>
      </c>
      <c r="C61" s="49">
        <f>INDEX(RtMw,C68+20,0)</f>
        <v>8</v>
      </c>
      <c r="D61" s="50">
        <f>INDEX(RTPrice,C68+20,0)</f>
        <v>69</v>
      </c>
      <c r="E61" s="51">
        <f t="shared" si="28"/>
        <v>4.78</v>
      </c>
      <c r="F61" s="51">
        <f t="shared" si="29"/>
        <v>4.78</v>
      </c>
      <c r="G61" s="52">
        <f t="shared" si="30"/>
        <v>61.93</v>
      </c>
      <c r="H61" s="53">
        <f t="shared" si="20"/>
        <v>-7.07</v>
      </c>
      <c r="I61" s="54">
        <f t="shared" si="21"/>
        <v>-56.56</v>
      </c>
      <c r="J61" s="62">
        <f t="shared" si="37"/>
        <v>-2.8280000000000003</v>
      </c>
      <c r="K61" s="63">
        <f t="shared" si="36"/>
        <v>-4.242</v>
      </c>
      <c r="L61" s="64">
        <f t="shared" si="38"/>
        <v>-22.624000000000002</v>
      </c>
      <c r="M61" s="56">
        <f t="shared" si="31"/>
        <v>-33.936</v>
      </c>
      <c r="N61" s="57">
        <f t="shared" si="32"/>
        <v>69</v>
      </c>
      <c r="O61" s="58"/>
      <c r="P61" s="43">
        <f t="shared" si="33"/>
        <v>552</v>
      </c>
      <c r="Q61" s="59">
        <f t="shared" si="26"/>
        <v>0</v>
      </c>
      <c r="R61" s="43"/>
      <c r="S61" s="60">
        <f t="shared" si="34"/>
        <v>-22.624000000000002</v>
      </c>
      <c r="T61" s="61">
        <f t="shared" si="35"/>
        <v>-33.936</v>
      </c>
      <c r="U61" s="46"/>
    </row>
    <row r="62" spans="1:21" x14ac:dyDescent="0.25">
      <c r="A62" s="47">
        <f t="shared" si="27"/>
        <v>37014</v>
      </c>
      <c r="B62" s="48">
        <v>22</v>
      </c>
      <c r="C62" s="49">
        <f>INDEX(RtMw,C68+21,0)</f>
        <v>7</v>
      </c>
      <c r="D62" s="50">
        <f>INDEX(RTPrice,C68+21,0)</f>
        <v>55</v>
      </c>
      <c r="E62" s="51">
        <f t="shared" si="28"/>
        <v>4.78</v>
      </c>
      <c r="F62" s="51">
        <f t="shared" si="29"/>
        <v>4.78</v>
      </c>
      <c r="G62" s="52">
        <f t="shared" si="30"/>
        <v>61.93</v>
      </c>
      <c r="H62" s="53">
        <f t="shared" si="20"/>
        <v>6.93</v>
      </c>
      <c r="I62" s="54">
        <f t="shared" si="21"/>
        <v>48.51</v>
      </c>
      <c r="J62" s="62">
        <f t="shared" si="37"/>
        <v>2.7720000000000002</v>
      </c>
      <c r="K62" s="63">
        <f t="shared" si="36"/>
        <v>4.1579999999999995</v>
      </c>
      <c r="L62" s="64">
        <f t="shared" si="38"/>
        <v>19.404000000000003</v>
      </c>
      <c r="M62" s="56">
        <f t="shared" si="31"/>
        <v>29.105999999999995</v>
      </c>
      <c r="N62" s="57">
        <f t="shared" si="32"/>
        <v>55</v>
      </c>
      <c r="O62" s="58"/>
      <c r="P62" s="43">
        <f t="shared" si="33"/>
        <v>385</v>
      </c>
      <c r="Q62" s="59">
        <f t="shared" si="26"/>
        <v>0</v>
      </c>
      <c r="R62" s="43"/>
      <c r="S62" s="60">
        <f t="shared" si="34"/>
        <v>19.404000000000003</v>
      </c>
      <c r="T62" s="61">
        <f t="shared" si="35"/>
        <v>29.105999999999995</v>
      </c>
      <c r="U62" s="46"/>
    </row>
    <row r="63" spans="1:21" x14ac:dyDescent="0.25">
      <c r="A63" s="47">
        <f t="shared" si="27"/>
        <v>37014</v>
      </c>
      <c r="B63" s="48">
        <v>23</v>
      </c>
      <c r="C63" s="49">
        <f>INDEX(RtMw,C68+22,0)</f>
        <v>20</v>
      </c>
      <c r="D63" s="50">
        <f>INDEX(RTPrice,C68+22,0)</f>
        <v>45</v>
      </c>
      <c r="E63" s="51">
        <f t="shared" si="28"/>
        <v>4.78</v>
      </c>
      <c r="F63" s="51">
        <f t="shared" si="29"/>
        <v>4.78</v>
      </c>
      <c r="G63" s="52">
        <f t="shared" si="30"/>
        <v>61.93</v>
      </c>
      <c r="H63" s="53">
        <f t="shared" si="20"/>
        <v>16.93</v>
      </c>
      <c r="I63" s="54">
        <f t="shared" si="21"/>
        <v>338.6</v>
      </c>
      <c r="J63" s="55">
        <f>IF(C63=0,"",1)</f>
        <v>1</v>
      </c>
      <c r="K63" s="43">
        <f>IF(C63=0,"",G63-(D63+1))</f>
        <v>15.93</v>
      </c>
      <c r="L63" s="43">
        <f>IF(C63=0,"",C63*J63)</f>
        <v>20</v>
      </c>
      <c r="M63" s="56">
        <f t="shared" si="31"/>
        <v>318.60000000000002</v>
      </c>
      <c r="N63" s="57">
        <f t="shared" si="32"/>
        <v>45</v>
      </c>
      <c r="O63" s="58">
        <f>IF(C63=0,"",D63+1)</f>
        <v>46</v>
      </c>
      <c r="P63" s="43">
        <f t="shared" si="33"/>
        <v>900</v>
      </c>
      <c r="Q63" s="59">
        <f t="shared" si="26"/>
        <v>920</v>
      </c>
      <c r="R63" s="43"/>
      <c r="S63" s="60">
        <f t="shared" si="34"/>
        <v>20</v>
      </c>
      <c r="T63" s="61">
        <f t="shared" si="35"/>
        <v>318.60000000000002</v>
      </c>
      <c r="U63" s="46"/>
    </row>
    <row r="64" spans="1:21" x14ac:dyDescent="0.25">
      <c r="A64" s="65">
        <f t="shared" si="27"/>
        <v>37014</v>
      </c>
      <c r="B64" s="66">
        <v>24</v>
      </c>
      <c r="C64" s="67">
        <f>INDEX(RtMw,C68+23,0)</f>
        <v>14</v>
      </c>
      <c r="D64" s="68">
        <f>INDEX(RTPrice,C68+23,0)</f>
        <v>40</v>
      </c>
      <c r="E64" s="69">
        <f t="shared" si="28"/>
        <v>4.78</v>
      </c>
      <c r="F64" s="69">
        <f>VLOOKUP(A64,Gas,5,FALSE)</f>
        <v>4.78</v>
      </c>
      <c r="G64" s="70">
        <f t="shared" si="30"/>
        <v>61.93</v>
      </c>
      <c r="H64" s="71">
        <f t="shared" si="20"/>
        <v>21.93</v>
      </c>
      <c r="I64" s="72">
        <f t="shared" si="21"/>
        <v>307.02</v>
      </c>
      <c r="J64" s="73">
        <f>IF(C64=0,"",1)</f>
        <v>1</v>
      </c>
      <c r="K64" s="74">
        <f>IF(C64=0,"",G64-(D64+1))</f>
        <v>20.93</v>
      </c>
      <c r="L64" s="74">
        <f>IF(C64=0,"",C64*J64)</f>
        <v>14</v>
      </c>
      <c r="M64" s="75">
        <f t="shared" si="31"/>
        <v>293.02</v>
      </c>
      <c r="N64" s="76">
        <f t="shared" si="32"/>
        <v>40</v>
      </c>
      <c r="O64" s="77">
        <f>IF(C64=0,"",D64+1)</f>
        <v>41</v>
      </c>
      <c r="P64" s="74">
        <f t="shared" si="33"/>
        <v>560</v>
      </c>
      <c r="Q64" s="78">
        <f t="shared" si="26"/>
        <v>574</v>
      </c>
      <c r="R64" s="43"/>
      <c r="S64" s="79">
        <f t="shared" si="34"/>
        <v>14</v>
      </c>
      <c r="T64" s="80">
        <f t="shared" si="35"/>
        <v>293.02</v>
      </c>
      <c r="U64" s="46"/>
    </row>
    <row r="66" spans="2:17" x14ac:dyDescent="0.25">
      <c r="Q66" s="82">
        <f>SUM(Q41:Q65)</f>
        <v>1494</v>
      </c>
    </row>
    <row r="68" spans="2:17" hidden="1" x14ac:dyDescent="0.25">
      <c r="B68" t="s">
        <v>33</v>
      </c>
      <c r="C68">
        <f>MATCH(C2,RTDate,0)</f>
        <v>49</v>
      </c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11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B9" sqref="B9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1.88671875" customWidth="1"/>
    <col min="4" max="4" width="24" style="1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1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88">
        <v>37015</v>
      </c>
      <c r="D2" s="4"/>
    </row>
    <row r="3" spans="1:22" s="5" customFormat="1" x14ac:dyDescent="0.25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f>$C$2</f>
        <v>37015</v>
      </c>
      <c r="B7" s="30">
        <v>1</v>
      </c>
      <c r="C7" s="31">
        <f>INDEX(DaMw,C34,0)</f>
        <v>15</v>
      </c>
      <c r="D7" s="90">
        <f>INDEX(DaPrice,C34,0)</f>
        <v>20</v>
      </c>
      <c r="E7" s="33">
        <f>VLOOKUP(A7,Gas,4,FALSE)</f>
        <v>4.78</v>
      </c>
      <c r="F7" s="33">
        <f>VLOOKUP(A7,Gas,5,FALSE)</f>
        <v>4.78</v>
      </c>
      <c r="G7" s="34">
        <f>VLOOKUP(A7,Bogey,2,FALSE)</f>
        <v>59.14</v>
      </c>
      <c r="H7" s="35">
        <f t="shared" ref="H7:H30" si="0">IF(C7&gt;0,G7-D7,"")</f>
        <v>39.14</v>
      </c>
      <c r="I7" s="36">
        <f t="shared" ref="I7:I30" si="1">IF(C7&gt;0,H7*ABS(C7),"")</f>
        <v>587.1</v>
      </c>
      <c r="J7" s="37">
        <f t="shared" ref="J7:J12" si="2">IF(C7=0,"",1)</f>
        <v>1</v>
      </c>
      <c r="K7" s="38">
        <f t="shared" ref="K7:K12" si="3">IF(C7=0,"",G7-(D7+1))</f>
        <v>38.14</v>
      </c>
      <c r="L7" s="38">
        <f t="shared" ref="L7:L12" si="4">IF(C7=0,"",C7*J7)</f>
        <v>15</v>
      </c>
      <c r="M7" s="39">
        <f>IF(C7=0,"",C7*K7)</f>
        <v>572.1</v>
      </c>
      <c r="N7" s="40">
        <f>IF(C7=0,"",D7)</f>
        <v>20</v>
      </c>
      <c r="O7" s="41">
        <f t="shared" ref="O7:O12" si="5">IF(C7=0,"",D7+1)</f>
        <v>21</v>
      </c>
      <c r="P7" s="38">
        <f>IF(C7=0,"",N7*C7)</f>
        <v>300</v>
      </c>
      <c r="Q7" s="42">
        <f t="shared" ref="Q7:Q30" si="6">IF(C7=0,"",O7*C7)</f>
        <v>315</v>
      </c>
      <c r="R7" s="43"/>
      <c r="S7" s="44">
        <f>IF(C7=0,"",L7)</f>
        <v>15</v>
      </c>
      <c r="T7" s="45">
        <f>IF(C7=0,"",M7)</f>
        <v>572.1</v>
      </c>
      <c r="U7" s="46"/>
    </row>
    <row r="8" spans="1:22" x14ac:dyDescent="0.25">
      <c r="A8" s="47">
        <f t="shared" ref="A8:A30" si="7">$C$2</f>
        <v>37015</v>
      </c>
      <c r="B8" s="48">
        <v>2</v>
      </c>
      <c r="C8" s="49">
        <f>INDEX(DaMw,C34+1,0)</f>
        <v>15</v>
      </c>
      <c r="D8" s="91">
        <f>INDEX(DaPrice,C34+1,0)</f>
        <v>20</v>
      </c>
      <c r="E8" s="51">
        <f t="shared" ref="E8:E30" si="8">VLOOKUP(A8,Gas,4,FALSE)</f>
        <v>4.78</v>
      </c>
      <c r="F8" s="51">
        <f t="shared" ref="F8:F29" si="9">VLOOKUP(A8,Gas,5,FALSE)</f>
        <v>4.78</v>
      </c>
      <c r="G8" s="52">
        <f t="shared" ref="G8:G30" si="10">VLOOKUP(A8,Bogey,2,FALSE)</f>
        <v>59.14</v>
      </c>
      <c r="H8" s="53">
        <f t="shared" si="0"/>
        <v>39.14</v>
      </c>
      <c r="I8" s="54">
        <f t="shared" si="1"/>
        <v>587.1</v>
      </c>
      <c r="J8" s="55">
        <f t="shared" si="2"/>
        <v>1</v>
      </c>
      <c r="K8" s="43">
        <f t="shared" si="3"/>
        <v>38.14</v>
      </c>
      <c r="L8" s="43">
        <f t="shared" si="4"/>
        <v>15</v>
      </c>
      <c r="M8" s="56">
        <f t="shared" ref="M8:M30" si="11">IF(C8=0,"",C8*K8)</f>
        <v>572.1</v>
      </c>
      <c r="N8" s="57">
        <f t="shared" ref="N8:N30" si="12">IF(C8=0,"",D8)</f>
        <v>20</v>
      </c>
      <c r="O8" s="58">
        <f t="shared" si="5"/>
        <v>21</v>
      </c>
      <c r="P8" s="43">
        <f t="shared" ref="P8:P30" si="13">IF(C8=0,"",N8*C8)</f>
        <v>300</v>
      </c>
      <c r="Q8" s="59">
        <f t="shared" si="6"/>
        <v>315</v>
      </c>
      <c r="R8" s="43"/>
      <c r="S8" s="60">
        <f t="shared" ref="S8:S30" si="14">IF(C8=0,"",L8)</f>
        <v>15</v>
      </c>
      <c r="T8" s="61">
        <f t="shared" ref="T8:T30" si="15">IF(C8=0,"",M8)</f>
        <v>572.1</v>
      </c>
      <c r="U8" s="46"/>
    </row>
    <row r="9" spans="1:22" x14ac:dyDescent="0.25">
      <c r="A9" s="47">
        <f t="shared" si="7"/>
        <v>37015</v>
      </c>
      <c r="B9" s="48">
        <v>3</v>
      </c>
      <c r="C9" s="49">
        <f>INDEX(DaMw,C34+2,0)</f>
        <v>15</v>
      </c>
      <c r="D9" s="91">
        <f>INDEX(DaPrice,C34+2,0)</f>
        <v>20</v>
      </c>
      <c r="E9" s="51">
        <f t="shared" si="8"/>
        <v>4.78</v>
      </c>
      <c r="F9" s="51">
        <f t="shared" si="9"/>
        <v>4.78</v>
      </c>
      <c r="G9" s="52">
        <f t="shared" si="10"/>
        <v>59.14</v>
      </c>
      <c r="H9" s="53">
        <f t="shared" si="0"/>
        <v>39.14</v>
      </c>
      <c r="I9" s="54">
        <f t="shared" si="1"/>
        <v>587.1</v>
      </c>
      <c r="J9" s="55">
        <f t="shared" si="2"/>
        <v>1</v>
      </c>
      <c r="K9" s="43">
        <f t="shared" si="3"/>
        <v>38.14</v>
      </c>
      <c r="L9" s="43">
        <f t="shared" si="4"/>
        <v>15</v>
      </c>
      <c r="M9" s="56">
        <f t="shared" si="11"/>
        <v>572.1</v>
      </c>
      <c r="N9" s="57">
        <f t="shared" si="12"/>
        <v>20</v>
      </c>
      <c r="O9" s="58">
        <f t="shared" si="5"/>
        <v>21</v>
      </c>
      <c r="P9" s="43">
        <f t="shared" si="13"/>
        <v>300</v>
      </c>
      <c r="Q9" s="59">
        <f t="shared" si="6"/>
        <v>315</v>
      </c>
      <c r="R9" s="43"/>
      <c r="S9" s="60">
        <f t="shared" si="14"/>
        <v>15</v>
      </c>
      <c r="T9" s="61">
        <f t="shared" si="15"/>
        <v>572.1</v>
      </c>
      <c r="U9" s="46"/>
    </row>
    <row r="10" spans="1:22" x14ac:dyDescent="0.25">
      <c r="A10" s="47">
        <f t="shared" si="7"/>
        <v>37015</v>
      </c>
      <c r="B10" s="48">
        <v>4</v>
      </c>
      <c r="C10" s="49">
        <f>INDEX(DaMw,C34+3,0)</f>
        <v>15</v>
      </c>
      <c r="D10" s="91">
        <f>INDEX(DaPrice,C34+3,0)</f>
        <v>20</v>
      </c>
      <c r="E10" s="51">
        <f t="shared" si="8"/>
        <v>4.78</v>
      </c>
      <c r="F10" s="51">
        <f t="shared" si="9"/>
        <v>4.78</v>
      </c>
      <c r="G10" s="52">
        <f t="shared" si="10"/>
        <v>59.14</v>
      </c>
      <c r="H10" s="53">
        <f t="shared" si="0"/>
        <v>39.14</v>
      </c>
      <c r="I10" s="54">
        <f t="shared" si="1"/>
        <v>587.1</v>
      </c>
      <c r="J10" s="55">
        <f t="shared" si="2"/>
        <v>1</v>
      </c>
      <c r="K10" s="43">
        <f t="shared" si="3"/>
        <v>38.14</v>
      </c>
      <c r="L10" s="43">
        <f t="shared" si="4"/>
        <v>15</v>
      </c>
      <c r="M10" s="56">
        <f t="shared" si="11"/>
        <v>572.1</v>
      </c>
      <c r="N10" s="57">
        <f t="shared" si="12"/>
        <v>20</v>
      </c>
      <c r="O10" s="58">
        <f t="shared" si="5"/>
        <v>21</v>
      </c>
      <c r="P10" s="43">
        <f t="shared" si="13"/>
        <v>300</v>
      </c>
      <c r="Q10" s="59">
        <f t="shared" si="6"/>
        <v>315</v>
      </c>
      <c r="R10" s="43"/>
      <c r="S10" s="60">
        <f t="shared" si="14"/>
        <v>15</v>
      </c>
      <c r="T10" s="61">
        <f t="shared" si="15"/>
        <v>572.1</v>
      </c>
      <c r="U10" s="46"/>
    </row>
    <row r="11" spans="1:22" x14ac:dyDescent="0.25">
      <c r="A11" s="47">
        <f t="shared" si="7"/>
        <v>37015</v>
      </c>
      <c r="B11" s="48">
        <v>5</v>
      </c>
      <c r="C11" s="49">
        <f>INDEX(DaMw,C34+4,0)</f>
        <v>15</v>
      </c>
      <c r="D11" s="91">
        <f>INDEX(DaPrice,C34+4,0)</f>
        <v>20</v>
      </c>
      <c r="E11" s="51">
        <f t="shared" si="8"/>
        <v>4.78</v>
      </c>
      <c r="F11" s="51">
        <f t="shared" si="9"/>
        <v>4.78</v>
      </c>
      <c r="G11" s="52">
        <f t="shared" si="10"/>
        <v>59.14</v>
      </c>
      <c r="H11" s="53">
        <f t="shared" si="0"/>
        <v>39.14</v>
      </c>
      <c r="I11" s="54">
        <f t="shared" si="1"/>
        <v>587.1</v>
      </c>
      <c r="J11" s="55">
        <f t="shared" si="2"/>
        <v>1</v>
      </c>
      <c r="K11" s="43">
        <f t="shared" si="3"/>
        <v>38.14</v>
      </c>
      <c r="L11" s="43">
        <f t="shared" si="4"/>
        <v>15</v>
      </c>
      <c r="M11" s="56">
        <f t="shared" si="11"/>
        <v>572.1</v>
      </c>
      <c r="N11" s="57">
        <f t="shared" si="12"/>
        <v>20</v>
      </c>
      <c r="O11" s="58">
        <f t="shared" si="5"/>
        <v>21</v>
      </c>
      <c r="P11" s="43">
        <f t="shared" si="13"/>
        <v>300</v>
      </c>
      <c r="Q11" s="59">
        <f t="shared" si="6"/>
        <v>315</v>
      </c>
      <c r="R11" s="43"/>
      <c r="S11" s="60">
        <f t="shared" si="14"/>
        <v>15</v>
      </c>
      <c r="T11" s="61">
        <f t="shared" si="15"/>
        <v>572.1</v>
      </c>
      <c r="U11" s="46"/>
    </row>
    <row r="12" spans="1:22" x14ac:dyDescent="0.25">
      <c r="A12" s="47">
        <f t="shared" si="7"/>
        <v>37015</v>
      </c>
      <c r="B12" s="48">
        <v>6</v>
      </c>
      <c r="C12" s="49">
        <f>INDEX(DaMw,C34+5,0)</f>
        <v>15</v>
      </c>
      <c r="D12" s="91">
        <f>INDEX(DaPrice,C34+5,0)</f>
        <v>20</v>
      </c>
      <c r="E12" s="51">
        <f t="shared" si="8"/>
        <v>4.78</v>
      </c>
      <c r="F12" s="51">
        <f t="shared" si="9"/>
        <v>4.78</v>
      </c>
      <c r="G12" s="52">
        <f t="shared" si="10"/>
        <v>59.14</v>
      </c>
      <c r="H12" s="53">
        <f t="shared" si="0"/>
        <v>39.14</v>
      </c>
      <c r="I12" s="54">
        <f t="shared" si="1"/>
        <v>587.1</v>
      </c>
      <c r="J12" s="55">
        <f t="shared" si="2"/>
        <v>1</v>
      </c>
      <c r="K12" s="43">
        <f t="shared" si="3"/>
        <v>38.14</v>
      </c>
      <c r="L12" s="43">
        <f t="shared" si="4"/>
        <v>15</v>
      </c>
      <c r="M12" s="56">
        <f t="shared" si="11"/>
        <v>572.1</v>
      </c>
      <c r="N12" s="57">
        <f t="shared" si="12"/>
        <v>20</v>
      </c>
      <c r="O12" s="58">
        <f t="shared" si="5"/>
        <v>21</v>
      </c>
      <c r="P12" s="43">
        <f t="shared" si="13"/>
        <v>300</v>
      </c>
      <c r="Q12" s="59">
        <f t="shared" si="6"/>
        <v>315</v>
      </c>
      <c r="R12" s="43"/>
      <c r="S12" s="60">
        <f t="shared" si="14"/>
        <v>15</v>
      </c>
      <c r="T12" s="61">
        <f t="shared" si="15"/>
        <v>572.1</v>
      </c>
      <c r="U12" s="46"/>
    </row>
    <row r="13" spans="1:22" x14ac:dyDescent="0.25">
      <c r="A13" s="47">
        <f t="shared" si="7"/>
        <v>37015</v>
      </c>
      <c r="B13" s="48">
        <v>7</v>
      </c>
      <c r="C13" s="49">
        <f>INDEX(DaMw,C34+6,0)</f>
        <v>20</v>
      </c>
      <c r="D13" s="91">
        <f>INDEX(DaPrice,C34+6,0)</f>
        <v>50</v>
      </c>
      <c r="E13" s="51">
        <f t="shared" si="8"/>
        <v>4.78</v>
      </c>
      <c r="F13" s="51">
        <f t="shared" si="9"/>
        <v>4.78</v>
      </c>
      <c r="G13" s="52">
        <f t="shared" si="10"/>
        <v>59.14</v>
      </c>
      <c r="H13" s="53">
        <f t="shared" si="0"/>
        <v>9.14</v>
      </c>
      <c r="I13" s="54">
        <f t="shared" si="1"/>
        <v>182.8</v>
      </c>
      <c r="J13" s="62">
        <f>IF($C13=0,"",$H13*0.4)</f>
        <v>3.6560000000000006</v>
      </c>
      <c r="K13" s="63">
        <f t="shared" ref="K13:K28" si="16">IF($C13=0,"",$H13*0.6)</f>
        <v>5.484</v>
      </c>
      <c r="L13" s="64">
        <f>IF(C13=0,"",J13*$C13)</f>
        <v>73.12</v>
      </c>
      <c r="M13" s="56">
        <f t="shared" si="11"/>
        <v>109.68</v>
      </c>
      <c r="N13" s="57">
        <f t="shared" si="12"/>
        <v>50</v>
      </c>
      <c r="O13" s="58">
        <f>IF(C13=0,"",D13+J13)</f>
        <v>53.655999999999999</v>
      </c>
      <c r="P13" s="43">
        <f t="shared" si="13"/>
        <v>1000</v>
      </c>
      <c r="Q13" s="59">
        <f t="shared" si="6"/>
        <v>1073.1199999999999</v>
      </c>
      <c r="R13" s="43"/>
      <c r="S13" s="60">
        <f t="shared" si="14"/>
        <v>73.12</v>
      </c>
      <c r="T13" s="61">
        <f t="shared" si="15"/>
        <v>109.68</v>
      </c>
      <c r="U13" s="46"/>
    </row>
    <row r="14" spans="1:22" x14ac:dyDescent="0.25">
      <c r="A14" s="47">
        <f t="shared" si="7"/>
        <v>37015</v>
      </c>
      <c r="B14" s="48">
        <v>8</v>
      </c>
      <c r="C14" s="49">
        <f>INDEX(DaMw,C34+7,0)</f>
        <v>20</v>
      </c>
      <c r="D14" s="91">
        <f>INDEX(DaPrice,C34+7,0)</f>
        <v>50</v>
      </c>
      <c r="E14" s="51">
        <f t="shared" si="8"/>
        <v>4.78</v>
      </c>
      <c r="F14" s="51">
        <f t="shared" si="9"/>
        <v>4.78</v>
      </c>
      <c r="G14" s="52">
        <f t="shared" si="10"/>
        <v>59.14</v>
      </c>
      <c r="H14" s="53">
        <f t="shared" si="0"/>
        <v>9.14</v>
      </c>
      <c r="I14" s="54">
        <f t="shared" si="1"/>
        <v>182.8</v>
      </c>
      <c r="J14" s="62">
        <f t="shared" ref="J14:J28" si="17">IF($C14=0,"",$H14*0.4)</f>
        <v>3.6560000000000006</v>
      </c>
      <c r="K14" s="63">
        <f t="shared" si="16"/>
        <v>5.484</v>
      </c>
      <c r="L14" s="64">
        <f t="shared" ref="L14:L28" si="18">IF(C14=0,"",J14*$C14)</f>
        <v>73.12</v>
      </c>
      <c r="M14" s="56">
        <f t="shared" si="11"/>
        <v>109.68</v>
      </c>
      <c r="N14" s="57">
        <f t="shared" si="12"/>
        <v>50</v>
      </c>
      <c r="O14" s="58">
        <f t="shared" ref="O14:O28" si="19">IF(C14=0,"",D14+J14)</f>
        <v>53.655999999999999</v>
      </c>
      <c r="P14" s="43">
        <f t="shared" si="13"/>
        <v>1000</v>
      </c>
      <c r="Q14" s="59">
        <f t="shared" si="6"/>
        <v>1073.1199999999999</v>
      </c>
      <c r="R14" s="43"/>
      <c r="S14" s="60">
        <f t="shared" si="14"/>
        <v>73.12</v>
      </c>
      <c r="T14" s="61">
        <f t="shared" si="15"/>
        <v>109.68</v>
      </c>
      <c r="U14" s="46"/>
    </row>
    <row r="15" spans="1:22" x14ac:dyDescent="0.25">
      <c r="A15" s="47">
        <f t="shared" si="7"/>
        <v>37015</v>
      </c>
      <c r="B15" s="48">
        <v>9</v>
      </c>
      <c r="C15" s="49">
        <f>INDEX(DaMw,C34+8,0)</f>
        <v>21.126818092924395</v>
      </c>
      <c r="D15" s="91">
        <f>INDEX(DaPrice,C34+8,0)</f>
        <v>50</v>
      </c>
      <c r="E15" s="51">
        <f t="shared" si="8"/>
        <v>4.78</v>
      </c>
      <c r="F15" s="51">
        <f t="shared" si="9"/>
        <v>4.78</v>
      </c>
      <c r="G15" s="52">
        <f t="shared" si="10"/>
        <v>59.14</v>
      </c>
      <c r="H15" s="53">
        <f t="shared" si="0"/>
        <v>9.14</v>
      </c>
      <c r="I15" s="54">
        <f t="shared" si="1"/>
        <v>193.09911736932898</v>
      </c>
      <c r="J15" s="62">
        <f t="shared" si="17"/>
        <v>3.6560000000000006</v>
      </c>
      <c r="K15" s="63">
        <f t="shared" si="16"/>
        <v>5.484</v>
      </c>
      <c r="L15" s="64">
        <f t="shared" si="18"/>
        <v>77.2396469477316</v>
      </c>
      <c r="M15" s="56">
        <f t="shared" si="11"/>
        <v>115.85947042159738</v>
      </c>
      <c r="N15" s="57">
        <f t="shared" si="12"/>
        <v>50</v>
      </c>
      <c r="O15" s="58">
        <f t="shared" si="19"/>
        <v>53.655999999999999</v>
      </c>
      <c r="P15" s="43">
        <f t="shared" si="13"/>
        <v>1056.3409046462198</v>
      </c>
      <c r="Q15" s="59">
        <f t="shared" si="6"/>
        <v>1133.5805515939514</v>
      </c>
      <c r="R15" s="43"/>
      <c r="S15" s="60">
        <f t="shared" si="14"/>
        <v>77.2396469477316</v>
      </c>
      <c r="T15" s="61">
        <f t="shared" si="15"/>
        <v>115.85947042159738</v>
      </c>
      <c r="U15" s="46"/>
    </row>
    <row r="16" spans="1:22" x14ac:dyDescent="0.25">
      <c r="A16" s="47">
        <f t="shared" si="7"/>
        <v>37015</v>
      </c>
      <c r="B16" s="48">
        <v>10</v>
      </c>
      <c r="C16" s="49">
        <f>INDEX(DaMw,C34+9,0)</f>
        <v>23.715465046674097</v>
      </c>
      <c r="D16" s="91">
        <f>INDEX(DaPrice,C34+9,0)</f>
        <v>50</v>
      </c>
      <c r="E16" s="51">
        <f t="shared" si="8"/>
        <v>4.78</v>
      </c>
      <c r="F16" s="51">
        <f t="shared" si="9"/>
        <v>4.78</v>
      </c>
      <c r="G16" s="52">
        <f t="shared" si="10"/>
        <v>59.14</v>
      </c>
      <c r="H16" s="53">
        <f t="shared" si="0"/>
        <v>9.14</v>
      </c>
      <c r="I16" s="54">
        <f t="shared" si="1"/>
        <v>216.75935052660125</v>
      </c>
      <c r="J16" s="62">
        <f t="shared" si="17"/>
        <v>3.6560000000000006</v>
      </c>
      <c r="K16" s="63">
        <f t="shared" si="16"/>
        <v>5.484</v>
      </c>
      <c r="L16" s="64">
        <f t="shared" si="18"/>
        <v>86.703740210640518</v>
      </c>
      <c r="M16" s="56">
        <f t="shared" si="11"/>
        <v>130.05561031596076</v>
      </c>
      <c r="N16" s="57">
        <f t="shared" si="12"/>
        <v>50</v>
      </c>
      <c r="O16" s="58">
        <f t="shared" si="19"/>
        <v>53.655999999999999</v>
      </c>
      <c r="P16" s="43">
        <f t="shared" si="13"/>
        <v>1185.7732523337049</v>
      </c>
      <c r="Q16" s="59">
        <f t="shared" si="6"/>
        <v>1272.4769925443454</v>
      </c>
      <c r="R16" s="43"/>
      <c r="S16" s="60">
        <f t="shared" si="14"/>
        <v>86.703740210640518</v>
      </c>
      <c r="T16" s="61">
        <f t="shared" si="15"/>
        <v>130.05561031596076</v>
      </c>
      <c r="U16" s="46"/>
    </row>
    <row r="17" spans="1:21" x14ac:dyDescent="0.25">
      <c r="A17" s="47">
        <f t="shared" si="7"/>
        <v>37015</v>
      </c>
      <c r="B17" s="48">
        <v>11</v>
      </c>
      <c r="C17" s="49">
        <f>INDEX(DaMw,C34+10,0)</f>
        <v>23.374438612548701</v>
      </c>
      <c r="D17" s="91">
        <f>INDEX(DaPrice,C34+10,0)</f>
        <v>50</v>
      </c>
      <c r="E17" s="51">
        <f t="shared" si="8"/>
        <v>4.78</v>
      </c>
      <c r="F17" s="51">
        <f t="shared" si="9"/>
        <v>4.78</v>
      </c>
      <c r="G17" s="52">
        <f t="shared" si="10"/>
        <v>59.14</v>
      </c>
      <c r="H17" s="53">
        <f t="shared" si="0"/>
        <v>9.14</v>
      </c>
      <c r="I17" s="54">
        <f t="shared" si="1"/>
        <v>213.64236891869515</v>
      </c>
      <c r="J17" s="62">
        <f t="shared" si="17"/>
        <v>3.6560000000000006</v>
      </c>
      <c r="K17" s="63">
        <f t="shared" si="16"/>
        <v>5.484</v>
      </c>
      <c r="L17" s="64">
        <f t="shared" si="18"/>
        <v>85.456947567478068</v>
      </c>
      <c r="M17" s="56">
        <f t="shared" si="11"/>
        <v>128.18542135121709</v>
      </c>
      <c r="N17" s="57">
        <f t="shared" si="12"/>
        <v>50</v>
      </c>
      <c r="O17" s="58">
        <f t="shared" si="19"/>
        <v>53.655999999999999</v>
      </c>
      <c r="P17" s="43">
        <f t="shared" si="13"/>
        <v>1168.7219306274351</v>
      </c>
      <c r="Q17" s="59">
        <f t="shared" si="6"/>
        <v>1254.1788781949131</v>
      </c>
      <c r="R17" s="43"/>
      <c r="S17" s="60">
        <f t="shared" si="14"/>
        <v>85.456947567478068</v>
      </c>
      <c r="T17" s="61">
        <f t="shared" si="15"/>
        <v>128.18542135121709</v>
      </c>
      <c r="U17" s="46"/>
    </row>
    <row r="18" spans="1:21" x14ac:dyDescent="0.25">
      <c r="A18" s="47">
        <f t="shared" si="7"/>
        <v>37015</v>
      </c>
      <c r="B18" s="48">
        <v>12</v>
      </c>
      <c r="C18" s="49">
        <f>INDEX(DaMw,C34+11,0)</f>
        <v>25.322940262234901</v>
      </c>
      <c r="D18" s="91">
        <f>INDEX(DaPrice,C34+11,0)</f>
        <v>50</v>
      </c>
      <c r="E18" s="51">
        <f t="shared" si="8"/>
        <v>4.78</v>
      </c>
      <c r="F18" s="51">
        <f t="shared" si="9"/>
        <v>4.78</v>
      </c>
      <c r="G18" s="52">
        <f t="shared" si="10"/>
        <v>59.14</v>
      </c>
      <c r="H18" s="53">
        <f t="shared" si="0"/>
        <v>9.14</v>
      </c>
      <c r="I18" s="54">
        <f t="shared" si="1"/>
        <v>231.45167399682703</v>
      </c>
      <c r="J18" s="62">
        <f t="shared" si="17"/>
        <v>3.6560000000000006</v>
      </c>
      <c r="K18" s="63">
        <f t="shared" si="16"/>
        <v>5.484</v>
      </c>
      <c r="L18" s="64">
        <f t="shared" si="18"/>
        <v>92.580669598730807</v>
      </c>
      <c r="M18" s="56">
        <f t="shared" si="11"/>
        <v>138.8710043980962</v>
      </c>
      <c r="N18" s="57">
        <f t="shared" si="12"/>
        <v>50</v>
      </c>
      <c r="O18" s="58">
        <f t="shared" si="19"/>
        <v>53.655999999999999</v>
      </c>
      <c r="P18" s="43">
        <f t="shared" si="13"/>
        <v>1266.1470131117451</v>
      </c>
      <c r="Q18" s="59">
        <f t="shared" si="6"/>
        <v>1358.7276827104758</v>
      </c>
      <c r="R18" s="43"/>
      <c r="S18" s="60">
        <f t="shared" si="14"/>
        <v>92.580669598730807</v>
      </c>
      <c r="T18" s="61">
        <f t="shared" si="15"/>
        <v>138.8710043980962</v>
      </c>
      <c r="U18" s="46"/>
    </row>
    <row r="19" spans="1:21" x14ac:dyDescent="0.25">
      <c r="A19" s="47">
        <f t="shared" si="7"/>
        <v>37015</v>
      </c>
      <c r="B19" s="48">
        <v>13</v>
      </c>
      <c r="C19" s="49">
        <f>INDEX(DaMw,C34+12,0)</f>
        <v>24.493732343134496</v>
      </c>
      <c r="D19" s="91">
        <f>INDEX(DaPrice,C34+12,0)</f>
        <v>50</v>
      </c>
      <c r="E19" s="51">
        <f t="shared" si="8"/>
        <v>4.78</v>
      </c>
      <c r="F19" s="51">
        <f t="shared" si="9"/>
        <v>4.78</v>
      </c>
      <c r="G19" s="52">
        <f t="shared" si="10"/>
        <v>59.14</v>
      </c>
      <c r="H19" s="53">
        <f t="shared" si="0"/>
        <v>9.14</v>
      </c>
      <c r="I19" s="54">
        <f t="shared" si="1"/>
        <v>223.87271361624931</v>
      </c>
      <c r="J19" s="62">
        <f t="shared" si="17"/>
        <v>3.6560000000000006</v>
      </c>
      <c r="K19" s="63">
        <f t="shared" si="16"/>
        <v>5.484</v>
      </c>
      <c r="L19" s="64">
        <f t="shared" si="18"/>
        <v>89.549085446499731</v>
      </c>
      <c r="M19" s="56">
        <f t="shared" si="11"/>
        <v>134.32362816974958</v>
      </c>
      <c r="N19" s="57">
        <f t="shared" si="12"/>
        <v>50</v>
      </c>
      <c r="O19" s="58">
        <f t="shared" si="19"/>
        <v>53.655999999999999</v>
      </c>
      <c r="P19" s="43">
        <f t="shared" si="13"/>
        <v>1224.6866171567249</v>
      </c>
      <c r="Q19" s="59">
        <f t="shared" si="6"/>
        <v>1314.2357026032246</v>
      </c>
      <c r="R19" s="43"/>
      <c r="S19" s="60">
        <f t="shared" si="14"/>
        <v>89.549085446499731</v>
      </c>
      <c r="T19" s="61">
        <f t="shared" si="15"/>
        <v>134.32362816974958</v>
      </c>
      <c r="U19" s="46"/>
    </row>
    <row r="20" spans="1:21" x14ac:dyDescent="0.25">
      <c r="A20" s="47">
        <f t="shared" si="7"/>
        <v>37015</v>
      </c>
      <c r="B20" s="48">
        <v>14</v>
      </c>
      <c r="C20" s="49">
        <f>INDEX(DaMw,C34+13,0)</f>
        <v>24.294912156213599</v>
      </c>
      <c r="D20" s="91">
        <f>INDEX(DaPrice,C34+13,0)</f>
        <v>50</v>
      </c>
      <c r="E20" s="51">
        <f t="shared" si="8"/>
        <v>4.78</v>
      </c>
      <c r="F20" s="51">
        <f t="shared" si="9"/>
        <v>4.78</v>
      </c>
      <c r="G20" s="52">
        <f t="shared" si="10"/>
        <v>59.14</v>
      </c>
      <c r="H20" s="53">
        <f t="shared" si="0"/>
        <v>9.14</v>
      </c>
      <c r="I20" s="54">
        <f t="shared" si="1"/>
        <v>222.05549710779229</v>
      </c>
      <c r="J20" s="62">
        <f t="shared" si="17"/>
        <v>3.6560000000000006</v>
      </c>
      <c r="K20" s="63">
        <f t="shared" si="16"/>
        <v>5.484</v>
      </c>
      <c r="L20" s="64">
        <f t="shared" si="18"/>
        <v>88.822198843116936</v>
      </c>
      <c r="M20" s="56">
        <f t="shared" si="11"/>
        <v>133.23329826467537</v>
      </c>
      <c r="N20" s="57">
        <f t="shared" si="12"/>
        <v>50</v>
      </c>
      <c r="O20" s="58">
        <f t="shared" si="19"/>
        <v>53.655999999999999</v>
      </c>
      <c r="P20" s="43">
        <f t="shared" si="13"/>
        <v>1214.74560781068</v>
      </c>
      <c r="Q20" s="59">
        <f t="shared" si="6"/>
        <v>1303.5678066537969</v>
      </c>
      <c r="R20" s="43"/>
      <c r="S20" s="60">
        <f t="shared" si="14"/>
        <v>88.822198843116936</v>
      </c>
      <c r="T20" s="61">
        <f t="shared" si="15"/>
        <v>133.23329826467537</v>
      </c>
      <c r="U20" s="46"/>
    </row>
    <row r="21" spans="1:21" x14ac:dyDescent="0.25">
      <c r="A21" s="47">
        <f t="shared" si="7"/>
        <v>37015</v>
      </c>
      <c r="B21" s="48">
        <v>15</v>
      </c>
      <c r="C21" s="49">
        <f>INDEX(DaMw,C34+14,0)</f>
        <v>25.363422046692399</v>
      </c>
      <c r="D21" s="91">
        <f>INDEX(DaPrice,C34+14,0)</f>
        <v>50</v>
      </c>
      <c r="E21" s="51">
        <f t="shared" si="8"/>
        <v>4.78</v>
      </c>
      <c r="F21" s="51">
        <f t="shared" si="9"/>
        <v>4.78</v>
      </c>
      <c r="G21" s="52">
        <f t="shared" si="10"/>
        <v>59.14</v>
      </c>
      <c r="H21" s="53">
        <f t="shared" si="0"/>
        <v>9.14</v>
      </c>
      <c r="I21" s="54">
        <f t="shared" si="1"/>
        <v>231.82167750676854</v>
      </c>
      <c r="J21" s="62">
        <f t="shared" si="17"/>
        <v>3.6560000000000006</v>
      </c>
      <c r="K21" s="63">
        <f t="shared" si="16"/>
        <v>5.484</v>
      </c>
      <c r="L21" s="64">
        <f t="shared" si="18"/>
        <v>92.728671002707429</v>
      </c>
      <c r="M21" s="56">
        <f t="shared" si="11"/>
        <v>139.09300650406112</v>
      </c>
      <c r="N21" s="57">
        <f t="shared" si="12"/>
        <v>50</v>
      </c>
      <c r="O21" s="58">
        <f t="shared" si="19"/>
        <v>53.655999999999999</v>
      </c>
      <c r="P21" s="43">
        <f t="shared" si="13"/>
        <v>1268.1711023346199</v>
      </c>
      <c r="Q21" s="59">
        <f t="shared" si="6"/>
        <v>1360.8997733373274</v>
      </c>
      <c r="R21" s="43"/>
      <c r="S21" s="60">
        <f t="shared" si="14"/>
        <v>92.728671002707429</v>
      </c>
      <c r="T21" s="61">
        <f t="shared" si="15"/>
        <v>139.09300650406112</v>
      </c>
      <c r="U21" s="46"/>
    </row>
    <row r="22" spans="1:21" x14ac:dyDescent="0.25">
      <c r="A22" s="47">
        <f t="shared" si="7"/>
        <v>37015</v>
      </c>
      <c r="B22" s="48">
        <v>16</v>
      </c>
      <c r="C22" s="49">
        <f>INDEX(DaMw,C34+15,0)</f>
        <v>26.156870753818801</v>
      </c>
      <c r="D22" s="91">
        <f>INDEX(DaPrice,C34+15,0)</f>
        <v>50</v>
      </c>
      <c r="E22" s="51">
        <f t="shared" si="8"/>
        <v>4.78</v>
      </c>
      <c r="F22" s="51">
        <f t="shared" si="9"/>
        <v>4.78</v>
      </c>
      <c r="G22" s="52">
        <f t="shared" si="10"/>
        <v>59.14</v>
      </c>
      <c r="H22" s="53">
        <f t="shared" si="0"/>
        <v>9.14</v>
      </c>
      <c r="I22" s="54">
        <f t="shared" si="1"/>
        <v>239.07379868990387</v>
      </c>
      <c r="J22" s="62">
        <f t="shared" si="17"/>
        <v>3.6560000000000006</v>
      </c>
      <c r="K22" s="63">
        <f t="shared" si="16"/>
        <v>5.484</v>
      </c>
      <c r="L22" s="64">
        <f t="shared" si="18"/>
        <v>95.629519475961544</v>
      </c>
      <c r="M22" s="56">
        <f t="shared" si="11"/>
        <v>143.44427921394231</v>
      </c>
      <c r="N22" s="57">
        <f t="shared" si="12"/>
        <v>50</v>
      </c>
      <c r="O22" s="58">
        <f t="shared" si="19"/>
        <v>53.655999999999999</v>
      </c>
      <c r="P22" s="43">
        <f t="shared" si="13"/>
        <v>1307.8435376909401</v>
      </c>
      <c r="Q22" s="59">
        <f t="shared" si="6"/>
        <v>1403.4730571669015</v>
      </c>
      <c r="R22" s="43"/>
      <c r="S22" s="60">
        <f t="shared" si="14"/>
        <v>95.629519475961544</v>
      </c>
      <c r="T22" s="61">
        <f t="shared" si="15"/>
        <v>143.44427921394231</v>
      </c>
      <c r="U22" s="46"/>
    </row>
    <row r="23" spans="1:21" x14ac:dyDescent="0.25">
      <c r="A23" s="47">
        <f t="shared" si="7"/>
        <v>37015</v>
      </c>
      <c r="B23" s="48">
        <v>17</v>
      </c>
      <c r="C23" s="49">
        <f>INDEX(DaMw,C34+16,0)</f>
        <v>23.944801030868803</v>
      </c>
      <c r="D23" s="91">
        <f>INDEX(DaPrice,C34+16,0)</f>
        <v>50</v>
      </c>
      <c r="E23" s="51">
        <f t="shared" si="8"/>
        <v>4.78</v>
      </c>
      <c r="F23" s="51">
        <f t="shared" si="9"/>
        <v>4.78</v>
      </c>
      <c r="G23" s="52">
        <f t="shared" si="10"/>
        <v>59.14</v>
      </c>
      <c r="H23" s="53">
        <f t="shared" si="0"/>
        <v>9.14</v>
      </c>
      <c r="I23" s="54">
        <f t="shared" si="1"/>
        <v>218.85548142214088</v>
      </c>
      <c r="J23" s="62">
        <f t="shared" si="17"/>
        <v>3.6560000000000006</v>
      </c>
      <c r="K23" s="63">
        <f t="shared" si="16"/>
        <v>5.484</v>
      </c>
      <c r="L23" s="64">
        <f t="shared" si="18"/>
        <v>87.54219256885635</v>
      </c>
      <c r="M23" s="56">
        <f t="shared" si="11"/>
        <v>131.31328885328452</v>
      </c>
      <c r="N23" s="57">
        <f t="shared" si="12"/>
        <v>50</v>
      </c>
      <c r="O23" s="58">
        <f t="shared" si="19"/>
        <v>53.655999999999999</v>
      </c>
      <c r="P23" s="43">
        <f t="shared" si="13"/>
        <v>1197.2400515434401</v>
      </c>
      <c r="Q23" s="59">
        <f t="shared" si="6"/>
        <v>1284.7822441122964</v>
      </c>
      <c r="R23" s="43"/>
      <c r="S23" s="60">
        <f t="shared" si="14"/>
        <v>87.54219256885635</v>
      </c>
      <c r="T23" s="61">
        <f t="shared" si="15"/>
        <v>131.31328885328452</v>
      </c>
      <c r="U23" s="46"/>
    </row>
    <row r="24" spans="1:21" x14ac:dyDescent="0.25">
      <c r="A24" s="47">
        <f t="shared" si="7"/>
        <v>37015</v>
      </c>
      <c r="B24" s="48">
        <v>18</v>
      </c>
      <c r="C24" s="49">
        <f>INDEX(DaMw,C34+17,0)</f>
        <v>22.490152223263301</v>
      </c>
      <c r="D24" s="91">
        <f>INDEX(DaPrice,C34+17,0)</f>
        <v>50</v>
      </c>
      <c r="E24" s="51">
        <f t="shared" si="8"/>
        <v>4.78</v>
      </c>
      <c r="F24" s="51">
        <f t="shared" si="9"/>
        <v>4.78</v>
      </c>
      <c r="G24" s="52">
        <f t="shared" si="10"/>
        <v>59.14</v>
      </c>
      <c r="H24" s="53">
        <f t="shared" si="0"/>
        <v>9.14</v>
      </c>
      <c r="I24" s="54">
        <f t="shared" si="1"/>
        <v>205.55999132062658</v>
      </c>
      <c r="J24" s="62">
        <f t="shared" si="17"/>
        <v>3.6560000000000006</v>
      </c>
      <c r="K24" s="63">
        <f t="shared" si="16"/>
        <v>5.484</v>
      </c>
      <c r="L24" s="64">
        <f t="shared" si="18"/>
        <v>82.223996528250638</v>
      </c>
      <c r="M24" s="56">
        <f t="shared" si="11"/>
        <v>123.33599479237594</v>
      </c>
      <c r="N24" s="57">
        <f t="shared" si="12"/>
        <v>50</v>
      </c>
      <c r="O24" s="58">
        <f t="shared" si="19"/>
        <v>53.655999999999999</v>
      </c>
      <c r="P24" s="43">
        <f t="shared" si="13"/>
        <v>1124.5076111631652</v>
      </c>
      <c r="Q24" s="59">
        <f t="shared" si="6"/>
        <v>1206.7316076914158</v>
      </c>
      <c r="R24" s="43"/>
      <c r="S24" s="60">
        <f t="shared" si="14"/>
        <v>82.223996528250638</v>
      </c>
      <c r="T24" s="61">
        <f t="shared" si="15"/>
        <v>123.33599479237594</v>
      </c>
      <c r="U24" s="46"/>
    </row>
    <row r="25" spans="1:21" x14ac:dyDescent="0.25">
      <c r="A25" s="47">
        <f t="shared" si="7"/>
        <v>37015</v>
      </c>
      <c r="B25" s="48">
        <v>19</v>
      </c>
      <c r="C25" s="49">
        <f>INDEX(DaMw,C34+18,0)</f>
        <v>23.027796395488195</v>
      </c>
      <c r="D25" s="91">
        <f>INDEX(DaPrice,C34+18,0)</f>
        <v>50</v>
      </c>
      <c r="E25" s="51">
        <f t="shared" si="8"/>
        <v>4.78</v>
      </c>
      <c r="F25" s="51">
        <f t="shared" si="9"/>
        <v>4.78</v>
      </c>
      <c r="G25" s="52">
        <f t="shared" si="10"/>
        <v>59.14</v>
      </c>
      <c r="H25" s="53">
        <f t="shared" si="0"/>
        <v>9.14</v>
      </c>
      <c r="I25" s="54">
        <f t="shared" si="1"/>
        <v>210.47405905476211</v>
      </c>
      <c r="J25" s="62">
        <f t="shared" si="17"/>
        <v>3.6560000000000006</v>
      </c>
      <c r="K25" s="63">
        <f t="shared" si="16"/>
        <v>5.484</v>
      </c>
      <c r="L25" s="64">
        <f t="shared" si="18"/>
        <v>84.189623621904857</v>
      </c>
      <c r="M25" s="56">
        <f t="shared" si="11"/>
        <v>126.28443543285726</v>
      </c>
      <c r="N25" s="57">
        <f t="shared" si="12"/>
        <v>50</v>
      </c>
      <c r="O25" s="58">
        <f t="shared" si="19"/>
        <v>53.655999999999999</v>
      </c>
      <c r="P25" s="43">
        <f t="shared" si="13"/>
        <v>1151.3898197744097</v>
      </c>
      <c r="Q25" s="59">
        <f t="shared" si="6"/>
        <v>1235.5794433963147</v>
      </c>
      <c r="R25" s="43"/>
      <c r="S25" s="60">
        <f t="shared" si="14"/>
        <v>84.189623621904857</v>
      </c>
      <c r="T25" s="61">
        <f t="shared" si="15"/>
        <v>126.28443543285726</v>
      </c>
      <c r="U25" s="46"/>
    </row>
    <row r="26" spans="1:21" x14ac:dyDescent="0.25">
      <c r="A26" s="47">
        <f t="shared" si="7"/>
        <v>37015</v>
      </c>
      <c r="B26" s="48">
        <v>20</v>
      </c>
      <c r="C26" s="49">
        <f>INDEX(DaMw,C34+19,0)</f>
        <v>21.842478541566003</v>
      </c>
      <c r="D26" s="91">
        <f>INDEX(DaPrice,C34+19,0)</f>
        <v>50</v>
      </c>
      <c r="E26" s="51">
        <f t="shared" si="8"/>
        <v>4.78</v>
      </c>
      <c r="F26" s="51">
        <f t="shared" si="9"/>
        <v>4.78</v>
      </c>
      <c r="G26" s="52">
        <f t="shared" si="10"/>
        <v>59.14</v>
      </c>
      <c r="H26" s="53">
        <f t="shared" si="0"/>
        <v>9.14</v>
      </c>
      <c r="I26" s="54">
        <f t="shared" si="1"/>
        <v>199.64025386991327</v>
      </c>
      <c r="J26" s="62">
        <f t="shared" si="17"/>
        <v>3.6560000000000006</v>
      </c>
      <c r="K26" s="63">
        <f t="shared" si="16"/>
        <v>5.484</v>
      </c>
      <c r="L26" s="64">
        <f t="shared" si="18"/>
        <v>79.856101547965324</v>
      </c>
      <c r="M26" s="56">
        <f t="shared" si="11"/>
        <v>119.78415232194796</v>
      </c>
      <c r="N26" s="57">
        <f t="shared" si="12"/>
        <v>50</v>
      </c>
      <c r="O26" s="58">
        <f t="shared" si="19"/>
        <v>53.655999999999999</v>
      </c>
      <c r="P26" s="43">
        <f t="shared" si="13"/>
        <v>1092.1239270783001</v>
      </c>
      <c r="Q26" s="59">
        <f t="shared" si="6"/>
        <v>1171.9800286262655</v>
      </c>
      <c r="R26" s="43"/>
      <c r="S26" s="60">
        <f t="shared" si="14"/>
        <v>79.856101547965324</v>
      </c>
      <c r="T26" s="61">
        <f t="shared" si="15"/>
        <v>119.78415232194796</v>
      </c>
      <c r="U26" s="46"/>
    </row>
    <row r="27" spans="1:21" x14ac:dyDescent="0.25">
      <c r="A27" s="47">
        <f t="shared" si="7"/>
        <v>37015</v>
      </c>
      <c r="B27" s="48">
        <v>21</v>
      </c>
      <c r="C27" s="49">
        <f>INDEX(DaMw,C34+20,0)</f>
        <v>24.8374741468255</v>
      </c>
      <c r="D27" s="91">
        <f>INDEX(DaPrice,C34+20,0)</f>
        <v>50</v>
      </c>
      <c r="E27" s="51">
        <f t="shared" si="8"/>
        <v>4.78</v>
      </c>
      <c r="F27" s="51">
        <f t="shared" si="9"/>
        <v>4.78</v>
      </c>
      <c r="G27" s="52">
        <f t="shared" si="10"/>
        <v>59.14</v>
      </c>
      <c r="H27" s="53">
        <f t="shared" si="0"/>
        <v>9.14</v>
      </c>
      <c r="I27" s="54">
        <f t="shared" si="1"/>
        <v>227.01451370198507</v>
      </c>
      <c r="J27" s="62">
        <f t="shared" si="17"/>
        <v>3.6560000000000006</v>
      </c>
      <c r="K27" s="63">
        <f t="shared" si="16"/>
        <v>5.484</v>
      </c>
      <c r="L27" s="64">
        <f t="shared" si="18"/>
        <v>90.805805480794035</v>
      </c>
      <c r="M27" s="56">
        <f t="shared" si="11"/>
        <v>136.20870822119105</v>
      </c>
      <c r="N27" s="57">
        <f t="shared" si="12"/>
        <v>50</v>
      </c>
      <c r="O27" s="58">
        <f t="shared" si="19"/>
        <v>53.655999999999999</v>
      </c>
      <c r="P27" s="43">
        <f t="shared" si="13"/>
        <v>1241.8737073412749</v>
      </c>
      <c r="Q27" s="59">
        <f t="shared" si="6"/>
        <v>1332.679512822069</v>
      </c>
      <c r="R27" s="43"/>
      <c r="S27" s="60">
        <f t="shared" si="14"/>
        <v>90.805805480794035</v>
      </c>
      <c r="T27" s="61">
        <f t="shared" si="15"/>
        <v>136.20870822119105</v>
      </c>
      <c r="U27" s="46"/>
    </row>
    <row r="28" spans="1:21" x14ac:dyDescent="0.25">
      <c r="A28" s="47">
        <f t="shared" si="7"/>
        <v>37015</v>
      </c>
      <c r="B28" s="48">
        <v>22</v>
      </c>
      <c r="C28" s="49">
        <f>INDEX(DaMw,C34+21,0)</f>
        <v>24.617253253736003</v>
      </c>
      <c r="D28" s="91">
        <f>INDEX(DaPrice,C34+21,0)</f>
        <v>50</v>
      </c>
      <c r="E28" s="51">
        <f t="shared" si="8"/>
        <v>4.78</v>
      </c>
      <c r="F28" s="51">
        <f t="shared" si="9"/>
        <v>4.78</v>
      </c>
      <c r="G28" s="52">
        <f t="shared" si="10"/>
        <v>59.14</v>
      </c>
      <c r="H28" s="53">
        <f t="shared" si="0"/>
        <v>9.14</v>
      </c>
      <c r="I28" s="54">
        <f t="shared" si="1"/>
        <v>225.00169473914707</v>
      </c>
      <c r="J28" s="62">
        <f t="shared" si="17"/>
        <v>3.6560000000000006</v>
      </c>
      <c r="K28" s="63">
        <f t="shared" si="16"/>
        <v>5.484</v>
      </c>
      <c r="L28" s="64">
        <f t="shared" si="18"/>
        <v>90.000677895658839</v>
      </c>
      <c r="M28" s="56">
        <f t="shared" si="11"/>
        <v>135.00101684348823</v>
      </c>
      <c r="N28" s="57">
        <f t="shared" si="12"/>
        <v>50</v>
      </c>
      <c r="O28" s="58">
        <f t="shared" si="19"/>
        <v>53.655999999999999</v>
      </c>
      <c r="P28" s="43">
        <f t="shared" si="13"/>
        <v>1230.8626626868001</v>
      </c>
      <c r="Q28" s="59">
        <f t="shared" si="6"/>
        <v>1320.8633405824589</v>
      </c>
      <c r="R28" s="43"/>
      <c r="S28" s="60">
        <f t="shared" si="14"/>
        <v>90.000677895658839</v>
      </c>
      <c r="T28" s="61">
        <f t="shared" si="15"/>
        <v>135.00101684348823</v>
      </c>
      <c r="U28" s="46"/>
    </row>
    <row r="29" spans="1:21" x14ac:dyDescent="0.25">
      <c r="A29" s="47">
        <f t="shared" si="7"/>
        <v>37015</v>
      </c>
      <c r="B29" s="48">
        <v>23</v>
      </c>
      <c r="C29" s="49">
        <f>INDEX(DaMw,C34+22,0)</f>
        <v>15</v>
      </c>
      <c r="D29" s="91">
        <f>INDEX(DaPrice,C34+22,0)</f>
        <v>20</v>
      </c>
      <c r="E29" s="51">
        <f t="shared" si="8"/>
        <v>4.78</v>
      </c>
      <c r="F29" s="51">
        <f t="shared" si="9"/>
        <v>4.78</v>
      </c>
      <c r="G29" s="52">
        <f t="shared" si="10"/>
        <v>59.14</v>
      </c>
      <c r="H29" s="53">
        <f t="shared" si="0"/>
        <v>39.14</v>
      </c>
      <c r="I29" s="54">
        <f t="shared" si="1"/>
        <v>587.1</v>
      </c>
      <c r="J29" s="55">
        <f>IF(C29=0,"",1)</f>
        <v>1</v>
      </c>
      <c r="K29" s="43">
        <f>IF(C29=0,"",G29-(D29+1))</f>
        <v>38.14</v>
      </c>
      <c r="L29" s="43">
        <f>IF(C29=0,"",C29*J29)</f>
        <v>15</v>
      </c>
      <c r="M29" s="56">
        <f t="shared" si="11"/>
        <v>572.1</v>
      </c>
      <c r="N29" s="57">
        <f t="shared" si="12"/>
        <v>20</v>
      </c>
      <c r="O29" s="58">
        <f>IF(C29=0,"",D29+1)</f>
        <v>21</v>
      </c>
      <c r="P29" s="43">
        <f t="shared" si="13"/>
        <v>300</v>
      </c>
      <c r="Q29" s="59">
        <f t="shared" si="6"/>
        <v>315</v>
      </c>
      <c r="R29" s="43"/>
      <c r="S29" s="60">
        <f t="shared" si="14"/>
        <v>15</v>
      </c>
      <c r="T29" s="61">
        <f t="shared" si="15"/>
        <v>572.1</v>
      </c>
      <c r="U29" s="46"/>
    </row>
    <row r="30" spans="1:21" x14ac:dyDescent="0.25">
      <c r="A30" s="65">
        <f t="shared" si="7"/>
        <v>37015</v>
      </c>
      <c r="B30" s="66">
        <v>24</v>
      </c>
      <c r="C30" s="67">
        <f>INDEX(DaMw,C34+23,0)</f>
        <v>15</v>
      </c>
      <c r="D30" s="92">
        <f>INDEX(DaPrice,C34+23,0)</f>
        <v>20</v>
      </c>
      <c r="E30" s="69">
        <f t="shared" si="8"/>
        <v>4.78</v>
      </c>
      <c r="F30" s="69">
        <f>VLOOKUP(A30,Gas,5,FALSE)</f>
        <v>4.78</v>
      </c>
      <c r="G30" s="70">
        <f t="shared" si="10"/>
        <v>59.14</v>
      </c>
      <c r="H30" s="71">
        <f t="shared" si="0"/>
        <v>39.14</v>
      </c>
      <c r="I30" s="72">
        <f t="shared" si="1"/>
        <v>587.1</v>
      </c>
      <c r="J30" s="73">
        <f>IF(C30=0,"",1)</f>
        <v>1</v>
      </c>
      <c r="K30" s="74">
        <f>IF(C30=0,"",G30-(D30+1))</f>
        <v>38.14</v>
      </c>
      <c r="L30" s="74">
        <f>IF(C30=0,"",C30*J30)</f>
        <v>15</v>
      </c>
      <c r="M30" s="75">
        <f t="shared" si="11"/>
        <v>572.1</v>
      </c>
      <c r="N30" s="76">
        <f t="shared" si="12"/>
        <v>20</v>
      </c>
      <c r="O30" s="77">
        <f>IF(C30=0,"",D30+1)</f>
        <v>21</v>
      </c>
      <c r="P30" s="74">
        <f t="shared" si="13"/>
        <v>300</v>
      </c>
      <c r="Q30" s="78">
        <f t="shared" si="6"/>
        <v>315</v>
      </c>
      <c r="R30" s="43"/>
      <c r="S30" s="79">
        <f t="shared" si="14"/>
        <v>15</v>
      </c>
      <c r="T30" s="80">
        <f t="shared" si="15"/>
        <v>572.1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83"/>
    </row>
    <row r="32" spans="1:21" x14ac:dyDescent="0.25">
      <c r="K32" s="84"/>
      <c r="L32" s="84"/>
      <c r="M32" s="84"/>
      <c r="N32" s="85"/>
      <c r="O32" s="84"/>
      <c r="P32" s="85"/>
      <c r="Q32" s="86">
        <f>SUM(Q7:Q30)</f>
        <v>22619.996622035756</v>
      </c>
      <c r="R32" s="87"/>
      <c r="S32" s="86">
        <f>SUM(S7:S30)</f>
        <v>1489.5688767362967</v>
      </c>
      <c r="T32" s="86">
        <f>SUM(T7:T30)</f>
        <v>6631.1533151044459</v>
      </c>
    </row>
    <row r="34" spans="1:22" hidden="1" x14ac:dyDescent="0.25">
      <c r="B34" t="s">
        <v>33</v>
      </c>
      <c r="C34">
        <f>MATCH(C2,DaDate,0)</f>
        <v>73</v>
      </c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5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f>$C$2</f>
        <v>37015</v>
      </c>
      <c r="B41" s="30">
        <v>1</v>
      </c>
      <c r="C41" s="31">
        <f>INDEX(RtMw,C68,0)</f>
        <v>10</v>
      </c>
      <c r="D41" s="32">
        <f>INDEX(RTPrice,C68,0)</f>
        <v>28</v>
      </c>
      <c r="E41" s="33">
        <f>VLOOKUP(A41,Gas,4,FALSE)</f>
        <v>4.78</v>
      </c>
      <c r="F41" s="33">
        <f>VLOOKUP(A41,Gas,5,FALSE)</f>
        <v>4.78</v>
      </c>
      <c r="G41" s="34">
        <f>VLOOKUP(A41,Bogey,2,FALSE)</f>
        <v>59.14</v>
      </c>
      <c r="H41" s="35">
        <f t="shared" ref="H41:H64" si="20">IF(C41&gt;0,G41-D41,"")</f>
        <v>31.14</v>
      </c>
      <c r="I41" s="36">
        <f t="shared" ref="I41:I64" si="21">IF(C41&gt;0,H41*ABS(C41),"")</f>
        <v>311.39999999999998</v>
      </c>
      <c r="J41" s="37">
        <f t="shared" ref="J41:J46" si="22">IF(C41=0,"",1)</f>
        <v>1</v>
      </c>
      <c r="K41" s="38">
        <f t="shared" ref="K41:K46" si="23">IF(C41=0,"",G41-(D41+1))</f>
        <v>30.14</v>
      </c>
      <c r="L41" s="38">
        <f t="shared" ref="L41:L46" si="24">IF(C41=0,"",C41*J41)</f>
        <v>10</v>
      </c>
      <c r="M41" s="39">
        <f>IF(C41=0,"",C41*K41)</f>
        <v>301.39999999999998</v>
      </c>
      <c r="N41" s="40">
        <f>IF(C41=0,"",D41)</f>
        <v>28</v>
      </c>
      <c r="O41" s="41">
        <f t="shared" ref="O41:O46" si="25">IF(C41=0,"",D41+1)</f>
        <v>29</v>
      </c>
      <c r="P41" s="38">
        <f>IF(C41=0,"",N41*C41)</f>
        <v>280</v>
      </c>
      <c r="Q41" s="42">
        <f t="shared" ref="Q41:Q64" si="26">IF(C41=0,"",O41*C41)</f>
        <v>290</v>
      </c>
      <c r="R41" s="43"/>
      <c r="S41" s="44">
        <f>IF(C41=0,"",L41)</f>
        <v>10</v>
      </c>
      <c r="T41" s="45">
        <f>IF(C41=0,"",M41)</f>
        <v>301.39999999999998</v>
      </c>
      <c r="U41" s="46"/>
    </row>
    <row r="42" spans="1:22" x14ac:dyDescent="0.25">
      <c r="A42" s="47">
        <f t="shared" ref="A42:A64" si="27">$C$2</f>
        <v>37015</v>
      </c>
      <c r="B42" s="48">
        <v>2</v>
      </c>
      <c r="C42" s="49">
        <f>INDEX(RtMw,C68+1,0)</f>
        <v>6</v>
      </c>
      <c r="D42" s="50">
        <f>INDEX(RTPrice,C68+1,0)</f>
        <v>22</v>
      </c>
      <c r="E42" s="51">
        <f t="shared" ref="E42:E64" si="28">VLOOKUP(A42,Gas,4,FALSE)</f>
        <v>4.78</v>
      </c>
      <c r="F42" s="51">
        <f t="shared" ref="F42:F63" si="29">VLOOKUP(A42,Gas,5,FALSE)</f>
        <v>4.78</v>
      </c>
      <c r="G42" s="52">
        <f t="shared" ref="G42:G64" si="30">VLOOKUP(A42,Bogey,2,FALSE)</f>
        <v>59.14</v>
      </c>
      <c r="H42" s="53">
        <f t="shared" si="20"/>
        <v>37.14</v>
      </c>
      <c r="I42" s="54">
        <f t="shared" si="21"/>
        <v>222.84</v>
      </c>
      <c r="J42" s="55">
        <f t="shared" si="22"/>
        <v>1</v>
      </c>
      <c r="K42" s="43">
        <f t="shared" si="23"/>
        <v>36.14</v>
      </c>
      <c r="L42" s="43">
        <f t="shared" si="24"/>
        <v>6</v>
      </c>
      <c r="M42" s="56">
        <f t="shared" ref="M42:M64" si="31">IF(C42=0,"",C42*K42)</f>
        <v>216.84</v>
      </c>
      <c r="N42" s="57">
        <f t="shared" ref="N42:N64" si="32">IF(C42=0,"",D42)</f>
        <v>22</v>
      </c>
      <c r="O42" s="58">
        <f t="shared" si="25"/>
        <v>23</v>
      </c>
      <c r="P42" s="43">
        <f t="shared" ref="P42:P64" si="33">IF(C42=0,"",N42*C42)</f>
        <v>132</v>
      </c>
      <c r="Q42" s="59">
        <f t="shared" si="26"/>
        <v>138</v>
      </c>
      <c r="R42" s="43"/>
      <c r="S42" s="60">
        <f t="shared" ref="S42:S64" si="34">IF(C42=0,"",L42)</f>
        <v>6</v>
      </c>
      <c r="T42" s="61">
        <f t="shared" ref="T42:T64" si="35">IF(C42=0,"",M42)</f>
        <v>216.84</v>
      </c>
      <c r="U42" s="46"/>
    </row>
    <row r="43" spans="1:22" x14ac:dyDescent="0.25">
      <c r="A43" s="47">
        <f t="shared" si="27"/>
        <v>37015</v>
      </c>
      <c r="B43" s="48">
        <v>3</v>
      </c>
      <c r="C43" s="49">
        <f>INDEX(RtMw,C68+2,0)</f>
        <v>3</v>
      </c>
      <c r="D43" s="50">
        <f>INDEX(RTPrice,C68+2,0)</f>
        <v>20</v>
      </c>
      <c r="E43" s="51">
        <f t="shared" si="28"/>
        <v>4.78</v>
      </c>
      <c r="F43" s="51">
        <f t="shared" si="29"/>
        <v>4.78</v>
      </c>
      <c r="G43" s="52">
        <f t="shared" si="30"/>
        <v>59.14</v>
      </c>
      <c r="H43" s="53">
        <f t="shared" si="20"/>
        <v>39.14</v>
      </c>
      <c r="I43" s="54">
        <f t="shared" si="21"/>
        <v>117.42</v>
      </c>
      <c r="J43" s="55">
        <f t="shared" si="22"/>
        <v>1</v>
      </c>
      <c r="K43" s="43">
        <f t="shared" si="23"/>
        <v>38.14</v>
      </c>
      <c r="L43" s="43">
        <f t="shared" si="24"/>
        <v>3</v>
      </c>
      <c r="M43" s="56">
        <f t="shared" si="31"/>
        <v>114.42</v>
      </c>
      <c r="N43" s="57">
        <f t="shared" si="32"/>
        <v>20</v>
      </c>
      <c r="O43" s="58">
        <f t="shared" si="25"/>
        <v>21</v>
      </c>
      <c r="P43" s="43">
        <f t="shared" si="33"/>
        <v>60</v>
      </c>
      <c r="Q43" s="59">
        <f t="shared" si="26"/>
        <v>63</v>
      </c>
      <c r="R43" s="43"/>
      <c r="S43" s="60">
        <f t="shared" si="34"/>
        <v>3</v>
      </c>
      <c r="T43" s="61">
        <f t="shared" si="35"/>
        <v>114.42</v>
      </c>
      <c r="U43" s="46"/>
    </row>
    <row r="44" spans="1:22" x14ac:dyDescent="0.25">
      <c r="A44" s="47">
        <f t="shared" si="27"/>
        <v>37015</v>
      </c>
      <c r="B44" s="48">
        <v>4</v>
      </c>
      <c r="C44" s="49">
        <f>INDEX(RtMw,C68+3,0)</f>
        <v>3</v>
      </c>
      <c r="D44" s="50">
        <f>INDEX(RTPrice,C68+3,0)</f>
        <v>20</v>
      </c>
      <c r="E44" s="51">
        <f t="shared" si="28"/>
        <v>4.78</v>
      </c>
      <c r="F44" s="51">
        <f t="shared" si="29"/>
        <v>4.78</v>
      </c>
      <c r="G44" s="52">
        <f t="shared" si="30"/>
        <v>59.14</v>
      </c>
      <c r="H44" s="53">
        <f t="shared" si="20"/>
        <v>39.14</v>
      </c>
      <c r="I44" s="54">
        <f t="shared" si="21"/>
        <v>117.42</v>
      </c>
      <c r="J44" s="55">
        <f t="shared" si="22"/>
        <v>1</v>
      </c>
      <c r="K44" s="43">
        <f t="shared" si="23"/>
        <v>38.14</v>
      </c>
      <c r="L44" s="43">
        <f t="shared" si="24"/>
        <v>3</v>
      </c>
      <c r="M44" s="56">
        <f t="shared" si="31"/>
        <v>114.42</v>
      </c>
      <c r="N44" s="57">
        <f t="shared" si="32"/>
        <v>20</v>
      </c>
      <c r="O44" s="58">
        <f t="shared" si="25"/>
        <v>21</v>
      </c>
      <c r="P44" s="43">
        <f t="shared" si="33"/>
        <v>60</v>
      </c>
      <c r="Q44" s="59">
        <f t="shared" si="26"/>
        <v>63</v>
      </c>
      <c r="R44" s="43"/>
      <c r="S44" s="60">
        <f t="shared" si="34"/>
        <v>3</v>
      </c>
      <c r="T44" s="61">
        <f t="shared" si="35"/>
        <v>114.42</v>
      </c>
      <c r="U44" s="46"/>
    </row>
    <row r="45" spans="1:22" x14ac:dyDescent="0.25">
      <c r="A45" s="47">
        <f t="shared" si="27"/>
        <v>37015</v>
      </c>
      <c r="B45" s="48">
        <v>5</v>
      </c>
      <c r="C45" s="49">
        <f>INDEX(RtMw,C68+4,0)</f>
        <v>4</v>
      </c>
      <c r="D45" s="50">
        <f>INDEX(RTPrice,C68+4,0)</f>
        <v>20</v>
      </c>
      <c r="E45" s="51">
        <f t="shared" si="28"/>
        <v>4.78</v>
      </c>
      <c r="F45" s="51">
        <f t="shared" si="29"/>
        <v>4.78</v>
      </c>
      <c r="G45" s="52">
        <f t="shared" si="30"/>
        <v>59.14</v>
      </c>
      <c r="H45" s="53">
        <f t="shared" si="20"/>
        <v>39.14</v>
      </c>
      <c r="I45" s="54">
        <f t="shared" si="21"/>
        <v>156.56</v>
      </c>
      <c r="J45" s="55">
        <f t="shared" si="22"/>
        <v>1</v>
      </c>
      <c r="K45" s="43">
        <f t="shared" si="23"/>
        <v>38.14</v>
      </c>
      <c r="L45" s="43">
        <f t="shared" si="24"/>
        <v>4</v>
      </c>
      <c r="M45" s="56">
        <f t="shared" si="31"/>
        <v>152.56</v>
      </c>
      <c r="N45" s="57">
        <f t="shared" si="32"/>
        <v>20</v>
      </c>
      <c r="O45" s="58">
        <f t="shared" si="25"/>
        <v>21</v>
      </c>
      <c r="P45" s="43">
        <f t="shared" si="33"/>
        <v>80</v>
      </c>
      <c r="Q45" s="59">
        <f t="shared" si="26"/>
        <v>84</v>
      </c>
      <c r="R45" s="43"/>
      <c r="S45" s="60">
        <f t="shared" si="34"/>
        <v>4</v>
      </c>
      <c r="T45" s="61">
        <f t="shared" si="35"/>
        <v>152.56</v>
      </c>
      <c r="U45" s="46"/>
    </row>
    <row r="46" spans="1:22" x14ac:dyDescent="0.25">
      <c r="A46" s="47">
        <f t="shared" si="27"/>
        <v>37015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4.78</v>
      </c>
      <c r="F46" s="51">
        <f t="shared" si="29"/>
        <v>4.78</v>
      </c>
      <c r="G46" s="52">
        <f t="shared" si="30"/>
        <v>59.14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5">
      <c r="A47" s="47">
        <f t="shared" si="27"/>
        <v>37015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4.78</v>
      </c>
      <c r="F47" s="51">
        <f t="shared" si="29"/>
        <v>4.78</v>
      </c>
      <c r="G47" s="52">
        <f t="shared" si="30"/>
        <v>59.14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5">
      <c r="A48" s="47">
        <f t="shared" si="27"/>
        <v>37015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4.78</v>
      </c>
      <c r="F48" s="51">
        <f t="shared" si="29"/>
        <v>4.78</v>
      </c>
      <c r="G48" s="52">
        <f t="shared" si="30"/>
        <v>59.14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5">
      <c r="A49" s="47">
        <f t="shared" si="27"/>
        <v>37015</v>
      </c>
      <c r="B49" s="48">
        <v>9</v>
      </c>
      <c r="C49" s="49">
        <f>INDEX(RtMw,C68+8,0)</f>
        <v>3</v>
      </c>
      <c r="D49" s="50">
        <f>INDEX(RTPrice,C68+8,0)</f>
        <v>30</v>
      </c>
      <c r="E49" s="51">
        <f t="shared" si="28"/>
        <v>4.78</v>
      </c>
      <c r="F49" s="51">
        <f t="shared" si="29"/>
        <v>4.78</v>
      </c>
      <c r="G49" s="52">
        <f t="shared" si="30"/>
        <v>59.14</v>
      </c>
      <c r="H49" s="53">
        <f t="shared" si="20"/>
        <v>29.14</v>
      </c>
      <c r="I49" s="54">
        <f t="shared" si="21"/>
        <v>87.42</v>
      </c>
      <c r="J49" s="62">
        <f t="shared" si="37"/>
        <v>11.656000000000001</v>
      </c>
      <c r="K49" s="63">
        <f t="shared" si="36"/>
        <v>17.483999999999998</v>
      </c>
      <c r="L49" s="64">
        <f t="shared" si="38"/>
        <v>34.968000000000004</v>
      </c>
      <c r="M49" s="56">
        <f t="shared" si="31"/>
        <v>52.451999999999998</v>
      </c>
      <c r="N49" s="57">
        <f t="shared" si="32"/>
        <v>30</v>
      </c>
      <c r="O49" s="58">
        <f t="shared" si="39"/>
        <v>41.655999999999999</v>
      </c>
      <c r="P49" s="43">
        <f t="shared" si="33"/>
        <v>90</v>
      </c>
      <c r="Q49" s="59">
        <f t="shared" si="26"/>
        <v>124.96799999999999</v>
      </c>
      <c r="R49" s="43"/>
      <c r="S49" s="60">
        <f t="shared" si="34"/>
        <v>34.968000000000004</v>
      </c>
      <c r="T49" s="61">
        <f t="shared" si="35"/>
        <v>52.451999999999998</v>
      </c>
      <c r="U49" s="46"/>
    </row>
    <row r="50" spans="1:21" x14ac:dyDescent="0.25">
      <c r="A50" s="47">
        <f t="shared" si="27"/>
        <v>37015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4.78</v>
      </c>
      <c r="F50" s="51">
        <f t="shared" si="29"/>
        <v>4.78</v>
      </c>
      <c r="G50" s="52">
        <f t="shared" si="30"/>
        <v>59.14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5">
      <c r="A51" s="47">
        <f t="shared" si="27"/>
        <v>37015</v>
      </c>
      <c r="B51" s="48">
        <v>11</v>
      </c>
      <c r="C51" s="49">
        <f>INDEX(RtMw,C68+10,0)</f>
        <v>6</v>
      </c>
      <c r="D51" s="50">
        <f>INDEX(RTPrice,C68+10,0)</f>
        <v>45</v>
      </c>
      <c r="E51" s="51">
        <f t="shared" si="28"/>
        <v>4.78</v>
      </c>
      <c r="F51" s="51">
        <f t="shared" si="29"/>
        <v>4.78</v>
      </c>
      <c r="G51" s="52">
        <f t="shared" si="30"/>
        <v>59.14</v>
      </c>
      <c r="H51" s="53">
        <f t="shared" si="20"/>
        <v>14.14</v>
      </c>
      <c r="I51" s="54">
        <f t="shared" si="21"/>
        <v>84.84</v>
      </c>
      <c r="J51" s="62">
        <f t="shared" si="37"/>
        <v>5.6560000000000006</v>
      </c>
      <c r="K51" s="63">
        <f t="shared" si="36"/>
        <v>8.484</v>
      </c>
      <c r="L51" s="64">
        <f t="shared" si="38"/>
        <v>33.936000000000007</v>
      </c>
      <c r="M51" s="56">
        <f t="shared" si="31"/>
        <v>50.903999999999996</v>
      </c>
      <c r="N51" s="57">
        <f t="shared" si="32"/>
        <v>45</v>
      </c>
      <c r="O51" s="58">
        <f t="shared" si="39"/>
        <v>50.655999999999999</v>
      </c>
      <c r="P51" s="43">
        <f t="shared" si="33"/>
        <v>270</v>
      </c>
      <c r="Q51" s="59">
        <f t="shared" si="26"/>
        <v>303.93599999999998</v>
      </c>
      <c r="R51" s="43"/>
      <c r="S51" s="60">
        <f t="shared" si="34"/>
        <v>33.936000000000007</v>
      </c>
      <c r="T51" s="61">
        <f t="shared" si="35"/>
        <v>50.903999999999996</v>
      </c>
      <c r="U51" s="46"/>
    </row>
    <row r="52" spans="1:21" x14ac:dyDescent="0.25">
      <c r="A52" s="47">
        <f t="shared" si="27"/>
        <v>37015</v>
      </c>
      <c r="B52" s="48">
        <v>12</v>
      </c>
      <c r="C52" s="49">
        <f>INDEX(RtMw,C68+11,0)</f>
        <v>6</v>
      </c>
      <c r="D52" s="50">
        <f>INDEX(RTPrice,C68+11,0)</f>
        <v>51</v>
      </c>
      <c r="E52" s="51">
        <f t="shared" si="28"/>
        <v>4.78</v>
      </c>
      <c r="F52" s="51">
        <f t="shared" si="29"/>
        <v>4.78</v>
      </c>
      <c r="G52" s="52">
        <f t="shared" si="30"/>
        <v>59.14</v>
      </c>
      <c r="H52" s="53">
        <f t="shared" si="20"/>
        <v>8.14</v>
      </c>
      <c r="I52" s="54">
        <f t="shared" si="21"/>
        <v>48.84</v>
      </c>
      <c r="J52" s="62">
        <f t="shared" si="37"/>
        <v>3.2560000000000002</v>
      </c>
      <c r="K52" s="63">
        <f t="shared" si="36"/>
        <v>4.8840000000000003</v>
      </c>
      <c r="L52" s="64">
        <f t="shared" si="38"/>
        <v>19.536000000000001</v>
      </c>
      <c r="M52" s="56">
        <f t="shared" si="31"/>
        <v>29.304000000000002</v>
      </c>
      <c r="N52" s="57">
        <f t="shared" si="32"/>
        <v>51</v>
      </c>
      <c r="O52" s="58">
        <f t="shared" si="39"/>
        <v>54.256</v>
      </c>
      <c r="P52" s="43">
        <f t="shared" si="33"/>
        <v>306</v>
      </c>
      <c r="Q52" s="59">
        <f t="shared" si="26"/>
        <v>325.536</v>
      </c>
      <c r="R52" s="43"/>
      <c r="S52" s="60">
        <f t="shared" si="34"/>
        <v>19.536000000000001</v>
      </c>
      <c r="T52" s="61">
        <f t="shared" si="35"/>
        <v>29.304000000000002</v>
      </c>
      <c r="U52" s="46"/>
    </row>
    <row r="53" spans="1:21" x14ac:dyDescent="0.25">
      <c r="A53" s="47">
        <f t="shared" si="27"/>
        <v>37015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4.78</v>
      </c>
      <c r="F53" s="51">
        <f t="shared" si="29"/>
        <v>4.78</v>
      </c>
      <c r="G53" s="52">
        <f t="shared" si="30"/>
        <v>59.14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5">
      <c r="A54" s="47">
        <f t="shared" si="27"/>
        <v>37015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4.78</v>
      </c>
      <c r="F54" s="51">
        <f t="shared" si="29"/>
        <v>4.78</v>
      </c>
      <c r="G54" s="52">
        <f t="shared" si="30"/>
        <v>59.14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5">
      <c r="A55" s="47">
        <f t="shared" si="27"/>
        <v>37015</v>
      </c>
      <c r="B55" s="48">
        <v>15</v>
      </c>
      <c r="C55" s="49">
        <f>INDEX(RtMw,C68+14,0)</f>
        <v>5</v>
      </c>
      <c r="D55" s="50">
        <f>INDEX(RTPrice,C68+14,0)</f>
        <v>60</v>
      </c>
      <c r="E55" s="51">
        <f t="shared" si="28"/>
        <v>4.78</v>
      </c>
      <c r="F55" s="51">
        <f t="shared" si="29"/>
        <v>4.78</v>
      </c>
      <c r="G55" s="52">
        <f t="shared" si="30"/>
        <v>59.14</v>
      </c>
      <c r="H55" s="53">
        <f t="shared" si="20"/>
        <v>-0.85999999999999943</v>
      </c>
      <c r="I55" s="54">
        <f t="shared" si="21"/>
        <v>-4.2999999999999972</v>
      </c>
      <c r="J55" s="62">
        <f t="shared" si="37"/>
        <v>-0.34399999999999981</v>
      </c>
      <c r="K55" s="63">
        <f t="shared" si="36"/>
        <v>-0.51599999999999968</v>
      </c>
      <c r="L55" s="64">
        <f t="shared" si="38"/>
        <v>-1.7199999999999991</v>
      </c>
      <c r="M55" s="56">
        <f t="shared" si="31"/>
        <v>-2.5799999999999983</v>
      </c>
      <c r="N55" s="57">
        <f t="shared" si="32"/>
        <v>60</v>
      </c>
      <c r="O55" s="58"/>
      <c r="P55" s="43">
        <f t="shared" si="33"/>
        <v>300</v>
      </c>
      <c r="Q55" s="59">
        <f t="shared" si="26"/>
        <v>0</v>
      </c>
      <c r="R55" s="43"/>
      <c r="S55" s="60">
        <f t="shared" si="34"/>
        <v>-1.7199999999999991</v>
      </c>
      <c r="T55" s="61">
        <f t="shared" si="35"/>
        <v>-2.5799999999999983</v>
      </c>
      <c r="U55" s="46"/>
    </row>
    <row r="56" spans="1:21" x14ac:dyDescent="0.25">
      <c r="A56" s="47">
        <f t="shared" si="27"/>
        <v>37015</v>
      </c>
      <c r="B56" s="48">
        <v>16</v>
      </c>
      <c r="C56" s="49">
        <f>INDEX(RtMw,C68+15,0)</f>
        <v>5</v>
      </c>
      <c r="D56" s="50">
        <f>INDEX(RTPrice,C68+15,0)</f>
        <v>65</v>
      </c>
      <c r="E56" s="51">
        <f t="shared" si="28"/>
        <v>4.78</v>
      </c>
      <c r="F56" s="51">
        <f t="shared" si="29"/>
        <v>4.78</v>
      </c>
      <c r="G56" s="52">
        <f t="shared" si="30"/>
        <v>59.14</v>
      </c>
      <c r="H56" s="53">
        <f t="shared" si="20"/>
        <v>-5.8599999999999994</v>
      </c>
      <c r="I56" s="54">
        <f t="shared" si="21"/>
        <v>-29.299999999999997</v>
      </c>
      <c r="J56" s="62">
        <f t="shared" si="37"/>
        <v>-2.3439999999999999</v>
      </c>
      <c r="K56" s="63">
        <f t="shared" si="36"/>
        <v>-3.5159999999999996</v>
      </c>
      <c r="L56" s="64">
        <f t="shared" si="38"/>
        <v>-11.719999999999999</v>
      </c>
      <c r="M56" s="56">
        <f t="shared" si="31"/>
        <v>-17.579999999999998</v>
      </c>
      <c r="N56" s="57">
        <f t="shared" si="32"/>
        <v>65</v>
      </c>
      <c r="O56" s="58"/>
      <c r="P56" s="43">
        <f t="shared" si="33"/>
        <v>325</v>
      </c>
      <c r="Q56" s="59">
        <f t="shared" si="26"/>
        <v>0</v>
      </c>
      <c r="R56" s="43"/>
      <c r="S56" s="60">
        <f t="shared" si="34"/>
        <v>-11.719999999999999</v>
      </c>
      <c r="T56" s="61">
        <f t="shared" si="35"/>
        <v>-17.579999999999998</v>
      </c>
      <c r="U56" s="46"/>
    </row>
    <row r="57" spans="1:21" x14ac:dyDescent="0.25">
      <c r="A57" s="47">
        <f t="shared" si="27"/>
        <v>37015</v>
      </c>
      <c r="B57" s="48">
        <v>17</v>
      </c>
      <c r="C57" s="49">
        <f>INDEX(RtMw,C68+16,0)</f>
        <v>5</v>
      </c>
      <c r="D57" s="50">
        <f>INDEX(RTPrice,C68+16,0)</f>
        <v>65</v>
      </c>
      <c r="E57" s="51">
        <f t="shared" si="28"/>
        <v>4.78</v>
      </c>
      <c r="F57" s="51">
        <f t="shared" si="29"/>
        <v>4.78</v>
      </c>
      <c r="G57" s="52">
        <f t="shared" si="30"/>
        <v>59.14</v>
      </c>
      <c r="H57" s="53">
        <f t="shared" si="20"/>
        <v>-5.8599999999999994</v>
      </c>
      <c r="I57" s="54">
        <f t="shared" si="21"/>
        <v>-29.299999999999997</v>
      </c>
      <c r="J57" s="62">
        <f t="shared" si="37"/>
        <v>-2.3439999999999999</v>
      </c>
      <c r="K57" s="63">
        <f t="shared" si="36"/>
        <v>-3.5159999999999996</v>
      </c>
      <c r="L57" s="64">
        <f t="shared" si="38"/>
        <v>-11.719999999999999</v>
      </c>
      <c r="M57" s="56">
        <f t="shared" si="31"/>
        <v>-17.579999999999998</v>
      </c>
      <c r="N57" s="57">
        <f t="shared" si="32"/>
        <v>65</v>
      </c>
      <c r="O57" s="58"/>
      <c r="P57" s="43">
        <f t="shared" si="33"/>
        <v>325</v>
      </c>
      <c r="Q57" s="59">
        <f t="shared" si="26"/>
        <v>0</v>
      </c>
      <c r="R57" s="43"/>
      <c r="S57" s="60">
        <f t="shared" si="34"/>
        <v>-11.719999999999999</v>
      </c>
      <c r="T57" s="61">
        <f t="shared" si="35"/>
        <v>-17.579999999999998</v>
      </c>
      <c r="U57" s="46"/>
    </row>
    <row r="58" spans="1:21" x14ac:dyDescent="0.25">
      <c r="A58" s="47">
        <f t="shared" si="27"/>
        <v>37015</v>
      </c>
      <c r="B58" s="48">
        <v>18</v>
      </c>
      <c r="C58" s="49">
        <f>INDEX(RtMw,C68+17,0)</f>
        <v>5</v>
      </c>
      <c r="D58" s="50">
        <f>INDEX(RTPrice,C68+17,0)</f>
        <v>65</v>
      </c>
      <c r="E58" s="51">
        <f t="shared" si="28"/>
        <v>4.78</v>
      </c>
      <c r="F58" s="51">
        <f t="shared" si="29"/>
        <v>4.78</v>
      </c>
      <c r="G58" s="52">
        <f t="shared" si="30"/>
        <v>59.14</v>
      </c>
      <c r="H58" s="53">
        <f t="shared" si="20"/>
        <v>-5.8599999999999994</v>
      </c>
      <c r="I58" s="54">
        <f t="shared" si="21"/>
        <v>-29.299999999999997</v>
      </c>
      <c r="J58" s="62">
        <f t="shared" si="37"/>
        <v>-2.3439999999999999</v>
      </c>
      <c r="K58" s="63">
        <f t="shared" si="36"/>
        <v>-3.5159999999999996</v>
      </c>
      <c r="L58" s="64">
        <f t="shared" si="38"/>
        <v>-11.719999999999999</v>
      </c>
      <c r="M58" s="56">
        <f t="shared" si="31"/>
        <v>-17.579999999999998</v>
      </c>
      <c r="N58" s="57">
        <f t="shared" si="32"/>
        <v>65</v>
      </c>
      <c r="O58" s="58"/>
      <c r="P58" s="43">
        <f t="shared" si="33"/>
        <v>325</v>
      </c>
      <c r="Q58" s="59">
        <f t="shared" si="26"/>
        <v>0</v>
      </c>
      <c r="R58" s="43"/>
      <c r="S58" s="60">
        <f t="shared" si="34"/>
        <v>-11.719999999999999</v>
      </c>
      <c r="T58" s="61">
        <f t="shared" si="35"/>
        <v>-17.579999999999998</v>
      </c>
      <c r="U58" s="46"/>
    </row>
    <row r="59" spans="1:21" x14ac:dyDescent="0.25">
      <c r="A59" s="47">
        <f t="shared" si="27"/>
        <v>37015</v>
      </c>
      <c r="B59" s="48">
        <v>19</v>
      </c>
      <c r="C59" s="49">
        <f>INDEX(RtMw,C68+18,0)</f>
        <v>5</v>
      </c>
      <c r="D59" s="50">
        <f>INDEX(RTPrice,C68+18,0)</f>
        <v>65</v>
      </c>
      <c r="E59" s="51">
        <f t="shared" si="28"/>
        <v>4.78</v>
      </c>
      <c r="F59" s="51">
        <f t="shared" si="29"/>
        <v>4.78</v>
      </c>
      <c r="G59" s="52">
        <f t="shared" si="30"/>
        <v>59.14</v>
      </c>
      <c r="H59" s="53">
        <f t="shared" si="20"/>
        <v>-5.8599999999999994</v>
      </c>
      <c r="I59" s="54">
        <f t="shared" si="21"/>
        <v>-29.299999999999997</v>
      </c>
      <c r="J59" s="62">
        <f t="shared" si="37"/>
        <v>-2.3439999999999999</v>
      </c>
      <c r="K59" s="63">
        <f t="shared" si="36"/>
        <v>-3.5159999999999996</v>
      </c>
      <c r="L59" s="64">
        <f t="shared" si="38"/>
        <v>-11.719999999999999</v>
      </c>
      <c r="M59" s="56">
        <f t="shared" si="31"/>
        <v>-17.579999999999998</v>
      </c>
      <c r="N59" s="57">
        <f t="shared" si="32"/>
        <v>65</v>
      </c>
      <c r="O59" s="58"/>
      <c r="P59" s="43">
        <f t="shared" si="33"/>
        <v>325</v>
      </c>
      <c r="Q59" s="59">
        <f t="shared" si="26"/>
        <v>0</v>
      </c>
      <c r="R59" s="43"/>
      <c r="S59" s="60">
        <f t="shared" si="34"/>
        <v>-11.719999999999999</v>
      </c>
      <c r="T59" s="61">
        <f t="shared" si="35"/>
        <v>-17.579999999999998</v>
      </c>
      <c r="U59" s="46"/>
    </row>
    <row r="60" spans="1:21" x14ac:dyDescent="0.25">
      <c r="A60" s="47">
        <f t="shared" si="27"/>
        <v>37015</v>
      </c>
      <c r="B60" s="48">
        <v>20</v>
      </c>
      <c r="C60" s="49">
        <f>INDEX(RtMw,C68+19,0)</f>
        <v>5</v>
      </c>
      <c r="D60" s="50">
        <f>INDEX(RTPrice,C68+19,0)</f>
        <v>65</v>
      </c>
      <c r="E60" s="51">
        <f t="shared" si="28"/>
        <v>4.78</v>
      </c>
      <c r="F60" s="51">
        <f t="shared" si="29"/>
        <v>4.78</v>
      </c>
      <c r="G60" s="52">
        <f t="shared" si="30"/>
        <v>59.14</v>
      </c>
      <c r="H60" s="53">
        <f t="shared" si="20"/>
        <v>-5.8599999999999994</v>
      </c>
      <c r="I60" s="54">
        <f t="shared" si="21"/>
        <v>-29.299999999999997</v>
      </c>
      <c r="J60" s="62">
        <f t="shared" si="37"/>
        <v>-2.3439999999999999</v>
      </c>
      <c r="K60" s="63">
        <f t="shared" si="36"/>
        <v>-3.5159999999999996</v>
      </c>
      <c r="L60" s="64">
        <f t="shared" si="38"/>
        <v>-11.719999999999999</v>
      </c>
      <c r="M60" s="56">
        <f t="shared" si="31"/>
        <v>-17.579999999999998</v>
      </c>
      <c r="N60" s="57">
        <f t="shared" si="32"/>
        <v>65</v>
      </c>
      <c r="O60" s="58"/>
      <c r="P60" s="43">
        <f t="shared" si="33"/>
        <v>325</v>
      </c>
      <c r="Q60" s="59">
        <f t="shared" si="26"/>
        <v>0</v>
      </c>
      <c r="R60" s="43"/>
      <c r="S60" s="60">
        <f t="shared" si="34"/>
        <v>-11.719999999999999</v>
      </c>
      <c r="T60" s="61">
        <f t="shared" si="35"/>
        <v>-17.579999999999998</v>
      </c>
      <c r="U60" s="46"/>
    </row>
    <row r="61" spans="1:21" x14ac:dyDescent="0.25">
      <c r="A61" s="47">
        <f t="shared" si="27"/>
        <v>37015</v>
      </c>
      <c r="B61" s="48">
        <v>21</v>
      </c>
      <c r="C61" s="49">
        <f>INDEX(RtMw,C68+20,0)</f>
        <v>5</v>
      </c>
      <c r="D61" s="50">
        <f>INDEX(RTPrice,C68+20,0)</f>
        <v>65</v>
      </c>
      <c r="E61" s="51">
        <f t="shared" si="28"/>
        <v>4.78</v>
      </c>
      <c r="F61" s="51">
        <f t="shared" si="29"/>
        <v>4.78</v>
      </c>
      <c r="G61" s="52">
        <f t="shared" si="30"/>
        <v>59.14</v>
      </c>
      <c r="H61" s="53">
        <f t="shared" si="20"/>
        <v>-5.8599999999999994</v>
      </c>
      <c r="I61" s="54">
        <f t="shared" si="21"/>
        <v>-29.299999999999997</v>
      </c>
      <c r="J61" s="62">
        <f t="shared" si="37"/>
        <v>-2.3439999999999999</v>
      </c>
      <c r="K61" s="63">
        <f t="shared" si="36"/>
        <v>-3.5159999999999996</v>
      </c>
      <c r="L61" s="64">
        <f t="shared" si="38"/>
        <v>-11.719999999999999</v>
      </c>
      <c r="M61" s="56">
        <f t="shared" si="31"/>
        <v>-17.579999999999998</v>
      </c>
      <c r="N61" s="57">
        <f t="shared" si="32"/>
        <v>65</v>
      </c>
      <c r="O61" s="58"/>
      <c r="P61" s="43">
        <f t="shared" si="33"/>
        <v>325</v>
      </c>
      <c r="Q61" s="59">
        <f t="shared" si="26"/>
        <v>0</v>
      </c>
      <c r="R61" s="43"/>
      <c r="S61" s="60">
        <f t="shared" si="34"/>
        <v>-11.719999999999999</v>
      </c>
      <c r="T61" s="61">
        <f t="shared" si="35"/>
        <v>-17.579999999999998</v>
      </c>
      <c r="U61" s="46"/>
    </row>
    <row r="62" spans="1:21" x14ac:dyDescent="0.25">
      <c r="A62" s="47">
        <f t="shared" si="27"/>
        <v>37015</v>
      </c>
      <c r="B62" s="48">
        <v>22</v>
      </c>
      <c r="C62" s="49">
        <f>INDEX(RtMw,C68+21,0)</f>
        <v>5</v>
      </c>
      <c r="D62" s="50">
        <f>INDEX(RTPrice,C68+21,0)</f>
        <v>65</v>
      </c>
      <c r="E62" s="51">
        <f t="shared" si="28"/>
        <v>4.78</v>
      </c>
      <c r="F62" s="51">
        <f t="shared" si="29"/>
        <v>4.78</v>
      </c>
      <c r="G62" s="52">
        <f t="shared" si="30"/>
        <v>59.14</v>
      </c>
      <c r="H62" s="53">
        <f t="shared" si="20"/>
        <v>-5.8599999999999994</v>
      </c>
      <c r="I62" s="54">
        <f t="shared" si="21"/>
        <v>-29.299999999999997</v>
      </c>
      <c r="J62" s="62">
        <f t="shared" si="37"/>
        <v>-2.3439999999999999</v>
      </c>
      <c r="K62" s="63">
        <f t="shared" si="36"/>
        <v>-3.5159999999999996</v>
      </c>
      <c r="L62" s="64">
        <f t="shared" si="38"/>
        <v>-11.719999999999999</v>
      </c>
      <c r="M62" s="56">
        <f t="shared" si="31"/>
        <v>-17.579999999999998</v>
      </c>
      <c r="N62" s="57">
        <f t="shared" si="32"/>
        <v>65</v>
      </c>
      <c r="O62" s="58"/>
      <c r="P62" s="43">
        <f t="shared" si="33"/>
        <v>325</v>
      </c>
      <c r="Q62" s="59">
        <f t="shared" si="26"/>
        <v>0</v>
      </c>
      <c r="R62" s="43"/>
      <c r="S62" s="60">
        <f t="shared" si="34"/>
        <v>-11.719999999999999</v>
      </c>
      <c r="T62" s="61">
        <f t="shared" si="35"/>
        <v>-17.579999999999998</v>
      </c>
      <c r="U62" s="46"/>
    </row>
    <row r="63" spans="1:21" x14ac:dyDescent="0.25">
      <c r="A63" s="47">
        <f t="shared" si="27"/>
        <v>37015</v>
      </c>
      <c r="B63" s="48">
        <v>23</v>
      </c>
      <c r="C63" s="49">
        <f>INDEX(RtMw,C68+22,0)</f>
        <v>0</v>
      </c>
      <c r="D63" s="50">
        <f>INDEX(RTPrice,C68+22,0)</f>
        <v>0</v>
      </c>
      <c r="E63" s="51">
        <f t="shared" si="28"/>
        <v>4.78</v>
      </c>
      <c r="F63" s="51">
        <f t="shared" si="29"/>
        <v>4.78</v>
      </c>
      <c r="G63" s="52">
        <f t="shared" si="30"/>
        <v>59.14</v>
      </c>
      <c r="H63" s="53" t="str">
        <f t="shared" si="20"/>
        <v/>
      </c>
      <c r="I63" s="54" t="str">
        <f t="shared" si="21"/>
        <v/>
      </c>
      <c r="J63" s="55" t="str">
        <f>IF(C63=0,"",1)</f>
        <v/>
      </c>
      <c r="K63" s="43" t="str">
        <f>IF(C63=0,"",G63-(D63+1))</f>
        <v/>
      </c>
      <c r="L63" s="43" t="str">
        <f>IF(C63=0,"",C63*J63)</f>
        <v/>
      </c>
      <c r="M63" s="56" t="str">
        <f t="shared" si="31"/>
        <v/>
      </c>
      <c r="N63" s="57" t="str">
        <f t="shared" si="32"/>
        <v/>
      </c>
      <c r="O63" s="58" t="str">
        <f>IF(C63=0,"",D63+1)</f>
        <v/>
      </c>
      <c r="P63" s="43" t="str">
        <f t="shared" si="33"/>
        <v/>
      </c>
      <c r="Q63" s="59" t="str">
        <f t="shared" si="26"/>
        <v/>
      </c>
      <c r="R63" s="43"/>
      <c r="S63" s="60" t="str">
        <f t="shared" si="34"/>
        <v/>
      </c>
      <c r="T63" s="61" t="str">
        <f t="shared" si="35"/>
        <v/>
      </c>
      <c r="U63" s="46"/>
    </row>
    <row r="64" spans="1:21" x14ac:dyDescent="0.25">
      <c r="A64" s="65">
        <f t="shared" si="27"/>
        <v>37015</v>
      </c>
      <c r="B64" s="66">
        <v>24</v>
      </c>
      <c r="C64" s="67">
        <f>INDEX(RtMw,C68+23,0)</f>
        <v>0</v>
      </c>
      <c r="D64" s="68">
        <f>INDEX(RTPrice,C68+23,0)</f>
        <v>0</v>
      </c>
      <c r="E64" s="69">
        <f t="shared" si="28"/>
        <v>4.78</v>
      </c>
      <c r="F64" s="69">
        <f>VLOOKUP(A64,Gas,5,FALSE)</f>
        <v>4.78</v>
      </c>
      <c r="G64" s="70">
        <f t="shared" si="30"/>
        <v>59.14</v>
      </c>
      <c r="H64" s="71" t="str">
        <f t="shared" si="20"/>
        <v/>
      </c>
      <c r="I64" s="72" t="str">
        <f t="shared" si="21"/>
        <v/>
      </c>
      <c r="J64" s="73" t="str">
        <f>IF(C64=0,"",1)</f>
        <v/>
      </c>
      <c r="K64" s="74" t="str">
        <f>IF(C64=0,"",G64-(D64+1))</f>
        <v/>
      </c>
      <c r="L64" s="74" t="str">
        <f>IF(C64=0,"",C64*J64)</f>
        <v/>
      </c>
      <c r="M64" s="75" t="str">
        <f t="shared" si="31"/>
        <v/>
      </c>
      <c r="N64" s="76" t="str">
        <f t="shared" si="32"/>
        <v/>
      </c>
      <c r="O64" s="77" t="str">
        <f>IF(C64=0,"",D64+1)</f>
        <v/>
      </c>
      <c r="P64" s="74" t="str">
        <f t="shared" si="33"/>
        <v/>
      </c>
      <c r="Q64" s="78" t="str">
        <f t="shared" si="26"/>
        <v/>
      </c>
      <c r="R64" s="43"/>
      <c r="S64" s="79" t="str">
        <f t="shared" si="34"/>
        <v/>
      </c>
      <c r="T64" s="80" t="str">
        <f t="shared" si="35"/>
        <v/>
      </c>
      <c r="U64" s="46"/>
    </row>
    <row r="66" spans="2:17" x14ac:dyDescent="0.25">
      <c r="Q66" s="82">
        <f>SUM(Q41:Q65)</f>
        <v>1392.44</v>
      </c>
    </row>
    <row r="68" spans="2:17" hidden="1" x14ac:dyDescent="0.25">
      <c r="B68" t="s">
        <v>33</v>
      </c>
      <c r="C68">
        <f>MATCH(C2,RTDate,0)</f>
        <v>73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1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C10" sqref="C10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1.88671875" customWidth="1"/>
    <col min="4" max="4" width="24" style="1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1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88">
        <v>37016</v>
      </c>
      <c r="D2" s="4"/>
    </row>
    <row r="3" spans="1:22" s="5" customFormat="1" x14ac:dyDescent="0.25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f>$C$2</f>
        <v>37016</v>
      </c>
      <c r="B7" s="30">
        <v>1</v>
      </c>
      <c r="C7" s="31">
        <f>INDEX(DaMw,C34,0)</f>
        <v>25</v>
      </c>
      <c r="D7" s="90">
        <f>INDEX(DaPrice,C34,0)</f>
        <v>18</v>
      </c>
      <c r="E7" s="33">
        <f>VLOOKUP(A7,Gas,4,FALSE)</f>
        <v>4.6399999999999997</v>
      </c>
      <c r="F7" s="33">
        <f>VLOOKUP(A7,Gas,5,FALSE)</f>
        <v>4.6399999999999997</v>
      </c>
      <c r="G7" s="34">
        <f>VLOOKUP(A7,Bogey,2,FALSE)</f>
        <v>59.38</v>
      </c>
      <c r="H7" s="35">
        <f t="shared" ref="H7:H30" si="0">IF(C7&gt;0,G7-D7,"")</f>
        <v>41.38</v>
      </c>
      <c r="I7" s="36">
        <f t="shared" ref="I7:I30" si="1">IF(C7&gt;0,H7*ABS(C7),"")</f>
        <v>1034.5</v>
      </c>
      <c r="J7" s="37">
        <f t="shared" ref="J7:J12" si="2">IF(C7=0,"",1)</f>
        <v>1</v>
      </c>
      <c r="K7" s="38">
        <f t="shared" ref="K7:K12" si="3">IF(C7=0,"",G7-(D7+1))</f>
        <v>40.380000000000003</v>
      </c>
      <c r="L7" s="38">
        <f t="shared" ref="L7:L12" si="4">IF(C7=0,"",C7*J7)</f>
        <v>25</v>
      </c>
      <c r="M7" s="39">
        <f>IF(C7=0,"",C7*K7)</f>
        <v>1009.5000000000001</v>
      </c>
      <c r="N7" s="40">
        <f>IF(C7=0,"",D7)</f>
        <v>18</v>
      </c>
      <c r="O7" s="41">
        <f t="shared" ref="O7:O12" si="5">IF(C7=0,"",D7+1)</f>
        <v>19</v>
      </c>
      <c r="P7" s="38">
        <f>IF(C7=0,"",N7*C7)</f>
        <v>450</v>
      </c>
      <c r="Q7" s="42">
        <f t="shared" ref="Q7:Q30" si="6">IF(C7=0,"",O7*C7)</f>
        <v>475</v>
      </c>
      <c r="R7" s="43"/>
      <c r="S7" s="44">
        <f>IF(C7=0,"",L7)</f>
        <v>25</v>
      </c>
      <c r="T7" s="45">
        <f>IF(C7=0,"",M7)</f>
        <v>1009.5000000000001</v>
      </c>
      <c r="U7" s="46"/>
    </row>
    <row r="8" spans="1:22" x14ac:dyDescent="0.25">
      <c r="A8" s="47">
        <f t="shared" ref="A8:A30" si="7">$C$2</f>
        <v>37016</v>
      </c>
      <c r="B8" s="48">
        <v>2</v>
      </c>
      <c r="C8" s="49">
        <f>INDEX(DaMw,C34+1,0)</f>
        <v>25</v>
      </c>
      <c r="D8" s="91">
        <f>INDEX(DaPrice,C34+1,0)</f>
        <v>18</v>
      </c>
      <c r="E8" s="51">
        <f t="shared" ref="E8:E30" si="8">VLOOKUP(A8,Gas,4,FALSE)</f>
        <v>4.6399999999999997</v>
      </c>
      <c r="F8" s="51">
        <f t="shared" ref="F8:F29" si="9">VLOOKUP(A8,Gas,5,FALSE)</f>
        <v>4.6399999999999997</v>
      </c>
      <c r="G8" s="52">
        <f t="shared" ref="G8:G30" si="10">VLOOKUP(A8,Bogey,2,FALSE)</f>
        <v>59.38</v>
      </c>
      <c r="H8" s="53">
        <f t="shared" si="0"/>
        <v>41.38</v>
      </c>
      <c r="I8" s="54">
        <f t="shared" si="1"/>
        <v>1034.5</v>
      </c>
      <c r="J8" s="55">
        <f t="shared" si="2"/>
        <v>1</v>
      </c>
      <c r="K8" s="43">
        <f t="shared" si="3"/>
        <v>40.380000000000003</v>
      </c>
      <c r="L8" s="43">
        <f t="shared" si="4"/>
        <v>25</v>
      </c>
      <c r="M8" s="56">
        <f t="shared" ref="M8:M30" si="11">IF(C8=0,"",C8*K8)</f>
        <v>1009.5000000000001</v>
      </c>
      <c r="N8" s="57">
        <f t="shared" ref="N8:N30" si="12">IF(C8=0,"",D8)</f>
        <v>18</v>
      </c>
      <c r="O8" s="58">
        <f t="shared" si="5"/>
        <v>19</v>
      </c>
      <c r="P8" s="43">
        <f t="shared" ref="P8:P30" si="13">IF(C8=0,"",N8*C8)</f>
        <v>450</v>
      </c>
      <c r="Q8" s="59">
        <f t="shared" si="6"/>
        <v>475</v>
      </c>
      <c r="R8" s="43"/>
      <c r="S8" s="60">
        <f t="shared" ref="S8:S30" si="14">IF(C8=0,"",L8)</f>
        <v>25</v>
      </c>
      <c r="T8" s="61">
        <f t="shared" ref="T8:T30" si="15">IF(C8=0,"",M8)</f>
        <v>1009.5000000000001</v>
      </c>
      <c r="U8" s="46"/>
    </row>
    <row r="9" spans="1:22" x14ac:dyDescent="0.25">
      <c r="A9" s="47">
        <f t="shared" si="7"/>
        <v>37016</v>
      </c>
      <c r="B9" s="48">
        <v>3</v>
      </c>
      <c r="C9" s="49">
        <f>INDEX(DaMw,C34+2,0)</f>
        <v>25</v>
      </c>
      <c r="D9" s="91">
        <f>INDEX(DaPrice,C34+2,0)</f>
        <v>18</v>
      </c>
      <c r="E9" s="51">
        <f t="shared" si="8"/>
        <v>4.6399999999999997</v>
      </c>
      <c r="F9" s="51">
        <f t="shared" si="9"/>
        <v>4.6399999999999997</v>
      </c>
      <c r="G9" s="52">
        <f t="shared" si="10"/>
        <v>59.38</v>
      </c>
      <c r="H9" s="53">
        <f t="shared" si="0"/>
        <v>41.38</v>
      </c>
      <c r="I9" s="54">
        <f t="shared" si="1"/>
        <v>1034.5</v>
      </c>
      <c r="J9" s="55">
        <f t="shared" si="2"/>
        <v>1</v>
      </c>
      <c r="K9" s="43">
        <f t="shared" si="3"/>
        <v>40.380000000000003</v>
      </c>
      <c r="L9" s="43">
        <f t="shared" si="4"/>
        <v>25</v>
      </c>
      <c r="M9" s="56">
        <f t="shared" si="11"/>
        <v>1009.5000000000001</v>
      </c>
      <c r="N9" s="57">
        <f t="shared" si="12"/>
        <v>18</v>
      </c>
      <c r="O9" s="58">
        <f t="shared" si="5"/>
        <v>19</v>
      </c>
      <c r="P9" s="43">
        <f t="shared" si="13"/>
        <v>450</v>
      </c>
      <c r="Q9" s="59">
        <f t="shared" si="6"/>
        <v>475</v>
      </c>
      <c r="R9" s="43"/>
      <c r="S9" s="60">
        <f t="shared" si="14"/>
        <v>25</v>
      </c>
      <c r="T9" s="61">
        <f t="shared" si="15"/>
        <v>1009.5000000000001</v>
      </c>
      <c r="U9" s="46"/>
    </row>
    <row r="10" spans="1:22" x14ac:dyDescent="0.25">
      <c r="A10" s="47">
        <f t="shared" si="7"/>
        <v>37016</v>
      </c>
      <c r="B10" s="48">
        <v>4</v>
      </c>
      <c r="C10" s="49">
        <f>INDEX(DaMw,C34+3,0)</f>
        <v>25</v>
      </c>
      <c r="D10" s="91">
        <f>INDEX(DaPrice,C34+3,0)</f>
        <v>18</v>
      </c>
      <c r="E10" s="51">
        <f t="shared" si="8"/>
        <v>4.6399999999999997</v>
      </c>
      <c r="F10" s="51">
        <f t="shared" si="9"/>
        <v>4.6399999999999997</v>
      </c>
      <c r="G10" s="52">
        <f t="shared" si="10"/>
        <v>59.38</v>
      </c>
      <c r="H10" s="53">
        <f t="shared" si="0"/>
        <v>41.38</v>
      </c>
      <c r="I10" s="54">
        <f t="shared" si="1"/>
        <v>1034.5</v>
      </c>
      <c r="J10" s="55">
        <f t="shared" si="2"/>
        <v>1</v>
      </c>
      <c r="K10" s="43">
        <f t="shared" si="3"/>
        <v>40.380000000000003</v>
      </c>
      <c r="L10" s="43">
        <f t="shared" si="4"/>
        <v>25</v>
      </c>
      <c r="M10" s="56">
        <f t="shared" si="11"/>
        <v>1009.5000000000001</v>
      </c>
      <c r="N10" s="57">
        <f t="shared" si="12"/>
        <v>18</v>
      </c>
      <c r="O10" s="58">
        <f t="shared" si="5"/>
        <v>19</v>
      </c>
      <c r="P10" s="43">
        <f t="shared" si="13"/>
        <v>450</v>
      </c>
      <c r="Q10" s="59">
        <f t="shared" si="6"/>
        <v>475</v>
      </c>
      <c r="R10" s="43"/>
      <c r="S10" s="60">
        <f t="shared" si="14"/>
        <v>25</v>
      </c>
      <c r="T10" s="61">
        <f t="shared" si="15"/>
        <v>1009.5000000000001</v>
      </c>
      <c r="U10" s="46"/>
    </row>
    <row r="11" spans="1:22" x14ac:dyDescent="0.25">
      <c r="A11" s="47">
        <f t="shared" si="7"/>
        <v>37016</v>
      </c>
      <c r="B11" s="48">
        <v>5</v>
      </c>
      <c r="C11" s="49">
        <f>INDEX(DaMw,C34+4,0)</f>
        <v>25</v>
      </c>
      <c r="D11" s="91">
        <f>INDEX(DaPrice,C34+4,0)</f>
        <v>18</v>
      </c>
      <c r="E11" s="51">
        <f t="shared" si="8"/>
        <v>4.6399999999999997</v>
      </c>
      <c r="F11" s="51">
        <f t="shared" si="9"/>
        <v>4.6399999999999997</v>
      </c>
      <c r="G11" s="52">
        <f t="shared" si="10"/>
        <v>59.38</v>
      </c>
      <c r="H11" s="53">
        <f t="shared" si="0"/>
        <v>41.38</v>
      </c>
      <c r="I11" s="54">
        <f t="shared" si="1"/>
        <v>1034.5</v>
      </c>
      <c r="J11" s="55">
        <f t="shared" si="2"/>
        <v>1</v>
      </c>
      <c r="K11" s="43">
        <f t="shared" si="3"/>
        <v>40.380000000000003</v>
      </c>
      <c r="L11" s="43">
        <f t="shared" si="4"/>
        <v>25</v>
      </c>
      <c r="M11" s="56">
        <f t="shared" si="11"/>
        <v>1009.5000000000001</v>
      </c>
      <c r="N11" s="57">
        <f t="shared" si="12"/>
        <v>18</v>
      </c>
      <c r="O11" s="58">
        <f t="shared" si="5"/>
        <v>19</v>
      </c>
      <c r="P11" s="43">
        <f t="shared" si="13"/>
        <v>450</v>
      </c>
      <c r="Q11" s="59">
        <f t="shared" si="6"/>
        <v>475</v>
      </c>
      <c r="R11" s="43"/>
      <c r="S11" s="60">
        <f t="shared" si="14"/>
        <v>25</v>
      </c>
      <c r="T11" s="61">
        <f t="shared" si="15"/>
        <v>1009.5000000000001</v>
      </c>
      <c r="U11" s="46"/>
    </row>
    <row r="12" spans="1:22" x14ac:dyDescent="0.25">
      <c r="A12" s="47">
        <f t="shared" si="7"/>
        <v>37016</v>
      </c>
      <c r="B12" s="48">
        <v>6</v>
      </c>
      <c r="C12" s="49">
        <f>INDEX(DaMw,C34+5,0)</f>
        <v>25</v>
      </c>
      <c r="D12" s="91">
        <f>INDEX(DaPrice,C34+5,0)</f>
        <v>18</v>
      </c>
      <c r="E12" s="51">
        <f t="shared" si="8"/>
        <v>4.6399999999999997</v>
      </c>
      <c r="F12" s="51">
        <f t="shared" si="9"/>
        <v>4.6399999999999997</v>
      </c>
      <c r="G12" s="52">
        <f t="shared" si="10"/>
        <v>59.38</v>
      </c>
      <c r="H12" s="53">
        <f t="shared" si="0"/>
        <v>41.38</v>
      </c>
      <c r="I12" s="54">
        <f t="shared" si="1"/>
        <v>1034.5</v>
      </c>
      <c r="J12" s="55">
        <f t="shared" si="2"/>
        <v>1</v>
      </c>
      <c r="K12" s="43">
        <f t="shared" si="3"/>
        <v>40.380000000000003</v>
      </c>
      <c r="L12" s="43">
        <f t="shared" si="4"/>
        <v>25</v>
      </c>
      <c r="M12" s="56">
        <f t="shared" si="11"/>
        <v>1009.5000000000001</v>
      </c>
      <c r="N12" s="57">
        <f t="shared" si="12"/>
        <v>18</v>
      </c>
      <c r="O12" s="58">
        <f t="shared" si="5"/>
        <v>19</v>
      </c>
      <c r="P12" s="43">
        <f t="shared" si="13"/>
        <v>450</v>
      </c>
      <c r="Q12" s="59">
        <f t="shared" si="6"/>
        <v>475</v>
      </c>
      <c r="R12" s="43"/>
      <c r="S12" s="60">
        <f t="shared" si="14"/>
        <v>25</v>
      </c>
      <c r="T12" s="61">
        <f t="shared" si="15"/>
        <v>1009.5000000000001</v>
      </c>
      <c r="U12" s="46"/>
    </row>
    <row r="13" spans="1:22" x14ac:dyDescent="0.25">
      <c r="A13" s="47">
        <f t="shared" si="7"/>
        <v>37016</v>
      </c>
      <c r="B13" s="48">
        <v>7</v>
      </c>
      <c r="C13" s="49">
        <f>INDEX(DaMw,C34+6,0)</f>
        <v>18.10378828438607</v>
      </c>
      <c r="D13" s="91">
        <f>INDEX(DaPrice,C34+6,0)</f>
        <v>34.5</v>
      </c>
      <c r="E13" s="51">
        <f t="shared" si="8"/>
        <v>4.6399999999999997</v>
      </c>
      <c r="F13" s="51">
        <f t="shared" si="9"/>
        <v>4.6399999999999997</v>
      </c>
      <c r="G13" s="52">
        <f t="shared" si="10"/>
        <v>59.38</v>
      </c>
      <c r="H13" s="53">
        <f t="shared" si="0"/>
        <v>24.880000000000003</v>
      </c>
      <c r="I13" s="54">
        <f t="shared" si="1"/>
        <v>450.42225251552549</v>
      </c>
      <c r="J13" s="62">
        <f>IF($C13=0,"",$H13*0.4)</f>
        <v>9.9520000000000017</v>
      </c>
      <c r="K13" s="63">
        <f t="shared" ref="K13:K28" si="16">IF($C13=0,"",$H13*0.6)</f>
        <v>14.928000000000001</v>
      </c>
      <c r="L13" s="64">
        <f>IF(C13=0,"",J13*$C13)</f>
        <v>180.16890100621021</v>
      </c>
      <c r="M13" s="56">
        <f t="shared" si="11"/>
        <v>270.25335150931528</v>
      </c>
      <c r="N13" s="57">
        <f t="shared" si="12"/>
        <v>34.5</v>
      </c>
      <c r="O13" s="58">
        <f>IF(C13=0,"",D13+J13)</f>
        <v>44.451999999999998</v>
      </c>
      <c r="P13" s="43">
        <f t="shared" si="13"/>
        <v>624.5806958113194</v>
      </c>
      <c r="Q13" s="59">
        <f t="shared" si="6"/>
        <v>804.74959681752955</v>
      </c>
      <c r="R13" s="43"/>
      <c r="S13" s="60">
        <f t="shared" si="14"/>
        <v>180.16890100621021</v>
      </c>
      <c r="T13" s="61">
        <f t="shared" si="15"/>
        <v>270.25335150931528</v>
      </c>
      <c r="U13" s="46"/>
    </row>
    <row r="14" spans="1:22" x14ac:dyDescent="0.25">
      <c r="A14" s="47">
        <f t="shared" si="7"/>
        <v>37016</v>
      </c>
      <c r="B14" s="48">
        <v>8</v>
      </c>
      <c r="C14" s="49">
        <f>INDEX(DaMw,C34+7,0)</f>
        <v>19.565131057283001</v>
      </c>
      <c r="D14" s="91">
        <f>INDEX(DaPrice,C34+7,0)</f>
        <v>34.5</v>
      </c>
      <c r="E14" s="51">
        <f t="shared" si="8"/>
        <v>4.6399999999999997</v>
      </c>
      <c r="F14" s="51">
        <f t="shared" si="9"/>
        <v>4.6399999999999997</v>
      </c>
      <c r="G14" s="52">
        <f t="shared" si="10"/>
        <v>59.38</v>
      </c>
      <c r="H14" s="53">
        <f t="shared" si="0"/>
        <v>24.880000000000003</v>
      </c>
      <c r="I14" s="54">
        <f t="shared" si="1"/>
        <v>486.78046070520111</v>
      </c>
      <c r="J14" s="62">
        <f t="shared" ref="J14:J28" si="17">IF($C14=0,"",$H14*0.4)</f>
        <v>9.9520000000000017</v>
      </c>
      <c r="K14" s="63">
        <f t="shared" si="16"/>
        <v>14.928000000000001</v>
      </c>
      <c r="L14" s="64">
        <f t="shared" ref="L14:L28" si="18">IF(C14=0,"",J14*$C14)</f>
        <v>194.71218428208044</v>
      </c>
      <c r="M14" s="56">
        <f t="shared" si="11"/>
        <v>292.06827642312066</v>
      </c>
      <c r="N14" s="57">
        <f t="shared" si="12"/>
        <v>34.5</v>
      </c>
      <c r="O14" s="58">
        <f t="shared" ref="O14:O28" si="19">IF(C14=0,"",D14+J14)</f>
        <v>44.451999999999998</v>
      </c>
      <c r="P14" s="43">
        <f t="shared" si="13"/>
        <v>674.99702147626351</v>
      </c>
      <c r="Q14" s="59">
        <f t="shared" si="6"/>
        <v>869.70920575834396</v>
      </c>
      <c r="R14" s="43"/>
      <c r="S14" s="60">
        <f t="shared" si="14"/>
        <v>194.71218428208044</v>
      </c>
      <c r="T14" s="61">
        <f t="shared" si="15"/>
        <v>292.06827642312066</v>
      </c>
      <c r="U14" s="46"/>
    </row>
    <row r="15" spans="1:22" x14ac:dyDescent="0.25">
      <c r="A15" s="47">
        <f t="shared" si="7"/>
        <v>37016</v>
      </c>
      <c r="B15" s="48">
        <v>9</v>
      </c>
      <c r="C15" s="49">
        <f>INDEX(DaMw,C34+8,0)</f>
        <v>22.172473261399801</v>
      </c>
      <c r="D15" s="91">
        <f>INDEX(DaPrice,C34+8,0)</f>
        <v>34.5</v>
      </c>
      <c r="E15" s="51">
        <f t="shared" si="8"/>
        <v>4.6399999999999997</v>
      </c>
      <c r="F15" s="51">
        <f t="shared" si="9"/>
        <v>4.6399999999999997</v>
      </c>
      <c r="G15" s="52">
        <f t="shared" si="10"/>
        <v>59.38</v>
      </c>
      <c r="H15" s="53">
        <f t="shared" si="0"/>
        <v>24.880000000000003</v>
      </c>
      <c r="I15" s="54">
        <f t="shared" si="1"/>
        <v>551.65113474362715</v>
      </c>
      <c r="J15" s="62">
        <f t="shared" si="17"/>
        <v>9.9520000000000017</v>
      </c>
      <c r="K15" s="63">
        <f t="shared" si="16"/>
        <v>14.928000000000001</v>
      </c>
      <c r="L15" s="64">
        <f t="shared" si="18"/>
        <v>220.66045389745085</v>
      </c>
      <c r="M15" s="56">
        <f t="shared" si="11"/>
        <v>330.99068084617625</v>
      </c>
      <c r="N15" s="57">
        <f t="shared" si="12"/>
        <v>34.5</v>
      </c>
      <c r="O15" s="58">
        <f t="shared" si="19"/>
        <v>44.451999999999998</v>
      </c>
      <c r="P15" s="43">
        <f t="shared" si="13"/>
        <v>764.95032751829319</v>
      </c>
      <c r="Q15" s="59">
        <f t="shared" si="6"/>
        <v>985.61078141574399</v>
      </c>
      <c r="R15" s="43"/>
      <c r="S15" s="60">
        <f t="shared" si="14"/>
        <v>220.66045389745085</v>
      </c>
      <c r="T15" s="61">
        <f t="shared" si="15"/>
        <v>330.99068084617625</v>
      </c>
      <c r="U15" s="46"/>
    </row>
    <row r="16" spans="1:22" x14ac:dyDescent="0.25">
      <c r="A16" s="47">
        <f t="shared" si="7"/>
        <v>37016</v>
      </c>
      <c r="B16" s="48">
        <v>10</v>
      </c>
      <c r="C16" s="49">
        <f>INDEX(DaMw,C34+9,0)</f>
        <v>25.397437209377898</v>
      </c>
      <c r="D16" s="91">
        <f>INDEX(DaPrice,C34+9,0)</f>
        <v>34.5</v>
      </c>
      <c r="E16" s="51">
        <f t="shared" si="8"/>
        <v>4.6399999999999997</v>
      </c>
      <c r="F16" s="51">
        <f t="shared" si="9"/>
        <v>4.6399999999999997</v>
      </c>
      <c r="G16" s="52">
        <f t="shared" si="10"/>
        <v>59.38</v>
      </c>
      <c r="H16" s="53">
        <f t="shared" si="0"/>
        <v>24.880000000000003</v>
      </c>
      <c r="I16" s="54">
        <f t="shared" si="1"/>
        <v>631.88823776932213</v>
      </c>
      <c r="J16" s="62">
        <f t="shared" si="17"/>
        <v>9.9520000000000017</v>
      </c>
      <c r="K16" s="63">
        <f t="shared" si="16"/>
        <v>14.928000000000001</v>
      </c>
      <c r="L16" s="64">
        <f t="shared" si="18"/>
        <v>252.7552951077289</v>
      </c>
      <c r="M16" s="56">
        <f t="shared" si="11"/>
        <v>379.13294266159329</v>
      </c>
      <c r="N16" s="57">
        <f t="shared" si="12"/>
        <v>34.5</v>
      </c>
      <c r="O16" s="58">
        <f t="shared" si="19"/>
        <v>44.451999999999998</v>
      </c>
      <c r="P16" s="43">
        <f t="shared" si="13"/>
        <v>876.2115837235375</v>
      </c>
      <c r="Q16" s="59">
        <f t="shared" si="6"/>
        <v>1128.9668788312663</v>
      </c>
      <c r="R16" s="43"/>
      <c r="S16" s="60">
        <f t="shared" si="14"/>
        <v>252.7552951077289</v>
      </c>
      <c r="T16" s="61">
        <f t="shared" si="15"/>
        <v>379.13294266159329</v>
      </c>
      <c r="U16" s="46"/>
    </row>
    <row r="17" spans="1:21" x14ac:dyDescent="0.25">
      <c r="A17" s="47">
        <f t="shared" si="7"/>
        <v>37016</v>
      </c>
      <c r="B17" s="48">
        <v>11</v>
      </c>
      <c r="C17" s="49">
        <f>INDEX(DaMw,C34+10,0)</f>
        <v>27.633917085155701</v>
      </c>
      <c r="D17" s="91">
        <f>INDEX(DaPrice,C34+10,0)</f>
        <v>34.5</v>
      </c>
      <c r="E17" s="51">
        <f t="shared" si="8"/>
        <v>4.6399999999999997</v>
      </c>
      <c r="F17" s="51">
        <f t="shared" si="9"/>
        <v>4.6399999999999997</v>
      </c>
      <c r="G17" s="52">
        <f t="shared" si="10"/>
        <v>59.38</v>
      </c>
      <c r="H17" s="53">
        <f t="shared" si="0"/>
        <v>24.880000000000003</v>
      </c>
      <c r="I17" s="54">
        <f t="shared" si="1"/>
        <v>687.53185707867397</v>
      </c>
      <c r="J17" s="62">
        <f t="shared" si="17"/>
        <v>9.9520000000000017</v>
      </c>
      <c r="K17" s="63">
        <f t="shared" si="16"/>
        <v>14.928000000000001</v>
      </c>
      <c r="L17" s="64">
        <f t="shared" si="18"/>
        <v>275.01274283146961</v>
      </c>
      <c r="M17" s="56">
        <f t="shared" si="11"/>
        <v>412.51911424720436</v>
      </c>
      <c r="N17" s="57">
        <f t="shared" si="12"/>
        <v>34.5</v>
      </c>
      <c r="O17" s="58">
        <f t="shared" si="19"/>
        <v>44.451999999999998</v>
      </c>
      <c r="P17" s="43">
        <f t="shared" si="13"/>
        <v>953.37013943787167</v>
      </c>
      <c r="Q17" s="59">
        <f t="shared" si="6"/>
        <v>1228.3828822693413</v>
      </c>
      <c r="R17" s="43"/>
      <c r="S17" s="60">
        <f t="shared" si="14"/>
        <v>275.01274283146961</v>
      </c>
      <c r="T17" s="61">
        <f t="shared" si="15"/>
        <v>412.51911424720436</v>
      </c>
      <c r="U17" s="46"/>
    </row>
    <row r="18" spans="1:21" x14ac:dyDescent="0.25">
      <c r="A18" s="47">
        <f t="shared" si="7"/>
        <v>37016</v>
      </c>
      <c r="B18" s="48">
        <v>12</v>
      </c>
      <c r="C18" s="49">
        <f>INDEX(DaMw,C34+11,0)</f>
        <v>29.5605542729459</v>
      </c>
      <c r="D18" s="91">
        <f>INDEX(DaPrice,C34+11,0)</f>
        <v>34.5</v>
      </c>
      <c r="E18" s="51">
        <f t="shared" si="8"/>
        <v>4.6399999999999997</v>
      </c>
      <c r="F18" s="51">
        <f t="shared" si="9"/>
        <v>4.6399999999999997</v>
      </c>
      <c r="G18" s="52">
        <f t="shared" si="10"/>
        <v>59.38</v>
      </c>
      <c r="H18" s="53">
        <f t="shared" si="0"/>
        <v>24.880000000000003</v>
      </c>
      <c r="I18" s="54">
        <f t="shared" si="1"/>
        <v>735.46659031089405</v>
      </c>
      <c r="J18" s="62">
        <f t="shared" si="17"/>
        <v>9.9520000000000017</v>
      </c>
      <c r="K18" s="63">
        <f t="shared" si="16"/>
        <v>14.928000000000001</v>
      </c>
      <c r="L18" s="64">
        <f t="shared" si="18"/>
        <v>294.18663612435768</v>
      </c>
      <c r="M18" s="56">
        <f t="shared" si="11"/>
        <v>441.27995418653643</v>
      </c>
      <c r="N18" s="57">
        <f t="shared" si="12"/>
        <v>34.5</v>
      </c>
      <c r="O18" s="58">
        <f t="shared" si="19"/>
        <v>44.451999999999998</v>
      </c>
      <c r="P18" s="43">
        <f t="shared" si="13"/>
        <v>1019.8391224166336</v>
      </c>
      <c r="Q18" s="59">
        <f t="shared" si="6"/>
        <v>1314.0257585409911</v>
      </c>
      <c r="R18" s="43"/>
      <c r="S18" s="60">
        <f t="shared" si="14"/>
        <v>294.18663612435768</v>
      </c>
      <c r="T18" s="61">
        <f t="shared" si="15"/>
        <v>441.27995418653643</v>
      </c>
      <c r="U18" s="46"/>
    </row>
    <row r="19" spans="1:21" x14ac:dyDescent="0.25">
      <c r="A19" s="47">
        <f t="shared" si="7"/>
        <v>37016</v>
      </c>
      <c r="B19" s="48">
        <v>13</v>
      </c>
      <c r="C19" s="49">
        <f>INDEX(DaMw,C34+12,0)</f>
        <v>30.744549231870096</v>
      </c>
      <c r="D19" s="91">
        <f>INDEX(DaPrice,C34+12,0)</f>
        <v>34.5</v>
      </c>
      <c r="E19" s="51">
        <f t="shared" si="8"/>
        <v>4.6399999999999997</v>
      </c>
      <c r="F19" s="51">
        <f t="shared" si="9"/>
        <v>4.6399999999999997</v>
      </c>
      <c r="G19" s="52">
        <f t="shared" si="10"/>
        <v>59.38</v>
      </c>
      <c r="H19" s="53">
        <f t="shared" si="0"/>
        <v>24.880000000000003</v>
      </c>
      <c r="I19" s="54">
        <f t="shared" si="1"/>
        <v>764.9243848889281</v>
      </c>
      <c r="J19" s="62">
        <f t="shared" si="17"/>
        <v>9.9520000000000017</v>
      </c>
      <c r="K19" s="63">
        <f t="shared" si="16"/>
        <v>14.928000000000001</v>
      </c>
      <c r="L19" s="64">
        <f t="shared" si="18"/>
        <v>305.96975395557126</v>
      </c>
      <c r="M19" s="56">
        <f t="shared" si="11"/>
        <v>458.95463093335684</v>
      </c>
      <c r="N19" s="57">
        <f t="shared" si="12"/>
        <v>34.5</v>
      </c>
      <c r="O19" s="58">
        <f t="shared" si="19"/>
        <v>44.451999999999998</v>
      </c>
      <c r="P19" s="43">
        <f t="shared" si="13"/>
        <v>1060.6869484995184</v>
      </c>
      <c r="Q19" s="59">
        <f t="shared" si="6"/>
        <v>1366.6567024550895</v>
      </c>
      <c r="R19" s="43"/>
      <c r="S19" s="60">
        <f t="shared" si="14"/>
        <v>305.96975395557126</v>
      </c>
      <c r="T19" s="61">
        <f t="shared" si="15"/>
        <v>458.95463093335684</v>
      </c>
      <c r="U19" s="46"/>
    </row>
    <row r="20" spans="1:21" x14ac:dyDescent="0.25">
      <c r="A20" s="47">
        <f t="shared" si="7"/>
        <v>37016</v>
      </c>
      <c r="B20" s="48">
        <v>14</v>
      </c>
      <c r="C20" s="49">
        <f>INDEX(DaMw,C34+13,0)</f>
        <v>31.944450744558701</v>
      </c>
      <c r="D20" s="91">
        <f>INDEX(DaPrice,C34+13,0)</f>
        <v>34.5</v>
      </c>
      <c r="E20" s="51">
        <f t="shared" si="8"/>
        <v>4.6399999999999997</v>
      </c>
      <c r="F20" s="51">
        <f t="shared" si="9"/>
        <v>4.6399999999999997</v>
      </c>
      <c r="G20" s="52">
        <f t="shared" si="10"/>
        <v>59.38</v>
      </c>
      <c r="H20" s="53">
        <f t="shared" si="0"/>
        <v>24.880000000000003</v>
      </c>
      <c r="I20" s="54">
        <f t="shared" si="1"/>
        <v>794.7779345246206</v>
      </c>
      <c r="J20" s="62">
        <f t="shared" si="17"/>
        <v>9.9520000000000017</v>
      </c>
      <c r="K20" s="63">
        <f t="shared" si="16"/>
        <v>14.928000000000001</v>
      </c>
      <c r="L20" s="64">
        <f t="shared" si="18"/>
        <v>317.91117380984826</v>
      </c>
      <c r="M20" s="56">
        <f t="shared" si="11"/>
        <v>476.86676071477228</v>
      </c>
      <c r="N20" s="57">
        <f t="shared" si="12"/>
        <v>34.5</v>
      </c>
      <c r="O20" s="58">
        <f t="shared" si="19"/>
        <v>44.451999999999998</v>
      </c>
      <c r="P20" s="43">
        <f t="shared" si="13"/>
        <v>1102.0835506872752</v>
      </c>
      <c r="Q20" s="59">
        <f t="shared" si="6"/>
        <v>1419.9947244971233</v>
      </c>
      <c r="R20" s="43"/>
      <c r="S20" s="60">
        <f t="shared" si="14"/>
        <v>317.91117380984826</v>
      </c>
      <c r="T20" s="61">
        <f t="shared" si="15"/>
        <v>476.86676071477228</v>
      </c>
      <c r="U20" s="46"/>
    </row>
    <row r="21" spans="1:21" x14ac:dyDescent="0.25">
      <c r="A21" s="47">
        <f t="shared" si="7"/>
        <v>37016</v>
      </c>
      <c r="B21" s="48">
        <v>15</v>
      </c>
      <c r="C21" s="49">
        <f>INDEX(DaMw,C34+14,0)</f>
        <v>32.706380852864498</v>
      </c>
      <c r="D21" s="91">
        <f>INDEX(DaPrice,C34+14,0)</f>
        <v>34.5</v>
      </c>
      <c r="E21" s="51">
        <f t="shared" si="8"/>
        <v>4.6399999999999997</v>
      </c>
      <c r="F21" s="51">
        <f t="shared" si="9"/>
        <v>4.6399999999999997</v>
      </c>
      <c r="G21" s="52">
        <f t="shared" si="10"/>
        <v>59.38</v>
      </c>
      <c r="H21" s="53">
        <f t="shared" si="0"/>
        <v>24.880000000000003</v>
      </c>
      <c r="I21" s="54">
        <f t="shared" si="1"/>
        <v>813.73475561926875</v>
      </c>
      <c r="J21" s="62">
        <f t="shared" si="17"/>
        <v>9.9520000000000017</v>
      </c>
      <c r="K21" s="63">
        <f t="shared" si="16"/>
        <v>14.928000000000001</v>
      </c>
      <c r="L21" s="64">
        <f t="shared" si="18"/>
        <v>325.49390224770752</v>
      </c>
      <c r="M21" s="56">
        <f t="shared" si="11"/>
        <v>488.24085337156129</v>
      </c>
      <c r="N21" s="57">
        <f t="shared" si="12"/>
        <v>34.5</v>
      </c>
      <c r="O21" s="58">
        <f t="shared" si="19"/>
        <v>44.451999999999998</v>
      </c>
      <c r="P21" s="43">
        <f t="shared" si="13"/>
        <v>1128.3701394238251</v>
      </c>
      <c r="Q21" s="59">
        <f t="shared" si="6"/>
        <v>1453.8640416715327</v>
      </c>
      <c r="R21" s="43"/>
      <c r="S21" s="60">
        <f t="shared" si="14"/>
        <v>325.49390224770752</v>
      </c>
      <c r="T21" s="61">
        <f t="shared" si="15"/>
        <v>488.24085337156129</v>
      </c>
      <c r="U21" s="46"/>
    </row>
    <row r="22" spans="1:21" x14ac:dyDescent="0.25">
      <c r="A22" s="47">
        <f t="shared" si="7"/>
        <v>37016</v>
      </c>
      <c r="B22" s="48">
        <v>16</v>
      </c>
      <c r="C22" s="49">
        <f>INDEX(DaMw,C34+15,0)</f>
        <v>33.388706166321299</v>
      </c>
      <c r="D22" s="91">
        <f>INDEX(DaPrice,C34+15,0)</f>
        <v>34.5</v>
      </c>
      <c r="E22" s="51">
        <f t="shared" si="8"/>
        <v>4.6399999999999997</v>
      </c>
      <c r="F22" s="51">
        <f t="shared" si="9"/>
        <v>4.6399999999999997</v>
      </c>
      <c r="G22" s="52">
        <f t="shared" si="10"/>
        <v>59.38</v>
      </c>
      <c r="H22" s="53">
        <f t="shared" si="0"/>
        <v>24.880000000000003</v>
      </c>
      <c r="I22" s="54">
        <f t="shared" si="1"/>
        <v>830.71100941807401</v>
      </c>
      <c r="J22" s="62">
        <f t="shared" si="17"/>
        <v>9.9520000000000017</v>
      </c>
      <c r="K22" s="63">
        <f t="shared" si="16"/>
        <v>14.928000000000001</v>
      </c>
      <c r="L22" s="64">
        <f t="shared" si="18"/>
        <v>332.28440376722961</v>
      </c>
      <c r="M22" s="56">
        <f t="shared" si="11"/>
        <v>498.42660565084435</v>
      </c>
      <c r="N22" s="57">
        <f t="shared" si="12"/>
        <v>34.5</v>
      </c>
      <c r="O22" s="58">
        <f t="shared" si="19"/>
        <v>44.451999999999998</v>
      </c>
      <c r="P22" s="43">
        <f t="shared" si="13"/>
        <v>1151.9103627380848</v>
      </c>
      <c r="Q22" s="59">
        <f t="shared" si="6"/>
        <v>1484.1947665053144</v>
      </c>
      <c r="R22" s="43"/>
      <c r="S22" s="60">
        <f t="shared" si="14"/>
        <v>332.28440376722961</v>
      </c>
      <c r="T22" s="61">
        <f t="shared" si="15"/>
        <v>498.42660565084435</v>
      </c>
      <c r="U22" s="46"/>
    </row>
    <row r="23" spans="1:21" x14ac:dyDescent="0.25">
      <c r="A23" s="47">
        <f t="shared" si="7"/>
        <v>37016</v>
      </c>
      <c r="B23" s="48">
        <v>17</v>
      </c>
      <c r="C23" s="49">
        <f>INDEX(DaMw,C34+16,0)</f>
        <v>33.420261302912401</v>
      </c>
      <c r="D23" s="91">
        <f>INDEX(DaPrice,C34+16,0)</f>
        <v>34.5</v>
      </c>
      <c r="E23" s="51">
        <f t="shared" si="8"/>
        <v>4.6399999999999997</v>
      </c>
      <c r="F23" s="51">
        <f t="shared" si="9"/>
        <v>4.6399999999999997</v>
      </c>
      <c r="G23" s="52">
        <f t="shared" si="10"/>
        <v>59.38</v>
      </c>
      <c r="H23" s="53">
        <f t="shared" si="0"/>
        <v>24.880000000000003</v>
      </c>
      <c r="I23" s="54">
        <f t="shared" si="1"/>
        <v>831.4961012164606</v>
      </c>
      <c r="J23" s="62">
        <f t="shared" si="17"/>
        <v>9.9520000000000017</v>
      </c>
      <c r="K23" s="63">
        <f t="shared" si="16"/>
        <v>14.928000000000001</v>
      </c>
      <c r="L23" s="64">
        <f t="shared" si="18"/>
        <v>332.59844048658425</v>
      </c>
      <c r="M23" s="56">
        <f t="shared" si="11"/>
        <v>498.89766072987635</v>
      </c>
      <c r="N23" s="57">
        <f t="shared" si="12"/>
        <v>34.5</v>
      </c>
      <c r="O23" s="58">
        <f t="shared" si="19"/>
        <v>44.451999999999998</v>
      </c>
      <c r="P23" s="43">
        <f t="shared" si="13"/>
        <v>1152.9990149504779</v>
      </c>
      <c r="Q23" s="59">
        <f t="shared" si="6"/>
        <v>1485.5974554370621</v>
      </c>
      <c r="R23" s="43"/>
      <c r="S23" s="60">
        <f t="shared" si="14"/>
        <v>332.59844048658425</v>
      </c>
      <c r="T23" s="61">
        <f t="shared" si="15"/>
        <v>498.89766072987635</v>
      </c>
      <c r="U23" s="46"/>
    </row>
    <row r="24" spans="1:21" x14ac:dyDescent="0.25">
      <c r="A24" s="47">
        <f t="shared" si="7"/>
        <v>37016</v>
      </c>
      <c r="B24" s="48">
        <v>18</v>
      </c>
      <c r="C24" s="49">
        <f>INDEX(DaMw,C34+17,0)</f>
        <v>32.974599656921896</v>
      </c>
      <c r="D24" s="91">
        <f>INDEX(DaPrice,C34+17,0)</f>
        <v>34.5</v>
      </c>
      <c r="E24" s="51">
        <f t="shared" si="8"/>
        <v>4.6399999999999997</v>
      </c>
      <c r="F24" s="51">
        <f t="shared" si="9"/>
        <v>4.6399999999999997</v>
      </c>
      <c r="G24" s="52">
        <f t="shared" si="10"/>
        <v>59.38</v>
      </c>
      <c r="H24" s="53">
        <f t="shared" si="0"/>
        <v>24.880000000000003</v>
      </c>
      <c r="I24" s="54">
        <f t="shared" si="1"/>
        <v>820.40803946421681</v>
      </c>
      <c r="J24" s="62">
        <f t="shared" si="17"/>
        <v>9.9520000000000017</v>
      </c>
      <c r="K24" s="63">
        <f t="shared" si="16"/>
        <v>14.928000000000001</v>
      </c>
      <c r="L24" s="64">
        <f t="shared" si="18"/>
        <v>328.16321578568676</v>
      </c>
      <c r="M24" s="56">
        <f t="shared" si="11"/>
        <v>492.24482367853011</v>
      </c>
      <c r="N24" s="57">
        <f t="shared" si="12"/>
        <v>34.5</v>
      </c>
      <c r="O24" s="58">
        <f t="shared" si="19"/>
        <v>44.451999999999998</v>
      </c>
      <c r="P24" s="43">
        <f t="shared" si="13"/>
        <v>1137.6236881638054</v>
      </c>
      <c r="Q24" s="59">
        <f t="shared" si="6"/>
        <v>1465.7869039494922</v>
      </c>
      <c r="R24" s="43"/>
      <c r="S24" s="60">
        <f t="shared" si="14"/>
        <v>328.16321578568676</v>
      </c>
      <c r="T24" s="61">
        <f t="shared" si="15"/>
        <v>492.24482367853011</v>
      </c>
      <c r="U24" s="46"/>
    </row>
    <row r="25" spans="1:21" x14ac:dyDescent="0.25">
      <c r="A25" s="47">
        <f t="shared" si="7"/>
        <v>37016</v>
      </c>
      <c r="B25" s="48">
        <v>19</v>
      </c>
      <c r="C25" s="49">
        <f>INDEX(DaMw,C34+18,0)</f>
        <v>33</v>
      </c>
      <c r="D25" s="91">
        <f>INDEX(DaPrice,C34+18,0)</f>
        <v>34.5</v>
      </c>
      <c r="E25" s="51">
        <f t="shared" si="8"/>
        <v>4.6399999999999997</v>
      </c>
      <c r="F25" s="51">
        <f t="shared" si="9"/>
        <v>4.6399999999999997</v>
      </c>
      <c r="G25" s="52">
        <f t="shared" si="10"/>
        <v>59.38</v>
      </c>
      <c r="H25" s="53">
        <f t="shared" si="0"/>
        <v>24.880000000000003</v>
      </c>
      <c r="I25" s="54">
        <f t="shared" si="1"/>
        <v>821.04000000000008</v>
      </c>
      <c r="J25" s="62">
        <f t="shared" si="17"/>
        <v>9.9520000000000017</v>
      </c>
      <c r="K25" s="63">
        <f t="shared" si="16"/>
        <v>14.928000000000001</v>
      </c>
      <c r="L25" s="64">
        <f t="shared" si="18"/>
        <v>328.41600000000005</v>
      </c>
      <c r="M25" s="56">
        <f t="shared" si="11"/>
        <v>492.62400000000002</v>
      </c>
      <c r="N25" s="57">
        <f t="shared" si="12"/>
        <v>34.5</v>
      </c>
      <c r="O25" s="58">
        <f t="shared" si="19"/>
        <v>44.451999999999998</v>
      </c>
      <c r="P25" s="43">
        <f t="shared" si="13"/>
        <v>1138.5</v>
      </c>
      <c r="Q25" s="59">
        <f t="shared" si="6"/>
        <v>1466.9159999999999</v>
      </c>
      <c r="R25" s="43"/>
      <c r="S25" s="60">
        <f t="shared" si="14"/>
        <v>328.41600000000005</v>
      </c>
      <c r="T25" s="61">
        <f t="shared" si="15"/>
        <v>492.62400000000002</v>
      </c>
      <c r="U25" s="46"/>
    </row>
    <row r="26" spans="1:21" x14ac:dyDescent="0.25">
      <c r="A26" s="47">
        <f t="shared" si="7"/>
        <v>37016</v>
      </c>
      <c r="B26" s="48">
        <v>20</v>
      </c>
      <c r="C26" s="49">
        <f>INDEX(DaMw,C34+19,0)</f>
        <v>33</v>
      </c>
      <c r="D26" s="91">
        <f>INDEX(DaPrice,C34+19,0)</f>
        <v>34.5</v>
      </c>
      <c r="E26" s="51">
        <f t="shared" si="8"/>
        <v>4.6399999999999997</v>
      </c>
      <c r="F26" s="51">
        <f t="shared" si="9"/>
        <v>4.6399999999999997</v>
      </c>
      <c r="G26" s="52">
        <f t="shared" si="10"/>
        <v>59.38</v>
      </c>
      <c r="H26" s="53">
        <f t="shared" si="0"/>
        <v>24.880000000000003</v>
      </c>
      <c r="I26" s="54">
        <f t="shared" si="1"/>
        <v>821.04000000000008</v>
      </c>
      <c r="J26" s="62">
        <f t="shared" si="17"/>
        <v>9.9520000000000017</v>
      </c>
      <c r="K26" s="63">
        <f t="shared" si="16"/>
        <v>14.928000000000001</v>
      </c>
      <c r="L26" s="64">
        <f t="shared" si="18"/>
        <v>328.41600000000005</v>
      </c>
      <c r="M26" s="56">
        <f t="shared" si="11"/>
        <v>492.62400000000002</v>
      </c>
      <c r="N26" s="57">
        <f t="shared" si="12"/>
        <v>34.5</v>
      </c>
      <c r="O26" s="58">
        <f t="shared" si="19"/>
        <v>44.451999999999998</v>
      </c>
      <c r="P26" s="43">
        <f t="shared" si="13"/>
        <v>1138.5</v>
      </c>
      <c r="Q26" s="59">
        <f t="shared" si="6"/>
        <v>1466.9159999999999</v>
      </c>
      <c r="R26" s="43"/>
      <c r="S26" s="60">
        <f t="shared" si="14"/>
        <v>328.41600000000005</v>
      </c>
      <c r="T26" s="61">
        <f t="shared" si="15"/>
        <v>492.62400000000002</v>
      </c>
      <c r="U26" s="46"/>
    </row>
    <row r="27" spans="1:21" x14ac:dyDescent="0.25">
      <c r="A27" s="47">
        <f t="shared" si="7"/>
        <v>37016</v>
      </c>
      <c r="B27" s="48">
        <v>21</v>
      </c>
      <c r="C27" s="49">
        <f>INDEX(DaMw,C34+20,0)</f>
        <v>32</v>
      </c>
      <c r="D27" s="91">
        <f>INDEX(DaPrice,C34+20,0)</f>
        <v>34.5</v>
      </c>
      <c r="E27" s="51">
        <f t="shared" si="8"/>
        <v>4.6399999999999997</v>
      </c>
      <c r="F27" s="51">
        <f t="shared" si="9"/>
        <v>4.6399999999999997</v>
      </c>
      <c r="G27" s="52">
        <f t="shared" si="10"/>
        <v>59.38</v>
      </c>
      <c r="H27" s="53">
        <f t="shared" si="0"/>
        <v>24.880000000000003</v>
      </c>
      <c r="I27" s="54">
        <f t="shared" si="1"/>
        <v>796.16000000000008</v>
      </c>
      <c r="J27" s="62">
        <f t="shared" si="17"/>
        <v>9.9520000000000017</v>
      </c>
      <c r="K27" s="63">
        <f t="shared" si="16"/>
        <v>14.928000000000001</v>
      </c>
      <c r="L27" s="64">
        <f t="shared" si="18"/>
        <v>318.46400000000006</v>
      </c>
      <c r="M27" s="56">
        <f t="shared" si="11"/>
        <v>477.69600000000003</v>
      </c>
      <c r="N27" s="57">
        <f t="shared" si="12"/>
        <v>34.5</v>
      </c>
      <c r="O27" s="58">
        <f t="shared" si="19"/>
        <v>44.451999999999998</v>
      </c>
      <c r="P27" s="43">
        <f t="shared" si="13"/>
        <v>1104</v>
      </c>
      <c r="Q27" s="59">
        <f t="shared" si="6"/>
        <v>1422.4639999999999</v>
      </c>
      <c r="R27" s="43"/>
      <c r="S27" s="60">
        <f t="shared" si="14"/>
        <v>318.46400000000006</v>
      </c>
      <c r="T27" s="61">
        <f t="shared" si="15"/>
        <v>477.69600000000003</v>
      </c>
      <c r="U27" s="46"/>
    </row>
    <row r="28" spans="1:21" x14ac:dyDescent="0.25">
      <c r="A28" s="47">
        <f t="shared" si="7"/>
        <v>37016</v>
      </c>
      <c r="B28" s="48">
        <v>22</v>
      </c>
      <c r="C28" s="49">
        <f>INDEX(DaMw,C34+21,0)</f>
        <v>32</v>
      </c>
      <c r="D28" s="91">
        <f>INDEX(DaPrice,C34+21,0)</f>
        <v>34.5</v>
      </c>
      <c r="E28" s="51">
        <f t="shared" si="8"/>
        <v>4.6399999999999997</v>
      </c>
      <c r="F28" s="51">
        <f t="shared" si="9"/>
        <v>4.6399999999999997</v>
      </c>
      <c r="G28" s="52">
        <f t="shared" si="10"/>
        <v>59.38</v>
      </c>
      <c r="H28" s="53">
        <f t="shared" si="0"/>
        <v>24.880000000000003</v>
      </c>
      <c r="I28" s="54">
        <f t="shared" si="1"/>
        <v>796.16000000000008</v>
      </c>
      <c r="J28" s="62">
        <f t="shared" si="17"/>
        <v>9.9520000000000017</v>
      </c>
      <c r="K28" s="63">
        <f t="shared" si="16"/>
        <v>14.928000000000001</v>
      </c>
      <c r="L28" s="64">
        <f t="shared" si="18"/>
        <v>318.46400000000006</v>
      </c>
      <c r="M28" s="56">
        <f t="shared" si="11"/>
        <v>477.69600000000003</v>
      </c>
      <c r="N28" s="57">
        <f t="shared" si="12"/>
        <v>34.5</v>
      </c>
      <c r="O28" s="58">
        <f t="shared" si="19"/>
        <v>44.451999999999998</v>
      </c>
      <c r="P28" s="43">
        <f t="shared" si="13"/>
        <v>1104</v>
      </c>
      <c r="Q28" s="59">
        <f t="shared" si="6"/>
        <v>1422.4639999999999</v>
      </c>
      <c r="R28" s="43"/>
      <c r="S28" s="60">
        <f t="shared" si="14"/>
        <v>318.46400000000006</v>
      </c>
      <c r="T28" s="61">
        <f t="shared" si="15"/>
        <v>477.69600000000003</v>
      </c>
      <c r="U28" s="46"/>
    </row>
    <row r="29" spans="1:21" x14ac:dyDescent="0.25">
      <c r="A29" s="47">
        <f t="shared" si="7"/>
        <v>37016</v>
      </c>
      <c r="B29" s="48">
        <v>23</v>
      </c>
      <c r="C29" s="49">
        <f>INDEX(DaMw,C34+22,0)</f>
        <v>25</v>
      </c>
      <c r="D29" s="91">
        <f>INDEX(DaPrice,C34+22,0)</f>
        <v>18</v>
      </c>
      <c r="E29" s="51">
        <f t="shared" si="8"/>
        <v>4.6399999999999997</v>
      </c>
      <c r="F29" s="51">
        <f t="shared" si="9"/>
        <v>4.6399999999999997</v>
      </c>
      <c r="G29" s="52">
        <f t="shared" si="10"/>
        <v>59.38</v>
      </c>
      <c r="H29" s="53">
        <f t="shared" si="0"/>
        <v>41.38</v>
      </c>
      <c r="I29" s="54">
        <f t="shared" si="1"/>
        <v>1034.5</v>
      </c>
      <c r="J29" s="55">
        <f>IF(C29=0,"",1)</f>
        <v>1</v>
      </c>
      <c r="K29" s="43">
        <f>IF(C29=0,"",G29-(D29+1))</f>
        <v>40.380000000000003</v>
      </c>
      <c r="L29" s="43">
        <f>IF(C29=0,"",C29*J29)</f>
        <v>25</v>
      </c>
      <c r="M29" s="56">
        <f t="shared" si="11"/>
        <v>1009.5000000000001</v>
      </c>
      <c r="N29" s="57">
        <f t="shared" si="12"/>
        <v>18</v>
      </c>
      <c r="O29" s="58">
        <f>IF(C29=0,"",D29+1)</f>
        <v>19</v>
      </c>
      <c r="P29" s="43">
        <f t="shared" si="13"/>
        <v>450</v>
      </c>
      <c r="Q29" s="59">
        <f t="shared" si="6"/>
        <v>475</v>
      </c>
      <c r="R29" s="43"/>
      <c r="S29" s="60">
        <f t="shared" si="14"/>
        <v>25</v>
      </c>
      <c r="T29" s="61">
        <f t="shared" si="15"/>
        <v>1009.5000000000001</v>
      </c>
      <c r="U29" s="46"/>
    </row>
    <row r="30" spans="1:21" x14ac:dyDescent="0.25">
      <c r="A30" s="65">
        <f t="shared" si="7"/>
        <v>37016</v>
      </c>
      <c r="B30" s="66">
        <v>24</v>
      </c>
      <c r="C30" s="67">
        <f>INDEX(DaMw,C34+23,0)</f>
        <v>25</v>
      </c>
      <c r="D30" s="92">
        <f>INDEX(DaPrice,C34+23,0)</f>
        <v>18</v>
      </c>
      <c r="E30" s="69">
        <f t="shared" si="8"/>
        <v>4.6399999999999997</v>
      </c>
      <c r="F30" s="69">
        <f>VLOOKUP(A30,Gas,5,FALSE)</f>
        <v>4.6399999999999997</v>
      </c>
      <c r="G30" s="70">
        <f t="shared" si="10"/>
        <v>59.38</v>
      </c>
      <c r="H30" s="71">
        <f t="shared" si="0"/>
        <v>41.38</v>
      </c>
      <c r="I30" s="72">
        <f t="shared" si="1"/>
        <v>1034.5</v>
      </c>
      <c r="J30" s="73">
        <f>IF(C30=0,"",1)</f>
        <v>1</v>
      </c>
      <c r="K30" s="74">
        <f>IF(C30=0,"",G30-(D30+1))</f>
        <v>40.380000000000003</v>
      </c>
      <c r="L30" s="74">
        <f>IF(C30=0,"",C30*J30)</f>
        <v>25</v>
      </c>
      <c r="M30" s="75">
        <f t="shared" si="11"/>
        <v>1009.5000000000001</v>
      </c>
      <c r="N30" s="76">
        <f t="shared" si="12"/>
        <v>18</v>
      </c>
      <c r="O30" s="77">
        <f>IF(C30=0,"",D30+1)</f>
        <v>19</v>
      </c>
      <c r="P30" s="74">
        <f t="shared" si="13"/>
        <v>450</v>
      </c>
      <c r="Q30" s="78">
        <f t="shared" si="6"/>
        <v>475</v>
      </c>
      <c r="R30" s="43"/>
      <c r="S30" s="79">
        <f t="shared" si="14"/>
        <v>25</v>
      </c>
      <c r="T30" s="80">
        <f t="shared" si="15"/>
        <v>1009.5000000000001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83"/>
    </row>
    <row r="32" spans="1:21" x14ac:dyDescent="0.25">
      <c r="K32" s="84"/>
      <c r="L32" s="84"/>
      <c r="M32" s="84"/>
      <c r="N32" s="85"/>
      <c r="O32" s="84"/>
      <c r="P32" s="85"/>
      <c r="Q32" s="86">
        <f>SUM(Q7:Q30)</f>
        <v>24586.299698148829</v>
      </c>
      <c r="R32" s="87"/>
      <c r="S32" s="86">
        <f>SUM(S7:S30)</f>
        <v>4853.6771033019249</v>
      </c>
      <c r="T32" s="86">
        <f>SUM(T7:T30)</f>
        <v>15056.515654952886</v>
      </c>
    </row>
    <row r="34" spans="1:22" hidden="1" x14ac:dyDescent="0.25">
      <c r="B34" t="s">
        <v>33</v>
      </c>
      <c r="C34">
        <f>MATCH(C2,DaDate,0)</f>
        <v>97</v>
      </c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5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f>$C$2</f>
        <v>37016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4.6399999999999997</v>
      </c>
      <c r="F41" s="33">
        <f>VLOOKUP(A41,Gas,5,FALSE)</f>
        <v>4.6399999999999997</v>
      </c>
      <c r="G41" s="34">
        <f>VLOOKUP(A41,Bogey,2,FALSE)</f>
        <v>59.38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5">
      <c r="A42" s="47">
        <f t="shared" ref="A42:A64" si="27">$C$2</f>
        <v>37016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4.6399999999999997</v>
      </c>
      <c r="F42" s="51">
        <f t="shared" ref="F42:F63" si="29">VLOOKUP(A42,Gas,5,FALSE)</f>
        <v>4.6399999999999997</v>
      </c>
      <c r="G42" s="52">
        <f t="shared" ref="G42:G64" si="30">VLOOKUP(A42,Bogey,2,FALSE)</f>
        <v>59.38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5">
      <c r="A43" s="47">
        <f t="shared" si="27"/>
        <v>37016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4.6399999999999997</v>
      </c>
      <c r="F43" s="51">
        <f t="shared" si="29"/>
        <v>4.6399999999999997</v>
      </c>
      <c r="G43" s="52">
        <f t="shared" si="30"/>
        <v>59.38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5">
      <c r="A44" s="47">
        <f t="shared" si="27"/>
        <v>37016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4.6399999999999997</v>
      </c>
      <c r="F44" s="51">
        <f t="shared" si="29"/>
        <v>4.6399999999999997</v>
      </c>
      <c r="G44" s="52">
        <f t="shared" si="30"/>
        <v>59.38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5">
      <c r="A45" s="47">
        <f t="shared" si="27"/>
        <v>37016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4.6399999999999997</v>
      </c>
      <c r="F45" s="51">
        <f t="shared" si="29"/>
        <v>4.6399999999999997</v>
      </c>
      <c r="G45" s="52">
        <f t="shared" si="30"/>
        <v>59.38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5">
      <c r="A46" s="47">
        <f t="shared" si="27"/>
        <v>37016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4.6399999999999997</v>
      </c>
      <c r="F46" s="51">
        <f t="shared" si="29"/>
        <v>4.6399999999999997</v>
      </c>
      <c r="G46" s="52">
        <f t="shared" si="30"/>
        <v>59.38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5">
      <c r="A47" s="47">
        <f t="shared" si="27"/>
        <v>37016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4.6399999999999997</v>
      </c>
      <c r="F47" s="51">
        <f t="shared" si="29"/>
        <v>4.6399999999999997</v>
      </c>
      <c r="G47" s="52">
        <f t="shared" si="30"/>
        <v>59.38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5">
      <c r="A48" s="47">
        <f t="shared" si="27"/>
        <v>37016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4.6399999999999997</v>
      </c>
      <c r="F48" s="51">
        <f t="shared" si="29"/>
        <v>4.6399999999999997</v>
      </c>
      <c r="G48" s="52">
        <f t="shared" si="30"/>
        <v>59.38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5">
      <c r="A49" s="47">
        <f t="shared" si="27"/>
        <v>37016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4.6399999999999997</v>
      </c>
      <c r="F49" s="51">
        <f t="shared" si="29"/>
        <v>4.6399999999999997</v>
      </c>
      <c r="G49" s="52">
        <f t="shared" si="30"/>
        <v>59.38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5">
      <c r="A50" s="47">
        <f t="shared" si="27"/>
        <v>37016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4.6399999999999997</v>
      </c>
      <c r="F50" s="51">
        <f t="shared" si="29"/>
        <v>4.6399999999999997</v>
      </c>
      <c r="G50" s="52">
        <f t="shared" si="30"/>
        <v>59.38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5">
      <c r="A51" s="47">
        <f t="shared" si="27"/>
        <v>37016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4.6399999999999997</v>
      </c>
      <c r="F51" s="51">
        <f t="shared" si="29"/>
        <v>4.6399999999999997</v>
      </c>
      <c r="G51" s="52">
        <f t="shared" si="30"/>
        <v>59.38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5">
      <c r="A52" s="47">
        <f t="shared" si="27"/>
        <v>37016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4.6399999999999997</v>
      </c>
      <c r="F52" s="51">
        <f t="shared" si="29"/>
        <v>4.6399999999999997</v>
      </c>
      <c r="G52" s="52">
        <f t="shared" si="30"/>
        <v>59.38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5">
      <c r="A53" s="47">
        <f t="shared" si="27"/>
        <v>37016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4.6399999999999997</v>
      </c>
      <c r="F53" s="51">
        <f t="shared" si="29"/>
        <v>4.6399999999999997</v>
      </c>
      <c r="G53" s="52">
        <f t="shared" si="30"/>
        <v>59.38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5">
      <c r="A54" s="47">
        <f t="shared" si="27"/>
        <v>37016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4.6399999999999997</v>
      </c>
      <c r="F54" s="51">
        <f t="shared" si="29"/>
        <v>4.6399999999999997</v>
      </c>
      <c r="G54" s="52">
        <f t="shared" si="30"/>
        <v>59.38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5">
      <c r="A55" s="47">
        <f t="shared" si="27"/>
        <v>37016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4.6399999999999997</v>
      </c>
      <c r="F55" s="51">
        <f t="shared" si="29"/>
        <v>4.6399999999999997</v>
      </c>
      <c r="G55" s="52">
        <f t="shared" si="30"/>
        <v>59.38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5">
      <c r="A56" s="47">
        <f t="shared" si="27"/>
        <v>37016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4.6399999999999997</v>
      </c>
      <c r="F56" s="51">
        <f t="shared" si="29"/>
        <v>4.6399999999999997</v>
      </c>
      <c r="G56" s="52">
        <f t="shared" si="30"/>
        <v>59.38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5">
      <c r="A57" s="47">
        <f t="shared" si="27"/>
        <v>37016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4.6399999999999997</v>
      </c>
      <c r="F57" s="51">
        <f t="shared" si="29"/>
        <v>4.6399999999999997</v>
      </c>
      <c r="G57" s="52">
        <f t="shared" si="30"/>
        <v>59.38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5">
      <c r="A58" s="47">
        <f t="shared" si="27"/>
        <v>37016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4.6399999999999997</v>
      </c>
      <c r="F58" s="51">
        <f t="shared" si="29"/>
        <v>4.6399999999999997</v>
      </c>
      <c r="G58" s="52">
        <f t="shared" si="30"/>
        <v>59.38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5">
      <c r="A59" s="47">
        <f t="shared" si="27"/>
        <v>37016</v>
      </c>
      <c r="B59" s="48">
        <v>19</v>
      </c>
      <c r="C59" s="49">
        <f>INDEX(RtMw,C68+18,0)</f>
        <v>0</v>
      </c>
      <c r="D59" s="50">
        <f>INDEX(RTPrice,C68+18,0)</f>
        <v>0</v>
      </c>
      <c r="E59" s="51">
        <f t="shared" si="28"/>
        <v>4.6399999999999997</v>
      </c>
      <c r="F59" s="51">
        <f t="shared" si="29"/>
        <v>4.6399999999999997</v>
      </c>
      <c r="G59" s="52">
        <f t="shared" si="30"/>
        <v>59.38</v>
      </c>
      <c r="H59" s="53" t="str">
        <f t="shared" si="20"/>
        <v/>
      </c>
      <c r="I59" s="54" t="str">
        <f t="shared" si="21"/>
        <v/>
      </c>
      <c r="J59" s="62" t="str">
        <f t="shared" si="37"/>
        <v/>
      </c>
      <c r="K59" s="63" t="str">
        <f t="shared" si="36"/>
        <v/>
      </c>
      <c r="L59" s="64" t="str">
        <f t="shared" si="38"/>
        <v/>
      </c>
      <c r="M59" s="56" t="str">
        <f t="shared" si="31"/>
        <v/>
      </c>
      <c r="N59" s="57" t="str">
        <f t="shared" si="32"/>
        <v/>
      </c>
      <c r="O59" s="58"/>
      <c r="P59" s="43" t="str">
        <f t="shared" si="33"/>
        <v/>
      </c>
      <c r="Q59" s="59" t="str">
        <f t="shared" si="26"/>
        <v/>
      </c>
      <c r="R59" s="43"/>
      <c r="S59" s="60" t="str">
        <f t="shared" si="34"/>
        <v/>
      </c>
      <c r="T59" s="61" t="str">
        <f t="shared" si="35"/>
        <v/>
      </c>
      <c r="U59" s="46"/>
    </row>
    <row r="60" spans="1:21" x14ac:dyDescent="0.25">
      <c r="A60" s="47">
        <f t="shared" si="27"/>
        <v>37016</v>
      </c>
      <c r="B60" s="48">
        <v>20</v>
      </c>
      <c r="C60" s="49">
        <f>INDEX(RtMw,C68+19,0)</f>
        <v>0</v>
      </c>
      <c r="D60" s="50">
        <f>INDEX(RTPrice,C68+19,0)</f>
        <v>0</v>
      </c>
      <c r="E60" s="51">
        <f t="shared" si="28"/>
        <v>4.6399999999999997</v>
      </c>
      <c r="F60" s="51">
        <f t="shared" si="29"/>
        <v>4.6399999999999997</v>
      </c>
      <c r="G60" s="52">
        <f t="shared" si="30"/>
        <v>59.38</v>
      </c>
      <c r="H60" s="53" t="str">
        <f t="shared" si="20"/>
        <v/>
      </c>
      <c r="I60" s="54" t="str">
        <f t="shared" si="21"/>
        <v/>
      </c>
      <c r="J60" s="62" t="str">
        <f t="shared" si="37"/>
        <v/>
      </c>
      <c r="K60" s="63" t="str">
        <f t="shared" si="36"/>
        <v/>
      </c>
      <c r="L60" s="64" t="str">
        <f t="shared" si="38"/>
        <v/>
      </c>
      <c r="M60" s="56" t="str">
        <f t="shared" si="31"/>
        <v/>
      </c>
      <c r="N60" s="57" t="str">
        <f t="shared" si="32"/>
        <v/>
      </c>
      <c r="O60" s="58"/>
      <c r="P60" s="43" t="str">
        <f t="shared" si="33"/>
        <v/>
      </c>
      <c r="Q60" s="59" t="str">
        <f t="shared" si="26"/>
        <v/>
      </c>
      <c r="R60" s="43"/>
      <c r="S60" s="60" t="str">
        <f t="shared" si="34"/>
        <v/>
      </c>
      <c r="T60" s="61" t="str">
        <f t="shared" si="35"/>
        <v/>
      </c>
      <c r="U60" s="46"/>
    </row>
    <row r="61" spans="1:21" x14ac:dyDescent="0.25">
      <c r="A61" s="47">
        <f t="shared" si="27"/>
        <v>37016</v>
      </c>
      <c r="B61" s="48">
        <v>21</v>
      </c>
      <c r="C61" s="49">
        <f>INDEX(RtMw,C68+20,0)</f>
        <v>0</v>
      </c>
      <c r="D61" s="50">
        <f>INDEX(RTPrice,C68+20,0)</f>
        <v>0</v>
      </c>
      <c r="E61" s="51">
        <f t="shared" si="28"/>
        <v>4.6399999999999997</v>
      </c>
      <c r="F61" s="51">
        <f t="shared" si="29"/>
        <v>4.6399999999999997</v>
      </c>
      <c r="G61" s="52">
        <f t="shared" si="30"/>
        <v>59.38</v>
      </c>
      <c r="H61" s="53" t="str">
        <f t="shared" si="20"/>
        <v/>
      </c>
      <c r="I61" s="54" t="str">
        <f t="shared" si="21"/>
        <v/>
      </c>
      <c r="J61" s="62" t="str">
        <f t="shared" si="37"/>
        <v/>
      </c>
      <c r="K61" s="63" t="str">
        <f t="shared" si="36"/>
        <v/>
      </c>
      <c r="L61" s="64" t="str">
        <f t="shared" si="38"/>
        <v/>
      </c>
      <c r="M61" s="56" t="str">
        <f t="shared" si="31"/>
        <v/>
      </c>
      <c r="N61" s="57" t="str">
        <f t="shared" si="32"/>
        <v/>
      </c>
      <c r="O61" s="58"/>
      <c r="P61" s="43" t="str">
        <f t="shared" si="33"/>
        <v/>
      </c>
      <c r="Q61" s="59" t="str">
        <f t="shared" si="26"/>
        <v/>
      </c>
      <c r="R61" s="43"/>
      <c r="S61" s="60" t="str">
        <f t="shared" si="34"/>
        <v/>
      </c>
      <c r="T61" s="61" t="str">
        <f t="shared" si="35"/>
        <v/>
      </c>
      <c r="U61" s="46"/>
    </row>
    <row r="62" spans="1:21" x14ac:dyDescent="0.25">
      <c r="A62" s="47">
        <f t="shared" si="27"/>
        <v>37016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4.6399999999999997</v>
      </c>
      <c r="F62" s="51">
        <f t="shared" si="29"/>
        <v>4.6399999999999997</v>
      </c>
      <c r="G62" s="52">
        <f t="shared" si="30"/>
        <v>59.38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5">
      <c r="A63" s="47">
        <f t="shared" si="27"/>
        <v>37016</v>
      </c>
      <c r="B63" s="48">
        <v>23</v>
      </c>
      <c r="C63" s="49">
        <f>INDEX(RtMw,C68+22,0)</f>
        <v>0</v>
      </c>
      <c r="D63" s="50">
        <f>INDEX(RTPrice,C68+22,0)</f>
        <v>0</v>
      </c>
      <c r="E63" s="51">
        <f t="shared" si="28"/>
        <v>4.6399999999999997</v>
      </c>
      <c r="F63" s="51">
        <f t="shared" si="29"/>
        <v>4.6399999999999997</v>
      </c>
      <c r="G63" s="52">
        <f t="shared" si="30"/>
        <v>59.38</v>
      </c>
      <c r="H63" s="53" t="str">
        <f t="shared" si="20"/>
        <v/>
      </c>
      <c r="I63" s="54" t="str">
        <f t="shared" si="21"/>
        <v/>
      </c>
      <c r="J63" s="55" t="str">
        <f>IF(C63=0,"",1)</f>
        <v/>
      </c>
      <c r="K63" s="43" t="str">
        <f>IF(C63=0,"",G63-(D63+1))</f>
        <v/>
      </c>
      <c r="L63" s="43" t="str">
        <f>IF(C63=0,"",C63*J63)</f>
        <v/>
      </c>
      <c r="M63" s="56" t="str">
        <f t="shared" si="31"/>
        <v/>
      </c>
      <c r="N63" s="57" t="str">
        <f t="shared" si="32"/>
        <v/>
      </c>
      <c r="O63" s="58" t="str">
        <f>IF(C63=0,"",D63+1)</f>
        <v/>
      </c>
      <c r="P63" s="43" t="str">
        <f t="shared" si="33"/>
        <v/>
      </c>
      <c r="Q63" s="59" t="str">
        <f t="shared" si="26"/>
        <v/>
      </c>
      <c r="R63" s="43"/>
      <c r="S63" s="60" t="str">
        <f t="shared" si="34"/>
        <v/>
      </c>
      <c r="T63" s="61" t="str">
        <f t="shared" si="35"/>
        <v/>
      </c>
      <c r="U63" s="46"/>
    </row>
    <row r="64" spans="1:21" x14ac:dyDescent="0.25">
      <c r="A64" s="65">
        <f t="shared" si="27"/>
        <v>37016</v>
      </c>
      <c r="B64" s="66">
        <v>24</v>
      </c>
      <c r="C64" s="67">
        <f>INDEX(RtMw,C68+23,0)</f>
        <v>0</v>
      </c>
      <c r="D64" s="68">
        <f>INDEX(RTPrice,C68+23,0)</f>
        <v>0</v>
      </c>
      <c r="E64" s="69">
        <f t="shared" si="28"/>
        <v>4.6399999999999997</v>
      </c>
      <c r="F64" s="69">
        <f>VLOOKUP(A64,Gas,5,FALSE)</f>
        <v>4.6399999999999997</v>
      </c>
      <c r="G64" s="70">
        <f t="shared" si="30"/>
        <v>59.38</v>
      </c>
      <c r="H64" s="71" t="str">
        <f t="shared" si="20"/>
        <v/>
      </c>
      <c r="I64" s="72" t="str">
        <f t="shared" si="21"/>
        <v/>
      </c>
      <c r="J64" s="73" t="str">
        <f>IF(C64=0,"",1)</f>
        <v/>
      </c>
      <c r="K64" s="74" t="str">
        <f>IF(C64=0,"",G64-(D64+1))</f>
        <v/>
      </c>
      <c r="L64" s="74" t="str">
        <f>IF(C64=0,"",C64*J64)</f>
        <v/>
      </c>
      <c r="M64" s="75" t="str">
        <f t="shared" si="31"/>
        <v/>
      </c>
      <c r="N64" s="76" t="str">
        <f t="shared" si="32"/>
        <v/>
      </c>
      <c r="O64" s="77" t="str">
        <f>IF(C64=0,"",D64+1)</f>
        <v/>
      </c>
      <c r="P64" s="74" t="str">
        <f t="shared" si="33"/>
        <v/>
      </c>
      <c r="Q64" s="78" t="str">
        <f t="shared" si="26"/>
        <v/>
      </c>
      <c r="R64" s="43"/>
      <c r="S64" s="79" t="str">
        <f t="shared" si="34"/>
        <v/>
      </c>
      <c r="T64" s="80" t="str">
        <f t="shared" si="35"/>
        <v/>
      </c>
      <c r="U64" s="46"/>
    </row>
    <row r="66" spans="2:17" x14ac:dyDescent="0.25">
      <c r="Q66" s="82">
        <f>SUM(Q41:Q65)</f>
        <v>0</v>
      </c>
    </row>
    <row r="68" spans="2:17" hidden="1" x14ac:dyDescent="0.25">
      <c r="B68" t="s">
        <v>33</v>
      </c>
      <c r="C68">
        <f>MATCH(C2,RTDate,0)</f>
        <v>97</v>
      </c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9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17" sqref="D17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1.88671875" customWidth="1"/>
    <col min="4" max="4" width="24" style="1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1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88">
        <v>37017</v>
      </c>
      <c r="D2" s="4"/>
    </row>
    <row r="3" spans="1:22" s="5" customFormat="1" x14ac:dyDescent="0.25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f>$C$2</f>
        <v>37017</v>
      </c>
      <c r="B7" s="30">
        <v>1</v>
      </c>
      <c r="C7" s="31">
        <f>INDEX(DaMw,C34,0)</f>
        <v>25</v>
      </c>
      <c r="D7" s="90">
        <f>INDEX(DaPrice,C34,0)</f>
        <v>18</v>
      </c>
      <c r="E7" s="33">
        <f>VLOOKUP(A7,Gas,4,FALSE)</f>
        <v>4.6399999999999997</v>
      </c>
      <c r="F7" s="33">
        <f>VLOOKUP(A7,Gas,5,FALSE)</f>
        <v>4.6399999999999997</v>
      </c>
      <c r="G7" s="34">
        <f>VLOOKUP(A7,Bogey,2,FALSE)</f>
        <v>59.66</v>
      </c>
      <c r="H7" s="35">
        <f t="shared" ref="H7:H30" si="0">IF(C7&gt;0,G7-D7,"")</f>
        <v>41.66</v>
      </c>
      <c r="I7" s="36">
        <f t="shared" ref="I7:I30" si="1">IF(C7&gt;0,H7*ABS(C7),"")</f>
        <v>1041.5</v>
      </c>
      <c r="J7" s="37">
        <f t="shared" ref="J7:J12" si="2">IF(C7=0,"",1)</f>
        <v>1</v>
      </c>
      <c r="K7" s="38">
        <f t="shared" ref="K7:K12" si="3">IF(C7=0,"",G7-(D7+1))</f>
        <v>40.659999999999997</v>
      </c>
      <c r="L7" s="38">
        <f t="shared" ref="L7:L12" si="4">IF(C7=0,"",C7*J7)</f>
        <v>25</v>
      </c>
      <c r="M7" s="39">
        <f>IF(C7=0,"",C7*K7)</f>
        <v>1016.4999999999999</v>
      </c>
      <c r="N7" s="40">
        <f>IF(C7=0,"",D7)</f>
        <v>18</v>
      </c>
      <c r="O7" s="41">
        <f t="shared" ref="O7:O12" si="5">IF(C7=0,"",D7+1)</f>
        <v>19</v>
      </c>
      <c r="P7" s="38">
        <f>IF(C7=0,"",N7*C7)</f>
        <v>450</v>
      </c>
      <c r="Q7" s="42">
        <f t="shared" ref="Q7:Q30" si="6">IF(C7=0,"",O7*C7)</f>
        <v>475</v>
      </c>
      <c r="R7" s="43"/>
      <c r="S7" s="44">
        <f>IF(C7=0,"",L7)</f>
        <v>25</v>
      </c>
      <c r="T7" s="45">
        <f>IF(C7=0,"",M7)</f>
        <v>1016.4999999999999</v>
      </c>
      <c r="U7" s="46"/>
    </row>
    <row r="8" spans="1:22" x14ac:dyDescent="0.25">
      <c r="A8" s="47">
        <f t="shared" ref="A8:A30" si="7">$C$2</f>
        <v>37017</v>
      </c>
      <c r="B8" s="48">
        <v>2</v>
      </c>
      <c r="C8" s="49">
        <f>INDEX(DaMw,C34+1,0)</f>
        <v>25</v>
      </c>
      <c r="D8" s="91">
        <f>INDEX(DaPrice,C34+1,0)</f>
        <v>18</v>
      </c>
      <c r="E8" s="51">
        <f t="shared" ref="E8:E30" si="8">VLOOKUP(A8,Gas,4,FALSE)</f>
        <v>4.6399999999999997</v>
      </c>
      <c r="F8" s="51">
        <f t="shared" ref="F8:F29" si="9">VLOOKUP(A8,Gas,5,FALSE)</f>
        <v>4.6399999999999997</v>
      </c>
      <c r="G8" s="52">
        <f t="shared" ref="G8:G30" si="10">VLOOKUP(A8,Bogey,2,FALSE)</f>
        <v>59.66</v>
      </c>
      <c r="H8" s="53">
        <f t="shared" si="0"/>
        <v>41.66</v>
      </c>
      <c r="I8" s="54">
        <f t="shared" si="1"/>
        <v>1041.5</v>
      </c>
      <c r="J8" s="55">
        <f t="shared" si="2"/>
        <v>1</v>
      </c>
      <c r="K8" s="43">
        <f t="shared" si="3"/>
        <v>40.659999999999997</v>
      </c>
      <c r="L8" s="43">
        <f t="shared" si="4"/>
        <v>25</v>
      </c>
      <c r="M8" s="56">
        <f t="shared" ref="M8:M30" si="11">IF(C8=0,"",C8*K8)</f>
        <v>1016.4999999999999</v>
      </c>
      <c r="N8" s="57">
        <f t="shared" ref="N8:N30" si="12">IF(C8=0,"",D8)</f>
        <v>18</v>
      </c>
      <c r="O8" s="58">
        <f t="shared" si="5"/>
        <v>19</v>
      </c>
      <c r="P8" s="43">
        <f t="shared" ref="P8:P30" si="13">IF(C8=0,"",N8*C8)</f>
        <v>450</v>
      </c>
      <c r="Q8" s="59">
        <f t="shared" si="6"/>
        <v>475</v>
      </c>
      <c r="R8" s="43"/>
      <c r="S8" s="60">
        <f t="shared" ref="S8:S30" si="14">IF(C8=0,"",L8)</f>
        <v>25</v>
      </c>
      <c r="T8" s="61">
        <f t="shared" ref="T8:T30" si="15">IF(C8=0,"",M8)</f>
        <v>1016.4999999999999</v>
      </c>
      <c r="U8" s="46"/>
    </row>
    <row r="9" spans="1:22" x14ac:dyDescent="0.25">
      <c r="A9" s="47">
        <f t="shared" si="7"/>
        <v>37017</v>
      </c>
      <c r="B9" s="48">
        <v>3</v>
      </c>
      <c r="C9" s="49">
        <f>INDEX(DaMw,C34+2,0)</f>
        <v>25</v>
      </c>
      <c r="D9" s="91">
        <f>INDEX(DaPrice,C34+2,0)</f>
        <v>18</v>
      </c>
      <c r="E9" s="51">
        <f t="shared" si="8"/>
        <v>4.6399999999999997</v>
      </c>
      <c r="F9" s="51">
        <f t="shared" si="9"/>
        <v>4.6399999999999997</v>
      </c>
      <c r="G9" s="52">
        <f t="shared" si="10"/>
        <v>59.66</v>
      </c>
      <c r="H9" s="53">
        <f t="shared" si="0"/>
        <v>41.66</v>
      </c>
      <c r="I9" s="54">
        <f t="shared" si="1"/>
        <v>1041.5</v>
      </c>
      <c r="J9" s="55">
        <f t="shared" si="2"/>
        <v>1</v>
      </c>
      <c r="K9" s="43">
        <f t="shared" si="3"/>
        <v>40.659999999999997</v>
      </c>
      <c r="L9" s="43">
        <f t="shared" si="4"/>
        <v>25</v>
      </c>
      <c r="M9" s="56">
        <f t="shared" si="11"/>
        <v>1016.4999999999999</v>
      </c>
      <c r="N9" s="57">
        <f t="shared" si="12"/>
        <v>18</v>
      </c>
      <c r="O9" s="58">
        <f t="shared" si="5"/>
        <v>19</v>
      </c>
      <c r="P9" s="43">
        <f t="shared" si="13"/>
        <v>450</v>
      </c>
      <c r="Q9" s="59">
        <f t="shared" si="6"/>
        <v>475</v>
      </c>
      <c r="R9" s="43"/>
      <c r="S9" s="60">
        <f t="shared" si="14"/>
        <v>25</v>
      </c>
      <c r="T9" s="61">
        <f t="shared" si="15"/>
        <v>1016.4999999999999</v>
      </c>
      <c r="U9" s="46"/>
    </row>
    <row r="10" spans="1:22" x14ac:dyDescent="0.25">
      <c r="A10" s="47">
        <f t="shared" si="7"/>
        <v>37017</v>
      </c>
      <c r="B10" s="48">
        <v>4</v>
      </c>
      <c r="C10" s="49">
        <f>INDEX(DaMw,C34+3,0)</f>
        <v>25</v>
      </c>
      <c r="D10" s="91">
        <f>INDEX(DaPrice,C34+3,0)</f>
        <v>18</v>
      </c>
      <c r="E10" s="51">
        <f t="shared" si="8"/>
        <v>4.6399999999999997</v>
      </c>
      <c r="F10" s="51">
        <f t="shared" si="9"/>
        <v>4.6399999999999997</v>
      </c>
      <c r="G10" s="52">
        <f t="shared" si="10"/>
        <v>59.66</v>
      </c>
      <c r="H10" s="53">
        <f t="shared" si="0"/>
        <v>41.66</v>
      </c>
      <c r="I10" s="54">
        <f t="shared" si="1"/>
        <v>1041.5</v>
      </c>
      <c r="J10" s="55">
        <f t="shared" si="2"/>
        <v>1</v>
      </c>
      <c r="K10" s="43">
        <f t="shared" si="3"/>
        <v>40.659999999999997</v>
      </c>
      <c r="L10" s="43">
        <f t="shared" si="4"/>
        <v>25</v>
      </c>
      <c r="M10" s="56">
        <f t="shared" si="11"/>
        <v>1016.4999999999999</v>
      </c>
      <c r="N10" s="57">
        <f t="shared" si="12"/>
        <v>18</v>
      </c>
      <c r="O10" s="58">
        <f t="shared" si="5"/>
        <v>19</v>
      </c>
      <c r="P10" s="43">
        <f t="shared" si="13"/>
        <v>450</v>
      </c>
      <c r="Q10" s="59">
        <f t="shared" si="6"/>
        <v>475</v>
      </c>
      <c r="R10" s="43"/>
      <c r="S10" s="60">
        <f t="shared" si="14"/>
        <v>25</v>
      </c>
      <c r="T10" s="61">
        <f t="shared" si="15"/>
        <v>1016.4999999999999</v>
      </c>
      <c r="U10" s="46"/>
    </row>
    <row r="11" spans="1:22" x14ac:dyDescent="0.25">
      <c r="A11" s="47">
        <f t="shared" si="7"/>
        <v>37017</v>
      </c>
      <c r="B11" s="48">
        <v>5</v>
      </c>
      <c r="C11" s="49">
        <f>INDEX(DaMw,C34+4,0)</f>
        <v>25</v>
      </c>
      <c r="D11" s="91">
        <f>INDEX(DaPrice,C34+4,0)</f>
        <v>18</v>
      </c>
      <c r="E11" s="51">
        <f t="shared" si="8"/>
        <v>4.6399999999999997</v>
      </c>
      <c r="F11" s="51">
        <f t="shared" si="9"/>
        <v>4.6399999999999997</v>
      </c>
      <c r="G11" s="52">
        <f t="shared" si="10"/>
        <v>59.66</v>
      </c>
      <c r="H11" s="53">
        <f t="shared" si="0"/>
        <v>41.66</v>
      </c>
      <c r="I11" s="54">
        <f t="shared" si="1"/>
        <v>1041.5</v>
      </c>
      <c r="J11" s="55">
        <f t="shared" si="2"/>
        <v>1</v>
      </c>
      <c r="K11" s="43">
        <f t="shared" si="3"/>
        <v>40.659999999999997</v>
      </c>
      <c r="L11" s="43">
        <f t="shared" si="4"/>
        <v>25</v>
      </c>
      <c r="M11" s="56">
        <f t="shared" si="11"/>
        <v>1016.4999999999999</v>
      </c>
      <c r="N11" s="57">
        <f t="shared" si="12"/>
        <v>18</v>
      </c>
      <c r="O11" s="58">
        <f t="shared" si="5"/>
        <v>19</v>
      </c>
      <c r="P11" s="43">
        <f t="shared" si="13"/>
        <v>450</v>
      </c>
      <c r="Q11" s="59">
        <f t="shared" si="6"/>
        <v>475</v>
      </c>
      <c r="R11" s="43"/>
      <c r="S11" s="60">
        <f t="shared" si="14"/>
        <v>25</v>
      </c>
      <c r="T11" s="61">
        <f t="shared" si="15"/>
        <v>1016.4999999999999</v>
      </c>
      <c r="U11" s="46"/>
    </row>
    <row r="12" spans="1:22" x14ac:dyDescent="0.25">
      <c r="A12" s="47">
        <f t="shared" si="7"/>
        <v>37017</v>
      </c>
      <c r="B12" s="48">
        <v>6</v>
      </c>
      <c r="C12" s="49">
        <f>INDEX(DaMw,C34+5,0)</f>
        <v>25</v>
      </c>
      <c r="D12" s="91">
        <f>INDEX(DaPrice,C34+5,0)</f>
        <v>18</v>
      </c>
      <c r="E12" s="51">
        <f t="shared" si="8"/>
        <v>4.6399999999999997</v>
      </c>
      <c r="F12" s="51">
        <f t="shared" si="9"/>
        <v>4.6399999999999997</v>
      </c>
      <c r="G12" s="52">
        <f t="shared" si="10"/>
        <v>59.66</v>
      </c>
      <c r="H12" s="53">
        <f t="shared" si="0"/>
        <v>41.66</v>
      </c>
      <c r="I12" s="54">
        <f t="shared" si="1"/>
        <v>1041.5</v>
      </c>
      <c r="J12" s="55">
        <f t="shared" si="2"/>
        <v>1</v>
      </c>
      <c r="K12" s="43">
        <f t="shared" si="3"/>
        <v>40.659999999999997</v>
      </c>
      <c r="L12" s="43">
        <f t="shared" si="4"/>
        <v>25</v>
      </c>
      <c r="M12" s="56">
        <f t="shared" si="11"/>
        <v>1016.4999999999999</v>
      </c>
      <c r="N12" s="57">
        <f t="shared" si="12"/>
        <v>18</v>
      </c>
      <c r="O12" s="58">
        <f t="shared" si="5"/>
        <v>19</v>
      </c>
      <c r="P12" s="43">
        <f t="shared" si="13"/>
        <v>450</v>
      </c>
      <c r="Q12" s="59">
        <f t="shared" si="6"/>
        <v>475</v>
      </c>
      <c r="R12" s="43"/>
      <c r="S12" s="60">
        <f t="shared" si="14"/>
        <v>25</v>
      </c>
      <c r="T12" s="61">
        <f t="shared" si="15"/>
        <v>1016.4999999999999</v>
      </c>
      <c r="U12" s="46"/>
    </row>
    <row r="13" spans="1:22" x14ac:dyDescent="0.25">
      <c r="A13" s="47">
        <f t="shared" si="7"/>
        <v>37017</v>
      </c>
      <c r="B13" s="48">
        <v>7</v>
      </c>
      <c r="C13" s="49">
        <f>INDEX(DaMw,C34+6,0)</f>
        <v>15.804331473479021</v>
      </c>
      <c r="D13" s="91">
        <f>INDEX(DaPrice,C34+6,0)</f>
        <v>34.5</v>
      </c>
      <c r="E13" s="51">
        <f t="shared" si="8"/>
        <v>4.6399999999999997</v>
      </c>
      <c r="F13" s="51">
        <f t="shared" si="9"/>
        <v>4.6399999999999997</v>
      </c>
      <c r="G13" s="52">
        <f t="shared" si="10"/>
        <v>59.66</v>
      </c>
      <c r="H13" s="53">
        <f t="shared" si="0"/>
        <v>25.159999999999997</v>
      </c>
      <c r="I13" s="54">
        <f t="shared" si="1"/>
        <v>397.63697987273213</v>
      </c>
      <c r="J13" s="62">
        <f>IF($C13=0,"",$H13*0.4)</f>
        <v>10.064</v>
      </c>
      <c r="K13" s="63">
        <f t="shared" ref="K13:K28" si="16">IF($C13=0,"",$H13*0.6)</f>
        <v>15.095999999999997</v>
      </c>
      <c r="L13" s="64">
        <f>IF(C13=0,"",J13*$C13)</f>
        <v>159.05479194909287</v>
      </c>
      <c r="M13" s="56">
        <f t="shared" si="11"/>
        <v>238.58218792363925</v>
      </c>
      <c r="N13" s="57">
        <f t="shared" si="12"/>
        <v>34.5</v>
      </c>
      <c r="O13" s="58">
        <f>IF(C13=0,"",D13+J13)</f>
        <v>44.564</v>
      </c>
      <c r="P13" s="43">
        <f t="shared" si="13"/>
        <v>545.24943583502625</v>
      </c>
      <c r="Q13" s="59">
        <f t="shared" si="6"/>
        <v>704.30422778411912</v>
      </c>
      <c r="R13" s="43"/>
      <c r="S13" s="60">
        <f t="shared" si="14"/>
        <v>159.05479194909287</v>
      </c>
      <c r="T13" s="61">
        <f t="shared" si="15"/>
        <v>238.58218792363925</v>
      </c>
      <c r="U13" s="46"/>
    </row>
    <row r="14" spans="1:22" x14ac:dyDescent="0.25">
      <c r="A14" s="47">
        <f t="shared" si="7"/>
        <v>37017</v>
      </c>
      <c r="B14" s="48">
        <v>8</v>
      </c>
      <c r="C14" s="49">
        <f>INDEX(DaMw,C34+7,0)</f>
        <v>16.951998414931062</v>
      </c>
      <c r="D14" s="91">
        <f>INDEX(DaPrice,C34+7,0)</f>
        <v>34.5</v>
      </c>
      <c r="E14" s="51">
        <f t="shared" si="8"/>
        <v>4.6399999999999997</v>
      </c>
      <c r="F14" s="51">
        <f t="shared" si="9"/>
        <v>4.6399999999999997</v>
      </c>
      <c r="G14" s="52">
        <f t="shared" si="10"/>
        <v>59.66</v>
      </c>
      <c r="H14" s="53">
        <f t="shared" si="0"/>
        <v>25.159999999999997</v>
      </c>
      <c r="I14" s="54">
        <f t="shared" si="1"/>
        <v>426.51228011966543</v>
      </c>
      <c r="J14" s="62">
        <f t="shared" ref="J14:J28" si="17">IF($C14=0,"",$H14*0.4)</f>
        <v>10.064</v>
      </c>
      <c r="K14" s="63">
        <f t="shared" si="16"/>
        <v>15.095999999999997</v>
      </c>
      <c r="L14" s="64">
        <f t="shared" ref="L14:L28" si="18">IF(C14=0,"",J14*$C14)</f>
        <v>170.60491204786621</v>
      </c>
      <c r="M14" s="56">
        <f t="shared" si="11"/>
        <v>255.90736807179925</v>
      </c>
      <c r="N14" s="57">
        <f t="shared" si="12"/>
        <v>34.5</v>
      </c>
      <c r="O14" s="58">
        <f t="shared" ref="O14:O28" si="19">IF(C14=0,"",D14+J14)</f>
        <v>44.564</v>
      </c>
      <c r="P14" s="43">
        <f t="shared" si="13"/>
        <v>584.84394531512157</v>
      </c>
      <c r="Q14" s="59">
        <f t="shared" si="6"/>
        <v>755.44885736298784</v>
      </c>
      <c r="R14" s="43"/>
      <c r="S14" s="60">
        <f t="shared" si="14"/>
        <v>170.60491204786621</v>
      </c>
      <c r="T14" s="61">
        <f t="shared" si="15"/>
        <v>255.90736807179925</v>
      </c>
      <c r="U14" s="46"/>
    </row>
    <row r="15" spans="1:22" x14ac:dyDescent="0.25">
      <c r="A15" s="47">
        <f t="shared" si="7"/>
        <v>37017</v>
      </c>
      <c r="B15" s="48">
        <v>9</v>
      </c>
      <c r="C15" s="49">
        <f>INDEX(DaMw,C34+8,0)</f>
        <v>19.00823272962694</v>
      </c>
      <c r="D15" s="91">
        <f>INDEX(DaPrice,C34+8,0)</f>
        <v>34.5</v>
      </c>
      <c r="E15" s="51">
        <f t="shared" si="8"/>
        <v>4.6399999999999997</v>
      </c>
      <c r="F15" s="51">
        <f t="shared" si="9"/>
        <v>4.6399999999999997</v>
      </c>
      <c r="G15" s="52">
        <f t="shared" si="10"/>
        <v>59.66</v>
      </c>
      <c r="H15" s="53">
        <f t="shared" si="0"/>
        <v>25.159999999999997</v>
      </c>
      <c r="I15" s="54">
        <f t="shared" si="1"/>
        <v>478.24713547741374</v>
      </c>
      <c r="J15" s="62">
        <f t="shared" si="17"/>
        <v>10.064</v>
      </c>
      <c r="K15" s="63">
        <f t="shared" si="16"/>
        <v>15.095999999999997</v>
      </c>
      <c r="L15" s="64">
        <f t="shared" si="18"/>
        <v>191.29885419096553</v>
      </c>
      <c r="M15" s="56">
        <f t="shared" si="11"/>
        <v>286.94828128644821</v>
      </c>
      <c r="N15" s="57">
        <f t="shared" si="12"/>
        <v>34.5</v>
      </c>
      <c r="O15" s="58">
        <f t="shared" si="19"/>
        <v>44.564</v>
      </c>
      <c r="P15" s="43">
        <f t="shared" si="13"/>
        <v>655.78402917212941</v>
      </c>
      <c r="Q15" s="59">
        <f t="shared" si="6"/>
        <v>847.08288336309499</v>
      </c>
      <c r="R15" s="43"/>
      <c r="S15" s="60">
        <f t="shared" si="14"/>
        <v>191.29885419096553</v>
      </c>
      <c r="T15" s="61">
        <f t="shared" si="15"/>
        <v>286.94828128644821</v>
      </c>
      <c r="U15" s="46"/>
    </row>
    <row r="16" spans="1:22" x14ac:dyDescent="0.25">
      <c r="A16" s="47">
        <f t="shared" si="7"/>
        <v>37017</v>
      </c>
      <c r="B16" s="48">
        <v>10</v>
      </c>
      <c r="C16" s="49">
        <f>INDEX(DaMw,C34+9,0)</f>
        <v>21.766221019647201</v>
      </c>
      <c r="D16" s="91">
        <f>INDEX(DaPrice,C34+9,0)</f>
        <v>34.5</v>
      </c>
      <c r="E16" s="51">
        <f t="shared" si="8"/>
        <v>4.6399999999999997</v>
      </c>
      <c r="F16" s="51">
        <f t="shared" si="9"/>
        <v>4.6399999999999997</v>
      </c>
      <c r="G16" s="52">
        <f t="shared" si="10"/>
        <v>59.66</v>
      </c>
      <c r="H16" s="53">
        <f t="shared" si="0"/>
        <v>25.159999999999997</v>
      </c>
      <c r="I16" s="54">
        <f t="shared" si="1"/>
        <v>547.63812085432346</v>
      </c>
      <c r="J16" s="62">
        <f t="shared" si="17"/>
        <v>10.064</v>
      </c>
      <c r="K16" s="63">
        <f t="shared" si="16"/>
        <v>15.095999999999997</v>
      </c>
      <c r="L16" s="64">
        <f t="shared" si="18"/>
        <v>219.05524834172942</v>
      </c>
      <c r="M16" s="56">
        <f t="shared" si="11"/>
        <v>328.58287251259407</v>
      </c>
      <c r="N16" s="57">
        <f t="shared" si="12"/>
        <v>34.5</v>
      </c>
      <c r="O16" s="58">
        <f t="shared" si="19"/>
        <v>44.564</v>
      </c>
      <c r="P16" s="43">
        <f t="shared" si="13"/>
        <v>750.93462517782848</v>
      </c>
      <c r="Q16" s="59">
        <f t="shared" si="6"/>
        <v>969.98987351955782</v>
      </c>
      <c r="R16" s="43"/>
      <c r="S16" s="60">
        <f t="shared" si="14"/>
        <v>219.05524834172942</v>
      </c>
      <c r="T16" s="61">
        <f t="shared" si="15"/>
        <v>328.58287251259407</v>
      </c>
      <c r="U16" s="46"/>
    </row>
    <row r="17" spans="1:21" x14ac:dyDescent="0.25">
      <c r="A17" s="47">
        <f t="shared" si="7"/>
        <v>37017</v>
      </c>
      <c r="B17" s="48">
        <v>11</v>
      </c>
      <c r="C17" s="49">
        <f>INDEX(DaMw,C34+10,0)</f>
        <v>22</v>
      </c>
      <c r="D17" s="91">
        <f>INDEX(DaPrice,C34+10,0)</f>
        <v>34.5</v>
      </c>
      <c r="E17" s="51">
        <f t="shared" si="8"/>
        <v>4.6399999999999997</v>
      </c>
      <c r="F17" s="51">
        <f t="shared" si="9"/>
        <v>4.6399999999999997</v>
      </c>
      <c r="G17" s="52">
        <f t="shared" si="10"/>
        <v>59.66</v>
      </c>
      <c r="H17" s="53">
        <f t="shared" si="0"/>
        <v>25.159999999999997</v>
      </c>
      <c r="I17" s="54">
        <f t="shared" si="1"/>
        <v>553.52</v>
      </c>
      <c r="J17" s="62">
        <f t="shared" si="17"/>
        <v>10.064</v>
      </c>
      <c r="K17" s="63">
        <f t="shared" si="16"/>
        <v>15.095999999999997</v>
      </c>
      <c r="L17" s="64">
        <f t="shared" si="18"/>
        <v>221.40800000000002</v>
      </c>
      <c r="M17" s="56">
        <f t="shared" si="11"/>
        <v>332.11199999999991</v>
      </c>
      <c r="N17" s="57">
        <f t="shared" si="12"/>
        <v>34.5</v>
      </c>
      <c r="O17" s="58">
        <f t="shared" si="19"/>
        <v>44.564</v>
      </c>
      <c r="P17" s="43">
        <f t="shared" si="13"/>
        <v>759</v>
      </c>
      <c r="Q17" s="59">
        <f t="shared" si="6"/>
        <v>980.40800000000002</v>
      </c>
      <c r="R17" s="43"/>
      <c r="S17" s="60">
        <f t="shared" si="14"/>
        <v>221.40800000000002</v>
      </c>
      <c r="T17" s="61">
        <f t="shared" si="15"/>
        <v>332.11199999999991</v>
      </c>
      <c r="U17" s="46"/>
    </row>
    <row r="18" spans="1:21" x14ac:dyDescent="0.25">
      <c r="A18" s="47">
        <f t="shared" si="7"/>
        <v>37017</v>
      </c>
      <c r="B18" s="48">
        <v>12</v>
      </c>
      <c r="C18" s="49">
        <f>INDEX(DaMw,C34+11,0)</f>
        <v>23</v>
      </c>
      <c r="D18" s="91">
        <f>INDEX(DaPrice,C34+11,0)</f>
        <v>34.5</v>
      </c>
      <c r="E18" s="51">
        <f t="shared" si="8"/>
        <v>4.6399999999999997</v>
      </c>
      <c r="F18" s="51">
        <f t="shared" si="9"/>
        <v>4.6399999999999997</v>
      </c>
      <c r="G18" s="52">
        <f t="shared" si="10"/>
        <v>59.66</v>
      </c>
      <c r="H18" s="53">
        <f t="shared" si="0"/>
        <v>25.159999999999997</v>
      </c>
      <c r="I18" s="54">
        <f t="shared" si="1"/>
        <v>578.67999999999995</v>
      </c>
      <c r="J18" s="62">
        <f t="shared" si="17"/>
        <v>10.064</v>
      </c>
      <c r="K18" s="63">
        <f t="shared" si="16"/>
        <v>15.095999999999997</v>
      </c>
      <c r="L18" s="64">
        <f t="shared" si="18"/>
        <v>231.47200000000001</v>
      </c>
      <c r="M18" s="56">
        <f t="shared" si="11"/>
        <v>347.20799999999991</v>
      </c>
      <c r="N18" s="57">
        <f t="shared" si="12"/>
        <v>34.5</v>
      </c>
      <c r="O18" s="58">
        <f t="shared" si="19"/>
        <v>44.564</v>
      </c>
      <c r="P18" s="43">
        <f t="shared" si="13"/>
        <v>793.5</v>
      </c>
      <c r="Q18" s="59">
        <f t="shared" si="6"/>
        <v>1024.972</v>
      </c>
      <c r="R18" s="43"/>
      <c r="S18" s="60">
        <f t="shared" si="14"/>
        <v>231.47200000000001</v>
      </c>
      <c r="T18" s="61">
        <f t="shared" si="15"/>
        <v>347.20799999999991</v>
      </c>
      <c r="U18" s="46"/>
    </row>
    <row r="19" spans="1:21" x14ac:dyDescent="0.25">
      <c r="A19" s="47">
        <f t="shared" si="7"/>
        <v>37017</v>
      </c>
      <c r="B19" s="48">
        <v>13</v>
      </c>
      <c r="C19" s="49">
        <f>INDEX(DaMw,C34+12,0)</f>
        <v>23</v>
      </c>
      <c r="D19" s="91">
        <f>INDEX(DaPrice,C34+12,0)</f>
        <v>34.5</v>
      </c>
      <c r="E19" s="51">
        <f t="shared" si="8"/>
        <v>4.6399999999999997</v>
      </c>
      <c r="F19" s="51">
        <f t="shared" si="9"/>
        <v>4.6399999999999997</v>
      </c>
      <c r="G19" s="52">
        <f t="shared" si="10"/>
        <v>59.66</v>
      </c>
      <c r="H19" s="53">
        <f t="shared" si="0"/>
        <v>25.159999999999997</v>
      </c>
      <c r="I19" s="54">
        <f t="shared" si="1"/>
        <v>578.67999999999995</v>
      </c>
      <c r="J19" s="62">
        <f t="shared" si="17"/>
        <v>10.064</v>
      </c>
      <c r="K19" s="63">
        <f t="shared" si="16"/>
        <v>15.095999999999997</v>
      </c>
      <c r="L19" s="64">
        <f t="shared" si="18"/>
        <v>231.47200000000001</v>
      </c>
      <c r="M19" s="56">
        <f t="shared" si="11"/>
        <v>347.20799999999991</v>
      </c>
      <c r="N19" s="57">
        <f t="shared" si="12"/>
        <v>34.5</v>
      </c>
      <c r="O19" s="58">
        <f t="shared" si="19"/>
        <v>44.564</v>
      </c>
      <c r="P19" s="43">
        <f t="shared" si="13"/>
        <v>793.5</v>
      </c>
      <c r="Q19" s="59">
        <f t="shared" si="6"/>
        <v>1024.972</v>
      </c>
      <c r="R19" s="43"/>
      <c r="S19" s="60">
        <f t="shared" si="14"/>
        <v>231.47200000000001</v>
      </c>
      <c r="T19" s="61">
        <f t="shared" si="15"/>
        <v>347.20799999999991</v>
      </c>
      <c r="U19" s="46"/>
    </row>
    <row r="20" spans="1:21" x14ac:dyDescent="0.25">
      <c r="A20" s="47">
        <f t="shared" si="7"/>
        <v>37017</v>
      </c>
      <c r="B20" s="48">
        <v>14</v>
      </c>
      <c r="C20" s="49">
        <f>INDEX(DaMw,C34+13,0)</f>
        <v>23</v>
      </c>
      <c r="D20" s="91">
        <f>INDEX(DaPrice,C34+13,0)</f>
        <v>34.5</v>
      </c>
      <c r="E20" s="51">
        <f t="shared" si="8"/>
        <v>4.6399999999999997</v>
      </c>
      <c r="F20" s="51">
        <f t="shared" si="9"/>
        <v>4.6399999999999997</v>
      </c>
      <c r="G20" s="52">
        <f t="shared" si="10"/>
        <v>59.66</v>
      </c>
      <c r="H20" s="53">
        <f t="shared" si="0"/>
        <v>25.159999999999997</v>
      </c>
      <c r="I20" s="54">
        <f t="shared" si="1"/>
        <v>578.67999999999995</v>
      </c>
      <c r="J20" s="62">
        <f t="shared" si="17"/>
        <v>10.064</v>
      </c>
      <c r="K20" s="63">
        <f t="shared" si="16"/>
        <v>15.095999999999997</v>
      </c>
      <c r="L20" s="64">
        <f t="shared" si="18"/>
        <v>231.47200000000001</v>
      </c>
      <c r="M20" s="56">
        <f t="shared" si="11"/>
        <v>347.20799999999991</v>
      </c>
      <c r="N20" s="57">
        <f t="shared" si="12"/>
        <v>34.5</v>
      </c>
      <c r="O20" s="58">
        <f t="shared" si="19"/>
        <v>44.564</v>
      </c>
      <c r="P20" s="43">
        <f t="shared" si="13"/>
        <v>793.5</v>
      </c>
      <c r="Q20" s="59">
        <f t="shared" si="6"/>
        <v>1024.972</v>
      </c>
      <c r="R20" s="43"/>
      <c r="S20" s="60">
        <f t="shared" si="14"/>
        <v>231.47200000000001</v>
      </c>
      <c r="T20" s="61">
        <f t="shared" si="15"/>
        <v>347.20799999999991</v>
      </c>
      <c r="U20" s="46"/>
    </row>
    <row r="21" spans="1:21" x14ac:dyDescent="0.25">
      <c r="A21" s="47">
        <f t="shared" si="7"/>
        <v>37017</v>
      </c>
      <c r="B21" s="48">
        <v>15</v>
      </c>
      <c r="C21" s="49">
        <f>INDEX(DaMw,C34+14,0)</f>
        <v>23</v>
      </c>
      <c r="D21" s="91">
        <f>INDEX(DaPrice,C34+14,0)</f>
        <v>34.5</v>
      </c>
      <c r="E21" s="51">
        <f t="shared" si="8"/>
        <v>4.6399999999999997</v>
      </c>
      <c r="F21" s="51">
        <f t="shared" si="9"/>
        <v>4.6399999999999997</v>
      </c>
      <c r="G21" s="52">
        <f t="shared" si="10"/>
        <v>59.66</v>
      </c>
      <c r="H21" s="53">
        <f t="shared" si="0"/>
        <v>25.159999999999997</v>
      </c>
      <c r="I21" s="54">
        <f t="shared" si="1"/>
        <v>578.67999999999995</v>
      </c>
      <c r="J21" s="62">
        <f t="shared" si="17"/>
        <v>10.064</v>
      </c>
      <c r="K21" s="63">
        <f t="shared" si="16"/>
        <v>15.095999999999997</v>
      </c>
      <c r="L21" s="64">
        <f t="shared" si="18"/>
        <v>231.47200000000001</v>
      </c>
      <c r="M21" s="56">
        <f t="shared" si="11"/>
        <v>347.20799999999991</v>
      </c>
      <c r="N21" s="57">
        <f t="shared" si="12"/>
        <v>34.5</v>
      </c>
      <c r="O21" s="58">
        <f t="shared" si="19"/>
        <v>44.564</v>
      </c>
      <c r="P21" s="43">
        <f t="shared" si="13"/>
        <v>793.5</v>
      </c>
      <c r="Q21" s="59">
        <f t="shared" si="6"/>
        <v>1024.972</v>
      </c>
      <c r="R21" s="43"/>
      <c r="S21" s="60">
        <f t="shared" si="14"/>
        <v>231.47200000000001</v>
      </c>
      <c r="T21" s="61">
        <f t="shared" si="15"/>
        <v>347.20799999999991</v>
      </c>
      <c r="U21" s="46"/>
    </row>
    <row r="22" spans="1:21" x14ac:dyDescent="0.25">
      <c r="A22" s="47">
        <f t="shared" si="7"/>
        <v>37017</v>
      </c>
      <c r="B22" s="48">
        <v>16</v>
      </c>
      <c r="C22" s="49">
        <f>INDEX(DaMw,C34+15,0)</f>
        <v>24</v>
      </c>
      <c r="D22" s="91">
        <f>INDEX(DaPrice,C34+15,0)</f>
        <v>34.5</v>
      </c>
      <c r="E22" s="51">
        <f t="shared" si="8"/>
        <v>4.6399999999999997</v>
      </c>
      <c r="F22" s="51">
        <f t="shared" si="9"/>
        <v>4.6399999999999997</v>
      </c>
      <c r="G22" s="52">
        <f t="shared" si="10"/>
        <v>59.66</v>
      </c>
      <c r="H22" s="53">
        <f t="shared" si="0"/>
        <v>25.159999999999997</v>
      </c>
      <c r="I22" s="54">
        <f t="shared" si="1"/>
        <v>603.83999999999992</v>
      </c>
      <c r="J22" s="62">
        <f t="shared" si="17"/>
        <v>10.064</v>
      </c>
      <c r="K22" s="63">
        <f t="shared" si="16"/>
        <v>15.095999999999997</v>
      </c>
      <c r="L22" s="64">
        <f t="shared" si="18"/>
        <v>241.536</v>
      </c>
      <c r="M22" s="56">
        <f t="shared" si="11"/>
        <v>362.30399999999992</v>
      </c>
      <c r="N22" s="57">
        <f t="shared" si="12"/>
        <v>34.5</v>
      </c>
      <c r="O22" s="58">
        <f t="shared" si="19"/>
        <v>44.564</v>
      </c>
      <c r="P22" s="43">
        <f t="shared" si="13"/>
        <v>828</v>
      </c>
      <c r="Q22" s="59">
        <f t="shared" si="6"/>
        <v>1069.5360000000001</v>
      </c>
      <c r="R22" s="43"/>
      <c r="S22" s="60">
        <f t="shared" si="14"/>
        <v>241.536</v>
      </c>
      <c r="T22" s="61">
        <f t="shared" si="15"/>
        <v>362.30399999999992</v>
      </c>
      <c r="U22" s="46"/>
    </row>
    <row r="23" spans="1:21" x14ac:dyDescent="0.25">
      <c r="A23" s="47">
        <f t="shared" si="7"/>
        <v>37017</v>
      </c>
      <c r="B23" s="48">
        <v>17</v>
      </c>
      <c r="C23" s="49">
        <f>INDEX(DaMw,C34+16,0)</f>
        <v>22</v>
      </c>
      <c r="D23" s="91">
        <f>INDEX(DaPrice,C34+16,0)</f>
        <v>34.5</v>
      </c>
      <c r="E23" s="51">
        <f t="shared" si="8"/>
        <v>4.6399999999999997</v>
      </c>
      <c r="F23" s="51">
        <f t="shared" si="9"/>
        <v>4.6399999999999997</v>
      </c>
      <c r="G23" s="52">
        <f t="shared" si="10"/>
        <v>59.66</v>
      </c>
      <c r="H23" s="53">
        <f t="shared" si="0"/>
        <v>25.159999999999997</v>
      </c>
      <c r="I23" s="54">
        <f t="shared" si="1"/>
        <v>553.52</v>
      </c>
      <c r="J23" s="62">
        <f t="shared" si="17"/>
        <v>10.064</v>
      </c>
      <c r="K23" s="63">
        <f t="shared" si="16"/>
        <v>15.095999999999997</v>
      </c>
      <c r="L23" s="64">
        <f t="shared" si="18"/>
        <v>221.40800000000002</v>
      </c>
      <c r="M23" s="56">
        <f t="shared" si="11"/>
        <v>332.11199999999991</v>
      </c>
      <c r="N23" s="57">
        <f t="shared" si="12"/>
        <v>34.5</v>
      </c>
      <c r="O23" s="58">
        <f t="shared" si="19"/>
        <v>44.564</v>
      </c>
      <c r="P23" s="43">
        <f t="shared" si="13"/>
        <v>759</v>
      </c>
      <c r="Q23" s="59">
        <f t="shared" si="6"/>
        <v>980.40800000000002</v>
      </c>
      <c r="R23" s="43"/>
      <c r="S23" s="60">
        <f t="shared" si="14"/>
        <v>221.40800000000002</v>
      </c>
      <c r="T23" s="61">
        <f t="shared" si="15"/>
        <v>332.11199999999991</v>
      </c>
      <c r="U23" s="46"/>
    </row>
    <row r="24" spans="1:21" x14ac:dyDescent="0.25">
      <c r="A24" s="47">
        <f t="shared" si="7"/>
        <v>37017</v>
      </c>
      <c r="B24" s="48">
        <v>18</v>
      </c>
      <c r="C24" s="49">
        <f>INDEX(DaMw,C34+17,0)</f>
        <v>22</v>
      </c>
      <c r="D24" s="91">
        <f>INDEX(DaPrice,C34+17,0)</f>
        <v>34.5</v>
      </c>
      <c r="E24" s="51">
        <f t="shared" si="8"/>
        <v>4.6399999999999997</v>
      </c>
      <c r="F24" s="51">
        <f t="shared" si="9"/>
        <v>4.6399999999999997</v>
      </c>
      <c r="G24" s="52">
        <f t="shared" si="10"/>
        <v>59.66</v>
      </c>
      <c r="H24" s="53">
        <f t="shared" si="0"/>
        <v>25.159999999999997</v>
      </c>
      <c r="I24" s="54">
        <f t="shared" si="1"/>
        <v>553.52</v>
      </c>
      <c r="J24" s="62">
        <f t="shared" si="17"/>
        <v>10.064</v>
      </c>
      <c r="K24" s="63">
        <f t="shared" si="16"/>
        <v>15.095999999999997</v>
      </c>
      <c r="L24" s="64">
        <f t="shared" si="18"/>
        <v>221.40800000000002</v>
      </c>
      <c r="M24" s="56">
        <f t="shared" si="11"/>
        <v>332.11199999999991</v>
      </c>
      <c r="N24" s="57">
        <f t="shared" si="12"/>
        <v>34.5</v>
      </c>
      <c r="O24" s="58">
        <f t="shared" si="19"/>
        <v>44.564</v>
      </c>
      <c r="P24" s="43">
        <f t="shared" si="13"/>
        <v>759</v>
      </c>
      <c r="Q24" s="59">
        <f t="shared" si="6"/>
        <v>980.40800000000002</v>
      </c>
      <c r="R24" s="43"/>
      <c r="S24" s="60">
        <f t="shared" si="14"/>
        <v>221.40800000000002</v>
      </c>
      <c r="T24" s="61">
        <f t="shared" si="15"/>
        <v>332.11199999999991</v>
      </c>
      <c r="U24" s="46"/>
    </row>
    <row r="25" spans="1:21" x14ac:dyDescent="0.25">
      <c r="A25" s="47">
        <f t="shared" si="7"/>
        <v>37017</v>
      </c>
      <c r="B25" s="48">
        <v>19</v>
      </c>
      <c r="C25" s="49">
        <f>INDEX(DaMw,C34+18,0)</f>
        <v>23</v>
      </c>
      <c r="D25" s="91">
        <f>INDEX(DaPrice,C34+18,0)</f>
        <v>34.5</v>
      </c>
      <c r="E25" s="51">
        <f t="shared" si="8"/>
        <v>4.6399999999999997</v>
      </c>
      <c r="F25" s="51">
        <f t="shared" si="9"/>
        <v>4.6399999999999997</v>
      </c>
      <c r="G25" s="52">
        <f t="shared" si="10"/>
        <v>59.66</v>
      </c>
      <c r="H25" s="53">
        <f t="shared" si="0"/>
        <v>25.159999999999997</v>
      </c>
      <c r="I25" s="54">
        <f t="shared" si="1"/>
        <v>578.67999999999995</v>
      </c>
      <c r="J25" s="62">
        <f t="shared" si="17"/>
        <v>10.064</v>
      </c>
      <c r="K25" s="63">
        <f t="shared" si="16"/>
        <v>15.095999999999997</v>
      </c>
      <c r="L25" s="64">
        <f t="shared" si="18"/>
        <v>231.47200000000001</v>
      </c>
      <c r="M25" s="56">
        <f t="shared" si="11"/>
        <v>347.20799999999991</v>
      </c>
      <c r="N25" s="57">
        <f t="shared" si="12"/>
        <v>34.5</v>
      </c>
      <c r="O25" s="58">
        <f t="shared" si="19"/>
        <v>44.564</v>
      </c>
      <c r="P25" s="43">
        <f t="shared" si="13"/>
        <v>793.5</v>
      </c>
      <c r="Q25" s="59">
        <f t="shared" si="6"/>
        <v>1024.972</v>
      </c>
      <c r="R25" s="43"/>
      <c r="S25" s="60">
        <f t="shared" si="14"/>
        <v>231.47200000000001</v>
      </c>
      <c r="T25" s="61">
        <f t="shared" si="15"/>
        <v>347.20799999999991</v>
      </c>
      <c r="U25" s="46"/>
    </row>
    <row r="26" spans="1:21" x14ac:dyDescent="0.25">
      <c r="A26" s="47">
        <f t="shared" si="7"/>
        <v>37017</v>
      </c>
      <c r="B26" s="48">
        <v>20</v>
      </c>
      <c r="C26" s="49">
        <f>INDEX(DaMw,C34+19,0)</f>
        <v>23</v>
      </c>
      <c r="D26" s="91">
        <f>INDEX(DaPrice,C34+19,0)</f>
        <v>34.5</v>
      </c>
      <c r="E26" s="51">
        <f t="shared" si="8"/>
        <v>4.6399999999999997</v>
      </c>
      <c r="F26" s="51">
        <f t="shared" si="9"/>
        <v>4.6399999999999997</v>
      </c>
      <c r="G26" s="52">
        <f t="shared" si="10"/>
        <v>59.66</v>
      </c>
      <c r="H26" s="53">
        <f t="shared" si="0"/>
        <v>25.159999999999997</v>
      </c>
      <c r="I26" s="54">
        <f t="shared" si="1"/>
        <v>578.67999999999995</v>
      </c>
      <c r="J26" s="62">
        <f t="shared" si="17"/>
        <v>10.064</v>
      </c>
      <c r="K26" s="63">
        <f t="shared" si="16"/>
        <v>15.095999999999997</v>
      </c>
      <c r="L26" s="64">
        <f t="shared" si="18"/>
        <v>231.47200000000001</v>
      </c>
      <c r="M26" s="56">
        <f t="shared" si="11"/>
        <v>347.20799999999991</v>
      </c>
      <c r="N26" s="57">
        <f t="shared" si="12"/>
        <v>34.5</v>
      </c>
      <c r="O26" s="58">
        <f t="shared" si="19"/>
        <v>44.564</v>
      </c>
      <c r="P26" s="43">
        <f t="shared" si="13"/>
        <v>793.5</v>
      </c>
      <c r="Q26" s="59">
        <f t="shared" si="6"/>
        <v>1024.972</v>
      </c>
      <c r="R26" s="43"/>
      <c r="S26" s="60">
        <f t="shared" si="14"/>
        <v>231.47200000000001</v>
      </c>
      <c r="T26" s="61">
        <f t="shared" si="15"/>
        <v>347.20799999999991</v>
      </c>
      <c r="U26" s="46"/>
    </row>
    <row r="27" spans="1:21" x14ac:dyDescent="0.25">
      <c r="A27" s="47">
        <f t="shared" si="7"/>
        <v>37017</v>
      </c>
      <c r="B27" s="48">
        <v>21</v>
      </c>
      <c r="C27" s="49">
        <f>INDEX(DaMw,C34+20,0)</f>
        <v>27</v>
      </c>
      <c r="D27" s="91">
        <f>INDEX(DaPrice,C34+20,0)</f>
        <v>34.5</v>
      </c>
      <c r="E27" s="51">
        <f t="shared" si="8"/>
        <v>4.6399999999999997</v>
      </c>
      <c r="F27" s="51">
        <f t="shared" si="9"/>
        <v>4.6399999999999997</v>
      </c>
      <c r="G27" s="52">
        <f t="shared" si="10"/>
        <v>59.66</v>
      </c>
      <c r="H27" s="53">
        <f t="shared" si="0"/>
        <v>25.159999999999997</v>
      </c>
      <c r="I27" s="54">
        <f t="shared" si="1"/>
        <v>679.31999999999994</v>
      </c>
      <c r="J27" s="62">
        <f t="shared" si="17"/>
        <v>10.064</v>
      </c>
      <c r="K27" s="63">
        <f t="shared" si="16"/>
        <v>15.095999999999997</v>
      </c>
      <c r="L27" s="64">
        <f t="shared" si="18"/>
        <v>271.72800000000001</v>
      </c>
      <c r="M27" s="56">
        <f t="shared" si="11"/>
        <v>407.59199999999993</v>
      </c>
      <c r="N27" s="57">
        <f t="shared" si="12"/>
        <v>34.5</v>
      </c>
      <c r="O27" s="58">
        <f t="shared" si="19"/>
        <v>44.564</v>
      </c>
      <c r="P27" s="43">
        <f t="shared" si="13"/>
        <v>931.5</v>
      </c>
      <c r="Q27" s="59">
        <f t="shared" si="6"/>
        <v>1203.2280000000001</v>
      </c>
      <c r="R27" s="43"/>
      <c r="S27" s="60">
        <f t="shared" si="14"/>
        <v>271.72800000000001</v>
      </c>
      <c r="T27" s="61">
        <f t="shared" si="15"/>
        <v>407.59199999999993</v>
      </c>
      <c r="U27" s="46"/>
    </row>
    <row r="28" spans="1:21" x14ac:dyDescent="0.25">
      <c r="A28" s="47">
        <f t="shared" si="7"/>
        <v>37017</v>
      </c>
      <c r="B28" s="48">
        <v>22</v>
      </c>
      <c r="C28" s="49">
        <f>INDEX(DaMw,C34+21,0)</f>
        <v>27</v>
      </c>
      <c r="D28" s="91">
        <f>INDEX(DaPrice,C34+21,0)</f>
        <v>34.5</v>
      </c>
      <c r="E28" s="51">
        <f t="shared" si="8"/>
        <v>4.6399999999999997</v>
      </c>
      <c r="F28" s="51">
        <f t="shared" si="9"/>
        <v>4.6399999999999997</v>
      </c>
      <c r="G28" s="52">
        <f t="shared" si="10"/>
        <v>59.66</v>
      </c>
      <c r="H28" s="53">
        <f t="shared" si="0"/>
        <v>25.159999999999997</v>
      </c>
      <c r="I28" s="54">
        <f t="shared" si="1"/>
        <v>679.31999999999994</v>
      </c>
      <c r="J28" s="62">
        <f t="shared" si="17"/>
        <v>10.064</v>
      </c>
      <c r="K28" s="63">
        <f t="shared" si="16"/>
        <v>15.095999999999997</v>
      </c>
      <c r="L28" s="64">
        <f t="shared" si="18"/>
        <v>271.72800000000001</v>
      </c>
      <c r="M28" s="56">
        <f t="shared" si="11"/>
        <v>407.59199999999993</v>
      </c>
      <c r="N28" s="57">
        <f t="shared" si="12"/>
        <v>34.5</v>
      </c>
      <c r="O28" s="58">
        <f t="shared" si="19"/>
        <v>44.564</v>
      </c>
      <c r="P28" s="43">
        <f t="shared" si="13"/>
        <v>931.5</v>
      </c>
      <c r="Q28" s="59">
        <f t="shared" si="6"/>
        <v>1203.2280000000001</v>
      </c>
      <c r="R28" s="43"/>
      <c r="S28" s="60">
        <f t="shared" si="14"/>
        <v>271.72800000000001</v>
      </c>
      <c r="T28" s="61">
        <f t="shared" si="15"/>
        <v>407.59199999999993</v>
      </c>
      <c r="U28" s="46"/>
    </row>
    <row r="29" spans="1:21" x14ac:dyDescent="0.25">
      <c r="A29" s="47">
        <f t="shared" si="7"/>
        <v>37017</v>
      </c>
      <c r="B29" s="48">
        <v>23</v>
      </c>
      <c r="C29" s="49">
        <f>INDEX(DaMw,C34+22,0)</f>
        <v>25</v>
      </c>
      <c r="D29" s="91">
        <f>INDEX(DaPrice,C34+22,0)</f>
        <v>18</v>
      </c>
      <c r="E29" s="51">
        <f t="shared" si="8"/>
        <v>4.6399999999999997</v>
      </c>
      <c r="F29" s="51">
        <f t="shared" si="9"/>
        <v>4.6399999999999997</v>
      </c>
      <c r="G29" s="52">
        <f t="shared" si="10"/>
        <v>59.66</v>
      </c>
      <c r="H29" s="53">
        <f t="shared" si="0"/>
        <v>41.66</v>
      </c>
      <c r="I29" s="54">
        <f t="shared" si="1"/>
        <v>1041.5</v>
      </c>
      <c r="J29" s="55">
        <f>IF(C29=0,"",1)</f>
        <v>1</v>
      </c>
      <c r="K29" s="43">
        <f>IF(C29=0,"",G29-(D29+1))</f>
        <v>40.659999999999997</v>
      </c>
      <c r="L29" s="43">
        <f>IF(C29=0,"",C29*J29)</f>
        <v>25</v>
      </c>
      <c r="M29" s="56">
        <f t="shared" si="11"/>
        <v>1016.4999999999999</v>
      </c>
      <c r="N29" s="57">
        <f t="shared" si="12"/>
        <v>18</v>
      </c>
      <c r="O29" s="58">
        <f>IF(C29=0,"",D29+1)</f>
        <v>19</v>
      </c>
      <c r="P29" s="43">
        <f t="shared" si="13"/>
        <v>450</v>
      </c>
      <c r="Q29" s="59">
        <f t="shared" si="6"/>
        <v>475</v>
      </c>
      <c r="R29" s="43"/>
      <c r="S29" s="60">
        <f t="shared" si="14"/>
        <v>25</v>
      </c>
      <c r="T29" s="61">
        <f t="shared" si="15"/>
        <v>1016.4999999999999</v>
      </c>
      <c r="U29" s="46"/>
    </row>
    <row r="30" spans="1:21" x14ac:dyDescent="0.25">
      <c r="A30" s="65">
        <f t="shared" si="7"/>
        <v>37017</v>
      </c>
      <c r="B30" s="66">
        <v>24</v>
      </c>
      <c r="C30" s="67">
        <f>INDEX(DaMw,C34+23,0)</f>
        <v>25</v>
      </c>
      <c r="D30" s="92">
        <f>INDEX(DaPrice,C34+23,0)</f>
        <v>18</v>
      </c>
      <c r="E30" s="69">
        <f t="shared" si="8"/>
        <v>4.6399999999999997</v>
      </c>
      <c r="F30" s="69">
        <f>VLOOKUP(A30,Gas,5,FALSE)</f>
        <v>4.6399999999999997</v>
      </c>
      <c r="G30" s="70">
        <f t="shared" si="10"/>
        <v>59.66</v>
      </c>
      <c r="H30" s="71">
        <f t="shared" si="0"/>
        <v>41.66</v>
      </c>
      <c r="I30" s="72">
        <f t="shared" si="1"/>
        <v>1041.5</v>
      </c>
      <c r="J30" s="73">
        <f>IF(C30=0,"",1)</f>
        <v>1</v>
      </c>
      <c r="K30" s="74">
        <f>IF(C30=0,"",G30-(D30+1))</f>
        <v>40.659999999999997</v>
      </c>
      <c r="L30" s="74">
        <f>IF(C30=0,"",C30*J30)</f>
        <v>25</v>
      </c>
      <c r="M30" s="75">
        <f t="shared" si="11"/>
        <v>1016.4999999999999</v>
      </c>
      <c r="N30" s="76">
        <f t="shared" si="12"/>
        <v>18</v>
      </c>
      <c r="O30" s="77">
        <f>IF(C30=0,"",D30+1)</f>
        <v>19</v>
      </c>
      <c r="P30" s="74">
        <f t="shared" si="13"/>
        <v>450</v>
      </c>
      <c r="Q30" s="78">
        <f t="shared" si="6"/>
        <v>475</v>
      </c>
      <c r="R30" s="43"/>
      <c r="S30" s="79">
        <f t="shared" si="14"/>
        <v>25</v>
      </c>
      <c r="T30" s="80">
        <f t="shared" si="15"/>
        <v>1016.4999999999999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83"/>
    </row>
    <row r="32" spans="1:21" x14ac:dyDescent="0.25">
      <c r="K32" s="84"/>
      <c r="L32" s="84"/>
      <c r="M32" s="84"/>
      <c r="N32" s="85"/>
      <c r="O32" s="84"/>
      <c r="P32" s="85"/>
      <c r="Q32" s="86">
        <f>SUM(Q7:Q30)</f>
        <v>19643.873842029756</v>
      </c>
      <c r="R32" s="87"/>
      <c r="S32" s="86">
        <f>SUM(S7:S30)</f>
        <v>3778.0618065296544</v>
      </c>
      <c r="T32" s="86">
        <f>SUM(T7:T30)</f>
        <v>13499.09270979448</v>
      </c>
    </row>
    <row r="34" spans="1:22" hidden="1" x14ac:dyDescent="0.25">
      <c r="B34" t="s">
        <v>33</v>
      </c>
      <c r="C34">
        <f>MATCH(C2,DaDate,0)</f>
        <v>121</v>
      </c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5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f>$C$2</f>
        <v>37017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4.6399999999999997</v>
      </c>
      <c r="F41" s="33">
        <f>VLOOKUP(A41,Gas,5,FALSE)</f>
        <v>4.6399999999999997</v>
      </c>
      <c r="G41" s="34">
        <f>VLOOKUP(A41,Bogey,2,FALSE)</f>
        <v>59.66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5">
      <c r="A42" s="47">
        <f t="shared" ref="A42:A64" si="27">$C$2</f>
        <v>37017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4.6399999999999997</v>
      </c>
      <c r="F42" s="51">
        <f t="shared" ref="F42:F63" si="29">VLOOKUP(A42,Gas,5,FALSE)</f>
        <v>4.6399999999999997</v>
      </c>
      <c r="G42" s="52">
        <f t="shared" ref="G42:G64" si="30">VLOOKUP(A42,Bogey,2,FALSE)</f>
        <v>59.66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5">
      <c r="A43" s="47">
        <f t="shared" si="27"/>
        <v>37017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4.6399999999999997</v>
      </c>
      <c r="F43" s="51">
        <f t="shared" si="29"/>
        <v>4.6399999999999997</v>
      </c>
      <c r="G43" s="52">
        <f t="shared" si="30"/>
        <v>59.66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5">
      <c r="A44" s="47">
        <f t="shared" si="27"/>
        <v>37017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4.6399999999999997</v>
      </c>
      <c r="F44" s="51">
        <f t="shared" si="29"/>
        <v>4.6399999999999997</v>
      </c>
      <c r="G44" s="52">
        <f t="shared" si="30"/>
        <v>59.66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5">
      <c r="A45" s="47">
        <f t="shared" si="27"/>
        <v>37017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4.6399999999999997</v>
      </c>
      <c r="F45" s="51">
        <f t="shared" si="29"/>
        <v>4.6399999999999997</v>
      </c>
      <c r="G45" s="52">
        <f t="shared" si="30"/>
        <v>59.66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5">
      <c r="A46" s="47">
        <f t="shared" si="27"/>
        <v>37017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4.6399999999999997</v>
      </c>
      <c r="F46" s="51">
        <f t="shared" si="29"/>
        <v>4.6399999999999997</v>
      </c>
      <c r="G46" s="52">
        <f t="shared" si="30"/>
        <v>59.66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5">
      <c r="A47" s="47">
        <f t="shared" si="27"/>
        <v>37017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4.6399999999999997</v>
      </c>
      <c r="F47" s="51">
        <f t="shared" si="29"/>
        <v>4.6399999999999997</v>
      </c>
      <c r="G47" s="52">
        <f t="shared" si="30"/>
        <v>59.66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5">
      <c r="A48" s="47">
        <f t="shared" si="27"/>
        <v>37017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4.6399999999999997</v>
      </c>
      <c r="F48" s="51">
        <f t="shared" si="29"/>
        <v>4.6399999999999997</v>
      </c>
      <c r="G48" s="52">
        <f t="shared" si="30"/>
        <v>59.66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5">
      <c r="A49" s="47">
        <f t="shared" si="27"/>
        <v>37017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4.6399999999999997</v>
      </c>
      <c r="F49" s="51">
        <f t="shared" si="29"/>
        <v>4.6399999999999997</v>
      </c>
      <c r="G49" s="52">
        <f t="shared" si="30"/>
        <v>59.66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5">
      <c r="A50" s="47">
        <f t="shared" si="27"/>
        <v>37017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4.6399999999999997</v>
      </c>
      <c r="F50" s="51">
        <f t="shared" si="29"/>
        <v>4.6399999999999997</v>
      </c>
      <c r="G50" s="52">
        <f t="shared" si="30"/>
        <v>59.66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5">
      <c r="A51" s="47">
        <f t="shared" si="27"/>
        <v>37017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4.6399999999999997</v>
      </c>
      <c r="F51" s="51">
        <f t="shared" si="29"/>
        <v>4.6399999999999997</v>
      </c>
      <c r="G51" s="52">
        <f t="shared" si="30"/>
        <v>59.66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5">
      <c r="A52" s="47">
        <f t="shared" si="27"/>
        <v>37017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4.6399999999999997</v>
      </c>
      <c r="F52" s="51">
        <f t="shared" si="29"/>
        <v>4.6399999999999997</v>
      </c>
      <c r="G52" s="52">
        <f t="shared" si="30"/>
        <v>59.66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5">
      <c r="A53" s="47">
        <f t="shared" si="27"/>
        <v>37017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4.6399999999999997</v>
      </c>
      <c r="F53" s="51">
        <f t="shared" si="29"/>
        <v>4.6399999999999997</v>
      </c>
      <c r="G53" s="52">
        <f t="shared" si="30"/>
        <v>59.66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5">
      <c r="A54" s="47">
        <f t="shared" si="27"/>
        <v>37017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4.6399999999999997</v>
      </c>
      <c r="F54" s="51">
        <f t="shared" si="29"/>
        <v>4.6399999999999997</v>
      </c>
      <c r="G54" s="52">
        <f t="shared" si="30"/>
        <v>59.66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5">
      <c r="A55" s="47">
        <f t="shared" si="27"/>
        <v>37017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4.6399999999999997</v>
      </c>
      <c r="F55" s="51">
        <f t="shared" si="29"/>
        <v>4.6399999999999997</v>
      </c>
      <c r="G55" s="52">
        <f t="shared" si="30"/>
        <v>59.66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5">
      <c r="A56" s="47">
        <f t="shared" si="27"/>
        <v>37017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4.6399999999999997</v>
      </c>
      <c r="F56" s="51">
        <f t="shared" si="29"/>
        <v>4.6399999999999997</v>
      </c>
      <c r="G56" s="52">
        <f t="shared" si="30"/>
        <v>59.66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5">
      <c r="A57" s="47">
        <f t="shared" si="27"/>
        <v>37017</v>
      </c>
      <c r="B57" s="48">
        <v>17</v>
      </c>
      <c r="C57" s="49">
        <f>INDEX(RtMw,C68+16,0)</f>
        <v>5</v>
      </c>
      <c r="D57" s="50">
        <f>INDEX(RTPrice,C68+16,0)</f>
        <v>35</v>
      </c>
      <c r="E57" s="51">
        <f t="shared" si="28"/>
        <v>4.6399999999999997</v>
      </c>
      <c r="F57" s="51">
        <f t="shared" si="29"/>
        <v>4.6399999999999997</v>
      </c>
      <c r="G57" s="52">
        <f t="shared" si="30"/>
        <v>59.66</v>
      </c>
      <c r="H57" s="53">
        <f t="shared" si="20"/>
        <v>24.659999999999997</v>
      </c>
      <c r="I57" s="54">
        <f t="shared" si="21"/>
        <v>123.29999999999998</v>
      </c>
      <c r="J57" s="62">
        <f t="shared" si="37"/>
        <v>9.863999999999999</v>
      </c>
      <c r="K57" s="63">
        <f t="shared" si="36"/>
        <v>14.795999999999998</v>
      </c>
      <c r="L57" s="64">
        <f t="shared" si="38"/>
        <v>49.319999999999993</v>
      </c>
      <c r="M57" s="56">
        <f t="shared" si="31"/>
        <v>73.97999999999999</v>
      </c>
      <c r="N57" s="57">
        <f t="shared" si="32"/>
        <v>35</v>
      </c>
      <c r="O57" s="58"/>
      <c r="P57" s="43">
        <f t="shared" si="33"/>
        <v>175</v>
      </c>
      <c r="Q57" s="59">
        <f t="shared" si="26"/>
        <v>0</v>
      </c>
      <c r="R57" s="43"/>
      <c r="S57" s="60">
        <f t="shared" si="34"/>
        <v>49.319999999999993</v>
      </c>
      <c r="T57" s="61">
        <f t="shared" si="35"/>
        <v>73.97999999999999</v>
      </c>
      <c r="U57" s="46"/>
    </row>
    <row r="58" spans="1:21" x14ac:dyDescent="0.25">
      <c r="A58" s="47">
        <f t="shared" si="27"/>
        <v>37017</v>
      </c>
      <c r="B58" s="48">
        <v>18</v>
      </c>
      <c r="C58" s="49">
        <f>INDEX(RtMw,C68+17,0)</f>
        <v>5</v>
      </c>
      <c r="D58" s="50">
        <f>INDEX(RTPrice,C68+17,0)</f>
        <v>35</v>
      </c>
      <c r="E58" s="51">
        <f t="shared" si="28"/>
        <v>4.6399999999999997</v>
      </c>
      <c r="F58" s="51">
        <f t="shared" si="29"/>
        <v>4.6399999999999997</v>
      </c>
      <c r="G58" s="52">
        <f t="shared" si="30"/>
        <v>59.66</v>
      </c>
      <c r="H58" s="53">
        <f t="shared" si="20"/>
        <v>24.659999999999997</v>
      </c>
      <c r="I58" s="54">
        <f t="shared" si="21"/>
        <v>123.29999999999998</v>
      </c>
      <c r="J58" s="62">
        <f t="shared" si="37"/>
        <v>9.863999999999999</v>
      </c>
      <c r="K58" s="63">
        <f t="shared" si="36"/>
        <v>14.795999999999998</v>
      </c>
      <c r="L58" s="64">
        <f t="shared" si="38"/>
        <v>49.319999999999993</v>
      </c>
      <c r="M58" s="56">
        <f t="shared" si="31"/>
        <v>73.97999999999999</v>
      </c>
      <c r="N58" s="57">
        <f t="shared" si="32"/>
        <v>35</v>
      </c>
      <c r="O58" s="58"/>
      <c r="P58" s="43">
        <f t="shared" si="33"/>
        <v>175</v>
      </c>
      <c r="Q58" s="59">
        <f t="shared" si="26"/>
        <v>0</v>
      </c>
      <c r="R58" s="43"/>
      <c r="S58" s="60">
        <f t="shared" si="34"/>
        <v>49.319999999999993</v>
      </c>
      <c r="T58" s="61">
        <f t="shared" si="35"/>
        <v>73.97999999999999</v>
      </c>
      <c r="U58" s="46"/>
    </row>
    <row r="59" spans="1:21" x14ac:dyDescent="0.25">
      <c r="A59" s="47">
        <f t="shared" si="27"/>
        <v>37017</v>
      </c>
      <c r="B59" s="48">
        <v>19</v>
      </c>
      <c r="C59" s="49">
        <f>INDEX(RtMw,C68+18,0)</f>
        <v>5</v>
      </c>
      <c r="D59" s="50">
        <f>INDEX(RTPrice,C68+18,0)</f>
        <v>40</v>
      </c>
      <c r="E59" s="51">
        <f t="shared" si="28"/>
        <v>4.6399999999999997</v>
      </c>
      <c r="F59" s="51">
        <f t="shared" si="29"/>
        <v>4.6399999999999997</v>
      </c>
      <c r="G59" s="52">
        <f t="shared" si="30"/>
        <v>59.66</v>
      </c>
      <c r="H59" s="53">
        <f t="shared" si="20"/>
        <v>19.659999999999997</v>
      </c>
      <c r="I59" s="54">
        <f t="shared" si="21"/>
        <v>98.299999999999983</v>
      </c>
      <c r="J59" s="62">
        <f t="shared" si="37"/>
        <v>7.863999999999999</v>
      </c>
      <c r="K59" s="63">
        <f t="shared" si="36"/>
        <v>11.795999999999998</v>
      </c>
      <c r="L59" s="64">
        <f t="shared" si="38"/>
        <v>39.319999999999993</v>
      </c>
      <c r="M59" s="56">
        <f t="shared" si="31"/>
        <v>58.97999999999999</v>
      </c>
      <c r="N59" s="57">
        <f t="shared" si="32"/>
        <v>40</v>
      </c>
      <c r="O59" s="58"/>
      <c r="P59" s="43">
        <f t="shared" si="33"/>
        <v>200</v>
      </c>
      <c r="Q59" s="59">
        <f t="shared" si="26"/>
        <v>0</v>
      </c>
      <c r="R59" s="43"/>
      <c r="S59" s="60">
        <f t="shared" si="34"/>
        <v>39.319999999999993</v>
      </c>
      <c r="T59" s="61">
        <f t="shared" si="35"/>
        <v>58.97999999999999</v>
      </c>
      <c r="U59" s="46"/>
    </row>
    <row r="60" spans="1:21" x14ac:dyDescent="0.25">
      <c r="A60" s="47">
        <f t="shared" si="27"/>
        <v>37017</v>
      </c>
      <c r="B60" s="48">
        <v>20</v>
      </c>
      <c r="C60" s="49">
        <f>INDEX(RtMw,C68+19,0)</f>
        <v>8</v>
      </c>
      <c r="D60" s="50">
        <f>INDEX(RTPrice,C68+19,0)</f>
        <v>40</v>
      </c>
      <c r="E60" s="51">
        <f t="shared" si="28"/>
        <v>4.6399999999999997</v>
      </c>
      <c r="F60" s="51">
        <f t="shared" si="29"/>
        <v>4.6399999999999997</v>
      </c>
      <c r="G60" s="52">
        <f t="shared" si="30"/>
        <v>59.66</v>
      </c>
      <c r="H60" s="53">
        <f t="shared" si="20"/>
        <v>19.659999999999997</v>
      </c>
      <c r="I60" s="54">
        <f t="shared" si="21"/>
        <v>157.27999999999997</v>
      </c>
      <c r="J60" s="62">
        <f t="shared" si="37"/>
        <v>7.863999999999999</v>
      </c>
      <c r="K60" s="63">
        <f t="shared" si="36"/>
        <v>11.795999999999998</v>
      </c>
      <c r="L60" s="64">
        <f t="shared" si="38"/>
        <v>62.911999999999992</v>
      </c>
      <c r="M60" s="56">
        <f t="shared" si="31"/>
        <v>94.367999999999981</v>
      </c>
      <c r="N60" s="57">
        <f t="shared" si="32"/>
        <v>40</v>
      </c>
      <c r="O60" s="58"/>
      <c r="P60" s="43">
        <f t="shared" si="33"/>
        <v>320</v>
      </c>
      <c r="Q60" s="59">
        <f t="shared" si="26"/>
        <v>0</v>
      </c>
      <c r="R60" s="43"/>
      <c r="S60" s="60">
        <f t="shared" si="34"/>
        <v>62.911999999999992</v>
      </c>
      <c r="T60" s="61">
        <f t="shared" si="35"/>
        <v>94.367999999999981</v>
      </c>
      <c r="U60" s="46"/>
    </row>
    <row r="61" spans="1:21" x14ac:dyDescent="0.25">
      <c r="A61" s="47">
        <f t="shared" si="27"/>
        <v>37017</v>
      </c>
      <c r="B61" s="48">
        <v>21</v>
      </c>
      <c r="C61" s="49">
        <f>INDEX(RtMw,C68+20,0)</f>
        <v>6</v>
      </c>
      <c r="D61" s="50">
        <f>INDEX(RTPrice,C68+20,0)</f>
        <v>51</v>
      </c>
      <c r="E61" s="51">
        <f t="shared" si="28"/>
        <v>4.6399999999999997</v>
      </c>
      <c r="F61" s="51">
        <f t="shared" si="29"/>
        <v>4.6399999999999997</v>
      </c>
      <c r="G61" s="52">
        <f t="shared" si="30"/>
        <v>59.66</v>
      </c>
      <c r="H61" s="53">
        <f t="shared" si="20"/>
        <v>8.6599999999999966</v>
      </c>
      <c r="I61" s="54">
        <f t="shared" si="21"/>
        <v>51.95999999999998</v>
      </c>
      <c r="J61" s="62">
        <f t="shared" si="37"/>
        <v>3.4639999999999986</v>
      </c>
      <c r="K61" s="63">
        <f t="shared" si="36"/>
        <v>5.195999999999998</v>
      </c>
      <c r="L61" s="64">
        <f t="shared" si="38"/>
        <v>20.783999999999992</v>
      </c>
      <c r="M61" s="56">
        <f t="shared" si="31"/>
        <v>31.175999999999988</v>
      </c>
      <c r="N61" s="57">
        <f t="shared" si="32"/>
        <v>51</v>
      </c>
      <c r="O61" s="58"/>
      <c r="P61" s="43">
        <f t="shared" si="33"/>
        <v>306</v>
      </c>
      <c r="Q61" s="59">
        <f t="shared" si="26"/>
        <v>0</v>
      </c>
      <c r="R61" s="43"/>
      <c r="S61" s="60">
        <f t="shared" si="34"/>
        <v>20.783999999999992</v>
      </c>
      <c r="T61" s="61">
        <f t="shared" si="35"/>
        <v>31.175999999999988</v>
      </c>
      <c r="U61" s="46"/>
    </row>
    <row r="62" spans="1:21" x14ac:dyDescent="0.25">
      <c r="A62" s="47">
        <f t="shared" si="27"/>
        <v>37017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4.6399999999999997</v>
      </c>
      <c r="F62" s="51">
        <f t="shared" si="29"/>
        <v>4.6399999999999997</v>
      </c>
      <c r="G62" s="52">
        <f t="shared" si="30"/>
        <v>59.66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5">
      <c r="A63" s="47">
        <f t="shared" si="27"/>
        <v>37017</v>
      </c>
      <c r="B63" s="48">
        <v>23</v>
      </c>
      <c r="C63" s="49">
        <f>INDEX(RtMw,C68+22,0)</f>
        <v>4</v>
      </c>
      <c r="D63" s="50">
        <f>INDEX(RTPrice,C68+22,0)</f>
        <v>30</v>
      </c>
      <c r="E63" s="51">
        <f t="shared" si="28"/>
        <v>4.6399999999999997</v>
      </c>
      <c r="F63" s="51">
        <f t="shared" si="29"/>
        <v>4.6399999999999997</v>
      </c>
      <c r="G63" s="52">
        <f t="shared" si="30"/>
        <v>59.66</v>
      </c>
      <c r="H63" s="53">
        <f t="shared" si="20"/>
        <v>29.659999999999997</v>
      </c>
      <c r="I63" s="54">
        <f t="shared" si="21"/>
        <v>118.63999999999999</v>
      </c>
      <c r="J63" s="55">
        <f>IF(C63=0,"",1)</f>
        <v>1</v>
      </c>
      <c r="K63" s="43">
        <f>IF(C63=0,"",G63-(D63+1))</f>
        <v>28.659999999999997</v>
      </c>
      <c r="L63" s="43">
        <f>IF(C63=0,"",C63*J63)</f>
        <v>4</v>
      </c>
      <c r="M63" s="56">
        <f t="shared" si="31"/>
        <v>114.63999999999999</v>
      </c>
      <c r="N63" s="57">
        <f t="shared" si="32"/>
        <v>30</v>
      </c>
      <c r="O63" s="58">
        <f>IF(C63=0,"",D63+1)</f>
        <v>31</v>
      </c>
      <c r="P63" s="43">
        <f t="shared" si="33"/>
        <v>120</v>
      </c>
      <c r="Q63" s="59">
        <f t="shared" si="26"/>
        <v>124</v>
      </c>
      <c r="R63" s="43"/>
      <c r="S63" s="60">
        <f t="shared" si="34"/>
        <v>4</v>
      </c>
      <c r="T63" s="61">
        <f t="shared" si="35"/>
        <v>114.63999999999999</v>
      </c>
      <c r="U63" s="46"/>
    </row>
    <row r="64" spans="1:21" x14ac:dyDescent="0.25">
      <c r="A64" s="65">
        <f t="shared" si="27"/>
        <v>37017</v>
      </c>
      <c r="B64" s="66">
        <v>24</v>
      </c>
      <c r="C64" s="67">
        <f>INDEX(RtMw,C68+23,0)</f>
        <v>4</v>
      </c>
      <c r="D64" s="68">
        <f>INDEX(RTPrice,C68+23,0)</f>
        <v>28</v>
      </c>
      <c r="E64" s="69">
        <f t="shared" si="28"/>
        <v>4.6399999999999997</v>
      </c>
      <c r="F64" s="69">
        <f>VLOOKUP(A64,Gas,5,FALSE)</f>
        <v>4.6399999999999997</v>
      </c>
      <c r="G64" s="70">
        <f t="shared" si="30"/>
        <v>59.66</v>
      </c>
      <c r="H64" s="71">
        <f t="shared" si="20"/>
        <v>31.659999999999997</v>
      </c>
      <c r="I64" s="72">
        <f t="shared" si="21"/>
        <v>126.63999999999999</v>
      </c>
      <c r="J64" s="73">
        <f>IF(C64=0,"",1)</f>
        <v>1</v>
      </c>
      <c r="K64" s="74">
        <f>IF(C64=0,"",G64-(D64+1))</f>
        <v>30.659999999999997</v>
      </c>
      <c r="L64" s="74">
        <f>IF(C64=0,"",C64*J64)</f>
        <v>4</v>
      </c>
      <c r="M64" s="75">
        <f t="shared" si="31"/>
        <v>122.63999999999999</v>
      </c>
      <c r="N64" s="76">
        <f t="shared" si="32"/>
        <v>28</v>
      </c>
      <c r="O64" s="77">
        <f>IF(C64=0,"",D64+1)</f>
        <v>29</v>
      </c>
      <c r="P64" s="74">
        <f t="shared" si="33"/>
        <v>112</v>
      </c>
      <c r="Q64" s="78">
        <f t="shared" si="26"/>
        <v>116</v>
      </c>
      <c r="R64" s="43"/>
      <c r="S64" s="79">
        <f t="shared" si="34"/>
        <v>4</v>
      </c>
      <c r="T64" s="80">
        <f t="shared" si="35"/>
        <v>122.63999999999999</v>
      </c>
      <c r="U64" s="46"/>
    </row>
    <row r="66" spans="2:17" x14ac:dyDescent="0.25">
      <c r="Q66" s="82">
        <f>SUM(Q41:Q65)</f>
        <v>240</v>
      </c>
    </row>
    <row r="68" spans="2:17" hidden="1" x14ac:dyDescent="0.25">
      <c r="B68" t="s">
        <v>33</v>
      </c>
      <c r="C68">
        <f>MATCH(C2,RTDate,0)</f>
        <v>121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8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24" sqref="D24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1.88671875" customWidth="1"/>
    <col min="4" max="4" width="24" style="1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1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88">
        <v>37018</v>
      </c>
      <c r="D2" s="4"/>
    </row>
    <row r="3" spans="1:22" s="5" customFormat="1" x14ac:dyDescent="0.25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f>$C$2</f>
        <v>37018</v>
      </c>
      <c r="B7" s="30">
        <v>1</v>
      </c>
      <c r="C7" s="31">
        <f>INDEX(DaMw,C34,0)</f>
        <v>25</v>
      </c>
      <c r="D7" s="90">
        <f>INDEX(DaPrice,C34,0)</f>
        <v>18</v>
      </c>
      <c r="E7" s="33">
        <f>VLOOKUP(A7,Gas,4,FALSE)</f>
        <v>4.76</v>
      </c>
      <c r="F7" s="33">
        <f>VLOOKUP(A7,Gas,5,FALSE)</f>
        <v>4.76</v>
      </c>
      <c r="G7" s="34">
        <f>VLOOKUP(A7,Bogey,2,FALSE)</f>
        <v>60.57</v>
      </c>
      <c r="H7" s="35">
        <f t="shared" ref="H7:H30" si="0">IF(C7&gt;0,G7-D7,"")</f>
        <v>42.57</v>
      </c>
      <c r="I7" s="36">
        <f t="shared" ref="I7:I30" si="1">IF(C7&gt;0,H7*ABS(C7),"")</f>
        <v>1064.25</v>
      </c>
      <c r="J7" s="37">
        <f t="shared" ref="J7:J12" si="2">IF(C7=0,"",1)</f>
        <v>1</v>
      </c>
      <c r="K7" s="38">
        <f t="shared" ref="K7:K12" si="3">IF(C7=0,"",G7-(D7+1))</f>
        <v>41.57</v>
      </c>
      <c r="L7" s="38">
        <f t="shared" ref="L7:L12" si="4">IF(C7=0,"",C7*J7)</f>
        <v>25</v>
      </c>
      <c r="M7" s="39">
        <f>IF(C7=0,"",C7*K7)</f>
        <v>1039.25</v>
      </c>
      <c r="N7" s="40">
        <f>IF(C7=0,"",D7)</f>
        <v>18</v>
      </c>
      <c r="O7" s="41">
        <f t="shared" ref="O7:O12" si="5">IF(C7=0,"",D7+1)</f>
        <v>19</v>
      </c>
      <c r="P7" s="38">
        <f>IF(C7=0,"",N7*C7)</f>
        <v>450</v>
      </c>
      <c r="Q7" s="42">
        <f t="shared" ref="Q7:Q30" si="6">IF(C7=0,"",O7*C7)</f>
        <v>475</v>
      </c>
      <c r="R7" s="43"/>
      <c r="S7" s="44">
        <f>IF(C7=0,"",L7)</f>
        <v>25</v>
      </c>
      <c r="T7" s="45">
        <f>IF(C7=0,"",M7)</f>
        <v>1039.25</v>
      </c>
      <c r="U7" s="46"/>
    </row>
    <row r="8" spans="1:22" x14ac:dyDescent="0.25">
      <c r="A8" s="47">
        <f t="shared" ref="A8:A30" si="7">$C$2</f>
        <v>37018</v>
      </c>
      <c r="B8" s="48">
        <v>2</v>
      </c>
      <c r="C8" s="49">
        <f>INDEX(DaMw,C34+1,0)</f>
        <v>25</v>
      </c>
      <c r="D8" s="91">
        <f>INDEX(DaPrice,C34+1,0)</f>
        <v>18</v>
      </c>
      <c r="E8" s="51">
        <f t="shared" ref="E8:E30" si="8">VLOOKUP(A8,Gas,4,FALSE)</f>
        <v>4.76</v>
      </c>
      <c r="F8" s="51">
        <f t="shared" ref="F8:F29" si="9">VLOOKUP(A8,Gas,5,FALSE)</f>
        <v>4.76</v>
      </c>
      <c r="G8" s="52">
        <f t="shared" ref="G8:G30" si="10">VLOOKUP(A8,Bogey,2,FALSE)</f>
        <v>60.57</v>
      </c>
      <c r="H8" s="53">
        <f t="shared" si="0"/>
        <v>42.57</v>
      </c>
      <c r="I8" s="54">
        <f t="shared" si="1"/>
        <v>1064.25</v>
      </c>
      <c r="J8" s="55">
        <f t="shared" si="2"/>
        <v>1</v>
      </c>
      <c r="K8" s="43">
        <f t="shared" si="3"/>
        <v>41.57</v>
      </c>
      <c r="L8" s="43">
        <f t="shared" si="4"/>
        <v>25</v>
      </c>
      <c r="M8" s="56">
        <f t="shared" ref="M8:M30" si="11">IF(C8=0,"",C8*K8)</f>
        <v>1039.25</v>
      </c>
      <c r="N8" s="57">
        <f t="shared" ref="N8:N30" si="12">IF(C8=0,"",D8)</f>
        <v>18</v>
      </c>
      <c r="O8" s="58">
        <f t="shared" si="5"/>
        <v>19</v>
      </c>
      <c r="P8" s="43">
        <f t="shared" ref="P8:P30" si="13">IF(C8=0,"",N8*C8)</f>
        <v>450</v>
      </c>
      <c r="Q8" s="59">
        <f t="shared" si="6"/>
        <v>475</v>
      </c>
      <c r="R8" s="43"/>
      <c r="S8" s="60">
        <f t="shared" ref="S8:S30" si="14">IF(C8=0,"",L8)</f>
        <v>25</v>
      </c>
      <c r="T8" s="61">
        <f t="shared" ref="T8:T30" si="15">IF(C8=0,"",M8)</f>
        <v>1039.25</v>
      </c>
      <c r="U8" s="46"/>
    </row>
    <row r="9" spans="1:22" x14ac:dyDescent="0.25">
      <c r="A9" s="47">
        <f t="shared" si="7"/>
        <v>37018</v>
      </c>
      <c r="B9" s="48">
        <v>3</v>
      </c>
      <c r="C9" s="49">
        <f>INDEX(DaMw,C34+2,0)</f>
        <v>25</v>
      </c>
      <c r="D9" s="91">
        <f>INDEX(DaPrice,C34+2,0)</f>
        <v>18</v>
      </c>
      <c r="E9" s="51">
        <f t="shared" si="8"/>
        <v>4.76</v>
      </c>
      <c r="F9" s="51">
        <f t="shared" si="9"/>
        <v>4.76</v>
      </c>
      <c r="G9" s="52">
        <f t="shared" si="10"/>
        <v>60.57</v>
      </c>
      <c r="H9" s="53">
        <f t="shared" si="0"/>
        <v>42.57</v>
      </c>
      <c r="I9" s="54">
        <f t="shared" si="1"/>
        <v>1064.25</v>
      </c>
      <c r="J9" s="55">
        <f t="shared" si="2"/>
        <v>1</v>
      </c>
      <c r="K9" s="43">
        <f t="shared" si="3"/>
        <v>41.57</v>
      </c>
      <c r="L9" s="43">
        <f t="shared" si="4"/>
        <v>25</v>
      </c>
      <c r="M9" s="56">
        <f t="shared" si="11"/>
        <v>1039.25</v>
      </c>
      <c r="N9" s="57">
        <f t="shared" si="12"/>
        <v>18</v>
      </c>
      <c r="O9" s="58">
        <f t="shared" si="5"/>
        <v>19</v>
      </c>
      <c r="P9" s="43">
        <f t="shared" si="13"/>
        <v>450</v>
      </c>
      <c r="Q9" s="59">
        <f t="shared" si="6"/>
        <v>475</v>
      </c>
      <c r="R9" s="43"/>
      <c r="S9" s="60">
        <f t="shared" si="14"/>
        <v>25</v>
      </c>
      <c r="T9" s="61">
        <f t="shared" si="15"/>
        <v>1039.25</v>
      </c>
      <c r="U9" s="46"/>
    </row>
    <row r="10" spans="1:22" x14ac:dyDescent="0.25">
      <c r="A10" s="47">
        <f t="shared" si="7"/>
        <v>37018</v>
      </c>
      <c r="B10" s="48">
        <v>4</v>
      </c>
      <c r="C10" s="49">
        <f>INDEX(DaMw,C34+3,0)</f>
        <v>25</v>
      </c>
      <c r="D10" s="91">
        <f>INDEX(DaPrice,C34+3,0)</f>
        <v>18</v>
      </c>
      <c r="E10" s="51">
        <f t="shared" si="8"/>
        <v>4.76</v>
      </c>
      <c r="F10" s="51">
        <f t="shared" si="9"/>
        <v>4.76</v>
      </c>
      <c r="G10" s="52">
        <f t="shared" si="10"/>
        <v>60.57</v>
      </c>
      <c r="H10" s="53">
        <f t="shared" si="0"/>
        <v>42.57</v>
      </c>
      <c r="I10" s="54">
        <f t="shared" si="1"/>
        <v>1064.25</v>
      </c>
      <c r="J10" s="55">
        <f t="shared" si="2"/>
        <v>1</v>
      </c>
      <c r="K10" s="43">
        <f t="shared" si="3"/>
        <v>41.57</v>
      </c>
      <c r="L10" s="43">
        <f t="shared" si="4"/>
        <v>25</v>
      </c>
      <c r="M10" s="56">
        <f t="shared" si="11"/>
        <v>1039.25</v>
      </c>
      <c r="N10" s="57">
        <f t="shared" si="12"/>
        <v>18</v>
      </c>
      <c r="O10" s="58">
        <f t="shared" si="5"/>
        <v>19</v>
      </c>
      <c r="P10" s="43">
        <f t="shared" si="13"/>
        <v>450</v>
      </c>
      <c r="Q10" s="59">
        <f t="shared" si="6"/>
        <v>475</v>
      </c>
      <c r="R10" s="43"/>
      <c r="S10" s="60">
        <f t="shared" si="14"/>
        <v>25</v>
      </c>
      <c r="T10" s="61">
        <f t="shared" si="15"/>
        <v>1039.25</v>
      </c>
      <c r="U10" s="46"/>
    </row>
    <row r="11" spans="1:22" x14ac:dyDescent="0.25">
      <c r="A11" s="47">
        <f t="shared" si="7"/>
        <v>37018</v>
      </c>
      <c r="B11" s="48">
        <v>5</v>
      </c>
      <c r="C11" s="49">
        <f>INDEX(DaMw,C34+4,0)</f>
        <v>25</v>
      </c>
      <c r="D11" s="91">
        <f>INDEX(DaPrice,C34+4,0)</f>
        <v>18</v>
      </c>
      <c r="E11" s="51">
        <f t="shared" si="8"/>
        <v>4.76</v>
      </c>
      <c r="F11" s="51">
        <f t="shared" si="9"/>
        <v>4.76</v>
      </c>
      <c r="G11" s="52">
        <f t="shared" si="10"/>
        <v>60.57</v>
      </c>
      <c r="H11" s="53">
        <f t="shared" si="0"/>
        <v>42.57</v>
      </c>
      <c r="I11" s="54">
        <f t="shared" si="1"/>
        <v>1064.25</v>
      </c>
      <c r="J11" s="55">
        <f t="shared" si="2"/>
        <v>1</v>
      </c>
      <c r="K11" s="43">
        <f t="shared" si="3"/>
        <v>41.57</v>
      </c>
      <c r="L11" s="43">
        <f t="shared" si="4"/>
        <v>25</v>
      </c>
      <c r="M11" s="56">
        <f t="shared" si="11"/>
        <v>1039.25</v>
      </c>
      <c r="N11" s="57">
        <f t="shared" si="12"/>
        <v>18</v>
      </c>
      <c r="O11" s="58">
        <f t="shared" si="5"/>
        <v>19</v>
      </c>
      <c r="P11" s="43">
        <f t="shared" si="13"/>
        <v>450</v>
      </c>
      <c r="Q11" s="59">
        <f t="shared" si="6"/>
        <v>475</v>
      </c>
      <c r="R11" s="43"/>
      <c r="S11" s="60">
        <f t="shared" si="14"/>
        <v>25</v>
      </c>
      <c r="T11" s="61">
        <f t="shared" si="15"/>
        <v>1039.25</v>
      </c>
      <c r="U11" s="46"/>
    </row>
    <row r="12" spans="1:22" x14ac:dyDescent="0.25">
      <c r="A12" s="47">
        <f t="shared" si="7"/>
        <v>37018</v>
      </c>
      <c r="B12" s="48">
        <v>6</v>
      </c>
      <c r="C12" s="49">
        <f>INDEX(DaMw,C34+5,0)</f>
        <v>25</v>
      </c>
      <c r="D12" s="91">
        <f>INDEX(DaPrice,C34+5,0)</f>
        <v>18</v>
      </c>
      <c r="E12" s="51">
        <f t="shared" si="8"/>
        <v>4.76</v>
      </c>
      <c r="F12" s="51">
        <f t="shared" si="9"/>
        <v>4.76</v>
      </c>
      <c r="G12" s="52">
        <f t="shared" si="10"/>
        <v>60.57</v>
      </c>
      <c r="H12" s="53">
        <f t="shared" si="0"/>
        <v>42.57</v>
      </c>
      <c r="I12" s="54">
        <f t="shared" si="1"/>
        <v>1064.25</v>
      </c>
      <c r="J12" s="55">
        <f t="shared" si="2"/>
        <v>1</v>
      </c>
      <c r="K12" s="43">
        <f t="shared" si="3"/>
        <v>41.57</v>
      </c>
      <c r="L12" s="43">
        <f t="shared" si="4"/>
        <v>25</v>
      </c>
      <c r="M12" s="56">
        <f t="shared" si="11"/>
        <v>1039.25</v>
      </c>
      <c r="N12" s="57">
        <f t="shared" si="12"/>
        <v>18</v>
      </c>
      <c r="O12" s="58">
        <f t="shared" si="5"/>
        <v>19</v>
      </c>
      <c r="P12" s="43">
        <f t="shared" si="13"/>
        <v>450</v>
      </c>
      <c r="Q12" s="59">
        <f t="shared" si="6"/>
        <v>475</v>
      </c>
      <c r="R12" s="43"/>
      <c r="S12" s="60">
        <f t="shared" si="14"/>
        <v>25</v>
      </c>
      <c r="T12" s="61">
        <f t="shared" si="15"/>
        <v>1039.25</v>
      </c>
      <c r="U12" s="46"/>
    </row>
    <row r="13" spans="1:22" x14ac:dyDescent="0.25">
      <c r="A13" s="47">
        <f t="shared" si="7"/>
        <v>37018</v>
      </c>
      <c r="B13" s="48">
        <v>7</v>
      </c>
      <c r="C13" s="49">
        <f>INDEX(DaMw,C34+6,0)</f>
        <v>22</v>
      </c>
      <c r="D13" s="91">
        <f>INDEX(DaPrice,C34+6,0)</f>
        <v>45</v>
      </c>
      <c r="E13" s="51">
        <f t="shared" si="8"/>
        <v>4.76</v>
      </c>
      <c r="F13" s="51">
        <f t="shared" si="9"/>
        <v>4.76</v>
      </c>
      <c r="G13" s="52">
        <f t="shared" si="10"/>
        <v>60.57</v>
      </c>
      <c r="H13" s="53">
        <f t="shared" si="0"/>
        <v>15.57</v>
      </c>
      <c r="I13" s="54">
        <f t="shared" si="1"/>
        <v>342.54</v>
      </c>
      <c r="J13" s="62">
        <f>IF($C13=0,"",$H13*0.4)</f>
        <v>6.2280000000000006</v>
      </c>
      <c r="K13" s="63">
        <f t="shared" ref="K13:K28" si="16">IF($C13=0,"",$H13*0.6)</f>
        <v>9.3420000000000005</v>
      </c>
      <c r="L13" s="64">
        <f>IF(C13=0,"",J13*$C13)</f>
        <v>137.01600000000002</v>
      </c>
      <c r="M13" s="56">
        <f t="shared" si="11"/>
        <v>205.524</v>
      </c>
      <c r="N13" s="57">
        <f t="shared" si="12"/>
        <v>45</v>
      </c>
      <c r="O13" s="58">
        <f>IF(C13=0,"",D13+J13)</f>
        <v>51.228000000000002</v>
      </c>
      <c r="P13" s="43">
        <f t="shared" si="13"/>
        <v>990</v>
      </c>
      <c r="Q13" s="59">
        <f t="shared" si="6"/>
        <v>1127.0160000000001</v>
      </c>
      <c r="R13" s="43"/>
      <c r="S13" s="60">
        <f t="shared" si="14"/>
        <v>137.01600000000002</v>
      </c>
      <c r="T13" s="61">
        <f t="shared" si="15"/>
        <v>205.524</v>
      </c>
      <c r="U13" s="46"/>
    </row>
    <row r="14" spans="1:22" x14ac:dyDescent="0.25">
      <c r="A14" s="47">
        <f t="shared" si="7"/>
        <v>37018</v>
      </c>
      <c r="B14" s="48">
        <v>8</v>
      </c>
      <c r="C14" s="49">
        <f>INDEX(DaMw,C34+7,0)</f>
        <v>26</v>
      </c>
      <c r="D14" s="91">
        <f>INDEX(DaPrice,C34+7,0)</f>
        <v>45</v>
      </c>
      <c r="E14" s="51">
        <f t="shared" si="8"/>
        <v>4.76</v>
      </c>
      <c r="F14" s="51">
        <f t="shared" si="9"/>
        <v>4.76</v>
      </c>
      <c r="G14" s="52">
        <f t="shared" si="10"/>
        <v>60.57</v>
      </c>
      <c r="H14" s="53">
        <f t="shared" si="0"/>
        <v>15.57</v>
      </c>
      <c r="I14" s="54">
        <f t="shared" si="1"/>
        <v>404.82</v>
      </c>
      <c r="J14" s="62">
        <f t="shared" ref="J14:J28" si="17">IF($C14=0,"",$H14*0.4)</f>
        <v>6.2280000000000006</v>
      </c>
      <c r="K14" s="63">
        <f t="shared" si="16"/>
        <v>9.3420000000000005</v>
      </c>
      <c r="L14" s="64">
        <f t="shared" ref="L14:L28" si="18">IF(C14=0,"",J14*$C14)</f>
        <v>161.92800000000003</v>
      </c>
      <c r="M14" s="56">
        <f t="shared" si="11"/>
        <v>242.89200000000002</v>
      </c>
      <c r="N14" s="57">
        <f t="shared" si="12"/>
        <v>45</v>
      </c>
      <c r="O14" s="58">
        <f t="shared" ref="O14:O28" si="19">IF(C14=0,"",D14+J14)</f>
        <v>51.228000000000002</v>
      </c>
      <c r="P14" s="43">
        <f t="shared" si="13"/>
        <v>1170</v>
      </c>
      <c r="Q14" s="59">
        <f t="shared" si="6"/>
        <v>1331.9280000000001</v>
      </c>
      <c r="R14" s="43"/>
      <c r="S14" s="60">
        <f t="shared" si="14"/>
        <v>161.92800000000003</v>
      </c>
      <c r="T14" s="61">
        <f t="shared" si="15"/>
        <v>242.89200000000002</v>
      </c>
      <c r="U14" s="46"/>
    </row>
    <row r="15" spans="1:22" x14ac:dyDescent="0.25">
      <c r="A15" s="47">
        <f t="shared" si="7"/>
        <v>37018</v>
      </c>
      <c r="B15" s="48">
        <v>9</v>
      </c>
      <c r="C15" s="49">
        <f>INDEX(DaMw,C34+8,0)</f>
        <v>32</v>
      </c>
      <c r="D15" s="91">
        <f>INDEX(DaPrice,C34+8,0)</f>
        <v>45</v>
      </c>
      <c r="E15" s="51">
        <f t="shared" si="8"/>
        <v>4.76</v>
      </c>
      <c r="F15" s="51">
        <f t="shared" si="9"/>
        <v>4.76</v>
      </c>
      <c r="G15" s="52">
        <f t="shared" si="10"/>
        <v>60.57</v>
      </c>
      <c r="H15" s="53">
        <f t="shared" si="0"/>
        <v>15.57</v>
      </c>
      <c r="I15" s="54">
        <f t="shared" si="1"/>
        <v>498.24</v>
      </c>
      <c r="J15" s="62">
        <f t="shared" si="17"/>
        <v>6.2280000000000006</v>
      </c>
      <c r="K15" s="63">
        <f t="shared" si="16"/>
        <v>9.3420000000000005</v>
      </c>
      <c r="L15" s="64">
        <f t="shared" si="18"/>
        <v>199.29600000000002</v>
      </c>
      <c r="M15" s="56">
        <f t="shared" si="11"/>
        <v>298.94400000000002</v>
      </c>
      <c r="N15" s="57">
        <f t="shared" si="12"/>
        <v>45</v>
      </c>
      <c r="O15" s="58">
        <f t="shared" si="19"/>
        <v>51.228000000000002</v>
      </c>
      <c r="P15" s="43">
        <f t="shared" si="13"/>
        <v>1440</v>
      </c>
      <c r="Q15" s="59">
        <f t="shared" si="6"/>
        <v>1639.296</v>
      </c>
      <c r="R15" s="43"/>
      <c r="S15" s="60">
        <f t="shared" si="14"/>
        <v>199.29600000000002</v>
      </c>
      <c r="T15" s="61">
        <f t="shared" si="15"/>
        <v>298.94400000000002</v>
      </c>
      <c r="U15" s="46"/>
    </row>
    <row r="16" spans="1:22" x14ac:dyDescent="0.25">
      <c r="A16" s="47">
        <f t="shared" si="7"/>
        <v>37018</v>
      </c>
      <c r="B16" s="48">
        <v>10</v>
      </c>
      <c r="C16" s="49">
        <f>INDEX(DaMw,C34+9,0)</f>
        <v>32</v>
      </c>
      <c r="D16" s="91">
        <f>INDEX(DaPrice,C34+9,0)</f>
        <v>45</v>
      </c>
      <c r="E16" s="51">
        <f t="shared" si="8"/>
        <v>4.76</v>
      </c>
      <c r="F16" s="51">
        <f t="shared" si="9"/>
        <v>4.76</v>
      </c>
      <c r="G16" s="52">
        <f t="shared" si="10"/>
        <v>60.57</v>
      </c>
      <c r="H16" s="53">
        <f t="shared" si="0"/>
        <v>15.57</v>
      </c>
      <c r="I16" s="54">
        <f t="shared" si="1"/>
        <v>498.24</v>
      </c>
      <c r="J16" s="62">
        <f t="shared" si="17"/>
        <v>6.2280000000000006</v>
      </c>
      <c r="K16" s="63">
        <f t="shared" si="16"/>
        <v>9.3420000000000005</v>
      </c>
      <c r="L16" s="64">
        <f t="shared" si="18"/>
        <v>199.29600000000002</v>
      </c>
      <c r="M16" s="56">
        <f t="shared" si="11"/>
        <v>298.94400000000002</v>
      </c>
      <c r="N16" s="57">
        <f t="shared" si="12"/>
        <v>45</v>
      </c>
      <c r="O16" s="58">
        <f t="shared" si="19"/>
        <v>51.228000000000002</v>
      </c>
      <c r="P16" s="43">
        <f t="shared" si="13"/>
        <v>1440</v>
      </c>
      <c r="Q16" s="59">
        <f t="shared" si="6"/>
        <v>1639.296</v>
      </c>
      <c r="R16" s="43"/>
      <c r="S16" s="60">
        <f t="shared" si="14"/>
        <v>199.29600000000002</v>
      </c>
      <c r="T16" s="61">
        <f t="shared" si="15"/>
        <v>298.94400000000002</v>
      </c>
      <c r="U16" s="46"/>
    </row>
    <row r="17" spans="1:21" x14ac:dyDescent="0.25">
      <c r="A17" s="47">
        <f t="shared" si="7"/>
        <v>37018</v>
      </c>
      <c r="B17" s="48">
        <v>11</v>
      </c>
      <c r="C17" s="49">
        <f>INDEX(DaMw,C34+10,0)</f>
        <v>32</v>
      </c>
      <c r="D17" s="91">
        <f>INDEX(DaPrice,C34+10,0)</f>
        <v>45</v>
      </c>
      <c r="E17" s="51">
        <f t="shared" si="8"/>
        <v>4.76</v>
      </c>
      <c r="F17" s="51">
        <f t="shared" si="9"/>
        <v>4.76</v>
      </c>
      <c r="G17" s="52">
        <f t="shared" si="10"/>
        <v>60.57</v>
      </c>
      <c r="H17" s="53">
        <f t="shared" si="0"/>
        <v>15.57</v>
      </c>
      <c r="I17" s="54">
        <f t="shared" si="1"/>
        <v>498.24</v>
      </c>
      <c r="J17" s="62">
        <f t="shared" si="17"/>
        <v>6.2280000000000006</v>
      </c>
      <c r="K17" s="63">
        <f t="shared" si="16"/>
        <v>9.3420000000000005</v>
      </c>
      <c r="L17" s="64">
        <f t="shared" si="18"/>
        <v>199.29600000000002</v>
      </c>
      <c r="M17" s="56">
        <f t="shared" si="11"/>
        <v>298.94400000000002</v>
      </c>
      <c r="N17" s="57">
        <f t="shared" si="12"/>
        <v>45</v>
      </c>
      <c r="O17" s="58">
        <f t="shared" si="19"/>
        <v>51.228000000000002</v>
      </c>
      <c r="P17" s="43">
        <f t="shared" si="13"/>
        <v>1440</v>
      </c>
      <c r="Q17" s="59">
        <f t="shared" si="6"/>
        <v>1639.296</v>
      </c>
      <c r="R17" s="43"/>
      <c r="S17" s="60">
        <f t="shared" si="14"/>
        <v>199.29600000000002</v>
      </c>
      <c r="T17" s="61">
        <f t="shared" si="15"/>
        <v>298.94400000000002</v>
      </c>
      <c r="U17" s="46"/>
    </row>
    <row r="18" spans="1:21" x14ac:dyDescent="0.25">
      <c r="A18" s="47">
        <f t="shared" si="7"/>
        <v>37018</v>
      </c>
      <c r="B18" s="48">
        <v>12</v>
      </c>
      <c r="C18" s="49">
        <f>INDEX(DaMw,C34+11,0)</f>
        <v>33</v>
      </c>
      <c r="D18" s="91">
        <f>INDEX(DaPrice,C34+11,0)</f>
        <v>45</v>
      </c>
      <c r="E18" s="51">
        <f t="shared" si="8"/>
        <v>4.76</v>
      </c>
      <c r="F18" s="51">
        <f t="shared" si="9"/>
        <v>4.76</v>
      </c>
      <c r="G18" s="52">
        <f t="shared" si="10"/>
        <v>60.57</v>
      </c>
      <c r="H18" s="53">
        <f t="shared" si="0"/>
        <v>15.57</v>
      </c>
      <c r="I18" s="54">
        <f t="shared" si="1"/>
        <v>513.81000000000006</v>
      </c>
      <c r="J18" s="62">
        <f t="shared" si="17"/>
        <v>6.2280000000000006</v>
      </c>
      <c r="K18" s="63">
        <f t="shared" si="16"/>
        <v>9.3420000000000005</v>
      </c>
      <c r="L18" s="64">
        <f t="shared" si="18"/>
        <v>205.52400000000003</v>
      </c>
      <c r="M18" s="56">
        <f t="shared" si="11"/>
        <v>308.286</v>
      </c>
      <c r="N18" s="57">
        <f t="shared" si="12"/>
        <v>45</v>
      </c>
      <c r="O18" s="58">
        <f t="shared" si="19"/>
        <v>51.228000000000002</v>
      </c>
      <c r="P18" s="43">
        <f t="shared" si="13"/>
        <v>1485</v>
      </c>
      <c r="Q18" s="59">
        <f t="shared" si="6"/>
        <v>1690.5240000000001</v>
      </c>
      <c r="R18" s="43"/>
      <c r="S18" s="60">
        <f t="shared" si="14"/>
        <v>205.52400000000003</v>
      </c>
      <c r="T18" s="61">
        <f t="shared" si="15"/>
        <v>308.286</v>
      </c>
      <c r="U18" s="46"/>
    </row>
    <row r="19" spans="1:21" x14ac:dyDescent="0.25">
      <c r="A19" s="47">
        <f t="shared" si="7"/>
        <v>37018</v>
      </c>
      <c r="B19" s="48">
        <v>13</v>
      </c>
      <c r="C19" s="49">
        <f>INDEX(DaMw,C34+12,0)</f>
        <v>33</v>
      </c>
      <c r="D19" s="91">
        <f>INDEX(DaPrice,C34+12,0)</f>
        <v>45</v>
      </c>
      <c r="E19" s="51">
        <f t="shared" si="8"/>
        <v>4.76</v>
      </c>
      <c r="F19" s="51">
        <f t="shared" si="9"/>
        <v>4.76</v>
      </c>
      <c r="G19" s="52">
        <f t="shared" si="10"/>
        <v>60.57</v>
      </c>
      <c r="H19" s="53">
        <f t="shared" si="0"/>
        <v>15.57</v>
      </c>
      <c r="I19" s="54">
        <f t="shared" si="1"/>
        <v>513.81000000000006</v>
      </c>
      <c r="J19" s="62">
        <f t="shared" si="17"/>
        <v>6.2280000000000006</v>
      </c>
      <c r="K19" s="63">
        <f t="shared" si="16"/>
        <v>9.3420000000000005</v>
      </c>
      <c r="L19" s="64">
        <f t="shared" si="18"/>
        <v>205.52400000000003</v>
      </c>
      <c r="M19" s="56">
        <f t="shared" si="11"/>
        <v>308.286</v>
      </c>
      <c r="N19" s="57">
        <f t="shared" si="12"/>
        <v>45</v>
      </c>
      <c r="O19" s="58">
        <f t="shared" si="19"/>
        <v>51.228000000000002</v>
      </c>
      <c r="P19" s="43">
        <f t="shared" si="13"/>
        <v>1485</v>
      </c>
      <c r="Q19" s="59">
        <f t="shared" si="6"/>
        <v>1690.5240000000001</v>
      </c>
      <c r="R19" s="43"/>
      <c r="S19" s="60">
        <f t="shared" si="14"/>
        <v>205.52400000000003</v>
      </c>
      <c r="T19" s="61">
        <f t="shared" si="15"/>
        <v>308.286</v>
      </c>
      <c r="U19" s="46"/>
    </row>
    <row r="20" spans="1:21" x14ac:dyDescent="0.25">
      <c r="A20" s="47">
        <f t="shared" si="7"/>
        <v>37018</v>
      </c>
      <c r="B20" s="48">
        <v>14</v>
      </c>
      <c r="C20" s="49">
        <f>INDEX(DaMw,C34+13,0)</f>
        <v>33</v>
      </c>
      <c r="D20" s="91">
        <f>INDEX(DaPrice,C34+13,0)</f>
        <v>45</v>
      </c>
      <c r="E20" s="51">
        <f t="shared" si="8"/>
        <v>4.76</v>
      </c>
      <c r="F20" s="51">
        <f t="shared" si="9"/>
        <v>4.76</v>
      </c>
      <c r="G20" s="52">
        <f t="shared" si="10"/>
        <v>60.57</v>
      </c>
      <c r="H20" s="53">
        <f t="shared" si="0"/>
        <v>15.57</v>
      </c>
      <c r="I20" s="54">
        <f t="shared" si="1"/>
        <v>513.81000000000006</v>
      </c>
      <c r="J20" s="62">
        <f t="shared" si="17"/>
        <v>6.2280000000000006</v>
      </c>
      <c r="K20" s="63">
        <f t="shared" si="16"/>
        <v>9.3420000000000005</v>
      </c>
      <c r="L20" s="64">
        <f t="shared" si="18"/>
        <v>205.52400000000003</v>
      </c>
      <c r="M20" s="56">
        <f t="shared" si="11"/>
        <v>308.286</v>
      </c>
      <c r="N20" s="57">
        <f t="shared" si="12"/>
        <v>45</v>
      </c>
      <c r="O20" s="58">
        <f t="shared" si="19"/>
        <v>51.228000000000002</v>
      </c>
      <c r="P20" s="43">
        <f t="shared" si="13"/>
        <v>1485</v>
      </c>
      <c r="Q20" s="59">
        <f t="shared" si="6"/>
        <v>1690.5240000000001</v>
      </c>
      <c r="R20" s="43"/>
      <c r="S20" s="60">
        <f t="shared" si="14"/>
        <v>205.52400000000003</v>
      </c>
      <c r="T20" s="61">
        <f t="shared" si="15"/>
        <v>308.286</v>
      </c>
      <c r="U20" s="46"/>
    </row>
    <row r="21" spans="1:21" x14ac:dyDescent="0.25">
      <c r="A21" s="47">
        <f t="shared" si="7"/>
        <v>37018</v>
      </c>
      <c r="B21" s="48">
        <v>15</v>
      </c>
      <c r="C21" s="49">
        <f>INDEX(DaMw,C34+14,0)</f>
        <v>33</v>
      </c>
      <c r="D21" s="91">
        <f>INDEX(DaPrice,C34+14,0)</f>
        <v>45</v>
      </c>
      <c r="E21" s="51">
        <f t="shared" si="8"/>
        <v>4.76</v>
      </c>
      <c r="F21" s="51">
        <f t="shared" si="9"/>
        <v>4.76</v>
      </c>
      <c r="G21" s="52">
        <f t="shared" si="10"/>
        <v>60.57</v>
      </c>
      <c r="H21" s="53">
        <f t="shared" si="0"/>
        <v>15.57</v>
      </c>
      <c r="I21" s="54">
        <f t="shared" si="1"/>
        <v>513.81000000000006</v>
      </c>
      <c r="J21" s="62">
        <f t="shared" si="17"/>
        <v>6.2280000000000006</v>
      </c>
      <c r="K21" s="63">
        <f t="shared" si="16"/>
        <v>9.3420000000000005</v>
      </c>
      <c r="L21" s="64">
        <f t="shared" si="18"/>
        <v>205.52400000000003</v>
      </c>
      <c r="M21" s="56">
        <f t="shared" si="11"/>
        <v>308.286</v>
      </c>
      <c r="N21" s="57">
        <f t="shared" si="12"/>
        <v>45</v>
      </c>
      <c r="O21" s="58">
        <f t="shared" si="19"/>
        <v>51.228000000000002</v>
      </c>
      <c r="P21" s="43">
        <f t="shared" si="13"/>
        <v>1485</v>
      </c>
      <c r="Q21" s="59">
        <f t="shared" si="6"/>
        <v>1690.5240000000001</v>
      </c>
      <c r="R21" s="43"/>
      <c r="S21" s="60">
        <f t="shared" si="14"/>
        <v>205.52400000000003</v>
      </c>
      <c r="T21" s="61">
        <f t="shared" si="15"/>
        <v>308.286</v>
      </c>
      <c r="U21" s="46"/>
    </row>
    <row r="22" spans="1:21" x14ac:dyDescent="0.25">
      <c r="A22" s="47">
        <f t="shared" si="7"/>
        <v>37018</v>
      </c>
      <c r="B22" s="48">
        <v>16</v>
      </c>
      <c r="C22" s="49">
        <f>INDEX(DaMw,C34+15,0)</f>
        <v>33</v>
      </c>
      <c r="D22" s="91">
        <f>INDEX(DaPrice,C34+15,0)</f>
        <v>45</v>
      </c>
      <c r="E22" s="51">
        <f t="shared" si="8"/>
        <v>4.76</v>
      </c>
      <c r="F22" s="51">
        <f t="shared" si="9"/>
        <v>4.76</v>
      </c>
      <c r="G22" s="52">
        <f t="shared" si="10"/>
        <v>60.57</v>
      </c>
      <c r="H22" s="53">
        <f t="shared" si="0"/>
        <v>15.57</v>
      </c>
      <c r="I22" s="54">
        <f t="shared" si="1"/>
        <v>513.81000000000006</v>
      </c>
      <c r="J22" s="62">
        <f t="shared" si="17"/>
        <v>6.2280000000000006</v>
      </c>
      <c r="K22" s="63">
        <f t="shared" si="16"/>
        <v>9.3420000000000005</v>
      </c>
      <c r="L22" s="64">
        <f t="shared" si="18"/>
        <v>205.52400000000003</v>
      </c>
      <c r="M22" s="56">
        <f t="shared" si="11"/>
        <v>308.286</v>
      </c>
      <c r="N22" s="57">
        <f t="shared" si="12"/>
        <v>45</v>
      </c>
      <c r="O22" s="58">
        <f t="shared" si="19"/>
        <v>51.228000000000002</v>
      </c>
      <c r="P22" s="43">
        <f t="shared" si="13"/>
        <v>1485</v>
      </c>
      <c r="Q22" s="59">
        <f t="shared" si="6"/>
        <v>1690.5240000000001</v>
      </c>
      <c r="R22" s="43"/>
      <c r="S22" s="60">
        <f t="shared" si="14"/>
        <v>205.52400000000003</v>
      </c>
      <c r="T22" s="61">
        <f t="shared" si="15"/>
        <v>308.286</v>
      </c>
      <c r="U22" s="46"/>
    </row>
    <row r="23" spans="1:21" x14ac:dyDescent="0.25">
      <c r="A23" s="47">
        <f t="shared" si="7"/>
        <v>37018</v>
      </c>
      <c r="B23" s="48">
        <v>17</v>
      </c>
      <c r="C23" s="49">
        <f>INDEX(DaMw,C34+16,0)</f>
        <v>33</v>
      </c>
      <c r="D23" s="91">
        <f>INDEX(DaPrice,C34+16,0)</f>
        <v>45</v>
      </c>
      <c r="E23" s="51">
        <f t="shared" si="8"/>
        <v>4.76</v>
      </c>
      <c r="F23" s="51">
        <f t="shared" si="9"/>
        <v>4.76</v>
      </c>
      <c r="G23" s="52">
        <f t="shared" si="10"/>
        <v>60.57</v>
      </c>
      <c r="H23" s="53">
        <f t="shared" si="0"/>
        <v>15.57</v>
      </c>
      <c r="I23" s="54">
        <f t="shared" si="1"/>
        <v>513.81000000000006</v>
      </c>
      <c r="J23" s="62">
        <f t="shared" si="17"/>
        <v>6.2280000000000006</v>
      </c>
      <c r="K23" s="63">
        <f t="shared" si="16"/>
        <v>9.3420000000000005</v>
      </c>
      <c r="L23" s="64">
        <f t="shared" si="18"/>
        <v>205.52400000000003</v>
      </c>
      <c r="M23" s="56">
        <f t="shared" si="11"/>
        <v>308.286</v>
      </c>
      <c r="N23" s="57">
        <f t="shared" si="12"/>
        <v>45</v>
      </c>
      <c r="O23" s="58">
        <f t="shared" si="19"/>
        <v>51.228000000000002</v>
      </c>
      <c r="P23" s="43">
        <f t="shared" si="13"/>
        <v>1485</v>
      </c>
      <c r="Q23" s="59">
        <f t="shared" si="6"/>
        <v>1690.5240000000001</v>
      </c>
      <c r="R23" s="43"/>
      <c r="S23" s="60">
        <f t="shared" si="14"/>
        <v>205.52400000000003</v>
      </c>
      <c r="T23" s="61">
        <f t="shared" si="15"/>
        <v>308.286</v>
      </c>
      <c r="U23" s="46"/>
    </row>
    <row r="24" spans="1:21" x14ac:dyDescent="0.25">
      <c r="A24" s="47">
        <f t="shared" si="7"/>
        <v>37018</v>
      </c>
      <c r="B24" s="48">
        <v>18</v>
      </c>
      <c r="C24" s="49">
        <f>INDEX(DaMw,C34+17,0)</f>
        <v>30</v>
      </c>
      <c r="D24" s="91">
        <f>INDEX(DaPrice,C34+17,0)</f>
        <v>45</v>
      </c>
      <c r="E24" s="51">
        <f t="shared" si="8"/>
        <v>4.76</v>
      </c>
      <c r="F24" s="51">
        <f t="shared" si="9"/>
        <v>4.76</v>
      </c>
      <c r="G24" s="52">
        <f t="shared" si="10"/>
        <v>60.57</v>
      </c>
      <c r="H24" s="53">
        <f t="shared" si="0"/>
        <v>15.57</v>
      </c>
      <c r="I24" s="54">
        <f t="shared" si="1"/>
        <v>467.1</v>
      </c>
      <c r="J24" s="62">
        <f t="shared" si="17"/>
        <v>6.2280000000000006</v>
      </c>
      <c r="K24" s="63">
        <f t="shared" si="16"/>
        <v>9.3420000000000005</v>
      </c>
      <c r="L24" s="64">
        <f t="shared" si="18"/>
        <v>186.84000000000003</v>
      </c>
      <c r="M24" s="56">
        <f t="shared" si="11"/>
        <v>280.26</v>
      </c>
      <c r="N24" s="57">
        <f t="shared" si="12"/>
        <v>45</v>
      </c>
      <c r="O24" s="58">
        <f t="shared" si="19"/>
        <v>51.228000000000002</v>
      </c>
      <c r="P24" s="43">
        <f t="shared" si="13"/>
        <v>1350</v>
      </c>
      <c r="Q24" s="59">
        <f t="shared" si="6"/>
        <v>1536.8400000000001</v>
      </c>
      <c r="R24" s="43"/>
      <c r="S24" s="60">
        <f t="shared" si="14"/>
        <v>186.84000000000003</v>
      </c>
      <c r="T24" s="61">
        <f t="shared" si="15"/>
        <v>280.26</v>
      </c>
      <c r="U24" s="46"/>
    </row>
    <row r="25" spans="1:21" x14ac:dyDescent="0.25">
      <c r="A25" s="47">
        <f t="shared" si="7"/>
        <v>37018</v>
      </c>
      <c r="B25" s="48">
        <v>19</v>
      </c>
      <c r="C25" s="49">
        <f>INDEX(DaMw,C34+18,0)</f>
        <v>30</v>
      </c>
      <c r="D25" s="91">
        <f>INDEX(DaPrice,C34+18,0)</f>
        <v>45</v>
      </c>
      <c r="E25" s="51">
        <f t="shared" si="8"/>
        <v>4.76</v>
      </c>
      <c r="F25" s="51">
        <f t="shared" si="9"/>
        <v>4.76</v>
      </c>
      <c r="G25" s="52">
        <f t="shared" si="10"/>
        <v>60.57</v>
      </c>
      <c r="H25" s="53">
        <f t="shared" si="0"/>
        <v>15.57</v>
      </c>
      <c r="I25" s="54">
        <f t="shared" si="1"/>
        <v>467.1</v>
      </c>
      <c r="J25" s="62">
        <f t="shared" si="17"/>
        <v>6.2280000000000006</v>
      </c>
      <c r="K25" s="63">
        <f t="shared" si="16"/>
        <v>9.3420000000000005</v>
      </c>
      <c r="L25" s="64">
        <f t="shared" si="18"/>
        <v>186.84000000000003</v>
      </c>
      <c r="M25" s="56">
        <f t="shared" si="11"/>
        <v>280.26</v>
      </c>
      <c r="N25" s="57">
        <f t="shared" si="12"/>
        <v>45</v>
      </c>
      <c r="O25" s="58">
        <f t="shared" si="19"/>
        <v>51.228000000000002</v>
      </c>
      <c r="P25" s="43">
        <f t="shared" si="13"/>
        <v>1350</v>
      </c>
      <c r="Q25" s="59">
        <f t="shared" si="6"/>
        <v>1536.8400000000001</v>
      </c>
      <c r="R25" s="43"/>
      <c r="S25" s="60">
        <f t="shared" si="14"/>
        <v>186.84000000000003</v>
      </c>
      <c r="T25" s="61">
        <f t="shared" si="15"/>
        <v>280.26</v>
      </c>
      <c r="U25" s="46"/>
    </row>
    <row r="26" spans="1:21" x14ac:dyDescent="0.25">
      <c r="A26" s="47">
        <f t="shared" si="7"/>
        <v>37018</v>
      </c>
      <c r="B26" s="48">
        <v>20</v>
      </c>
      <c r="C26" s="49">
        <f>INDEX(DaMw,C34+19,0)</f>
        <v>30</v>
      </c>
      <c r="D26" s="91">
        <f>INDEX(DaPrice,C34+19,0)</f>
        <v>45</v>
      </c>
      <c r="E26" s="51">
        <f t="shared" si="8"/>
        <v>4.76</v>
      </c>
      <c r="F26" s="51">
        <f t="shared" si="9"/>
        <v>4.76</v>
      </c>
      <c r="G26" s="52">
        <f t="shared" si="10"/>
        <v>60.57</v>
      </c>
      <c r="H26" s="53">
        <f t="shared" si="0"/>
        <v>15.57</v>
      </c>
      <c r="I26" s="54">
        <f t="shared" si="1"/>
        <v>467.1</v>
      </c>
      <c r="J26" s="62">
        <f t="shared" si="17"/>
        <v>6.2280000000000006</v>
      </c>
      <c r="K26" s="63">
        <f t="shared" si="16"/>
        <v>9.3420000000000005</v>
      </c>
      <c r="L26" s="64">
        <f t="shared" si="18"/>
        <v>186.84000000000003</v>
      </c>
      <c r="M26" s="56">
        <f t="shared" si="11"/>
        <v>280.26</v>
      </c>
      <c r="N26" s="57">
        <f t="shared" si="12"/>
        <v>45</v>
      </c>
      <c r="O26" s="58">
        <f t="shared" si="19"/>
        <v>51.228000000000002</v>
      </c>
      <c r="P26" s="43">
        <f t="shared" si="13"/>
        <v>1350</v>
      </c>
      <c r="Q26" s="59">
        <f t="shared" si="6"/>
        <v>1536.8400000000001</v>
      </c>
      <c r="R26" s="43"/>
      <c r="S26" s="60">
        <f t="shared" si="14"/>
        <v>186.84000000000003</v>
      </c>
      <c r="T26" s="61">
        <f t="shared" si="15"/>
        <v>280.26</v>
      </c>
      <c r="U26" s="46"/>
    </row>
    <row r="27" spans="1:21" x14ac:dyDescent="0.25">
      <c r="A27" s="47">
        <f t="shared" si="7"/>
        <v>37018</v>
      </c>
      <c r="B27" s="48">
        <v>21</v>
      </c>
      <c r="C27" s="49">
        <f>INDEX(DaMw,C34+20,0)</f>
        <v>33</v>
      </c>
      <c r="D27" s="91">
        <f>INDEX(DaPrice,C34+20,0)</f>
        <v>45</v>
      </c>
      <c r="E27" s="51">
        <f t="shared" si="8"/>
        <v>4.76</v>
      </c>
      <c r="F27" s="51">
        <f t="shared" si="9"/>
        <v>4.76</v>
      </c>
      <c r="G27" s="52">
        <f t="shared" si="10"/>
        <v>60.57</v>
      </c>
      <c r="H27" s="53">
        <f t="shared" si="0"/>
        <v>15.57</v>
      </c>
      <c r="I27" s="54">
        <f t="shared" si="1"/>
        <v>513.81000000000006</v>
      </c>
      <c r="J27" s="62">
        <f t="shared" si="17"/>
        <v>6.2280000000000006</v>
      </c>
      <c r="K27" s="63">
        <f t="shared" si="16"/>
        <v>9.3420000000000005</v>
      </c>
      <c r="L27" s="64">
        <f t="shared" si="18"/>
        <v>205.52400000000003</v>
      </c>
      <c r="M27" s="56">
        <f t="shared" si="11"/>
        <v>308.286</v>
      </c>
      <c r="N27" s="57">
        <f t="shared" si="12"/>
        <v>45</v>
      </c>
      <c r="O27" s="58">
        <f t="shared" si="19"/>
        <v>51.228000000000002</v>
      </c>
      <c r="P27" s="43">
        <f t="shared" si="13"/>
        <v>1485</v>
      </c>
      <c r="Q27" s="59">
        <f t="shared" si="6"/>
        <v>1690.5240000000001</v>
      </c>
      <c r="R27" s="43"/>
      <c r="S27" s="60">
        <f t="shared" si="14"/>
        <v>205.52400000000003</v>
      </c>
      <c r="T27" s="61">
        <f t="shared" si="15"/>
        <v>308.286</v>
      </c>
      <c r="U27" s="46"/>
    </row>
    <row r="28" spans="1:21" x14ac:dyDescent="0.25">
      <c r="A28" s="47">
        <f t="shared" si="7"/>
        <v>37018</v>
      </c>
      <c r="B28" s="48">
        <v>22</v>
      </c>
      <c r="C28" s="49">
        <f>INDEX(DaMw,C34+21,0)</f>
        <v>33</v>
      </c>
      <c r="D28" s="91">
        <f>INDEX(DaPrice,C34+21,0)</f>
        <v>45</v>
      </c>
      <c r="E28" s="51">
        <f t="shared" si="8"/>
        <v>4.76</v>
      </c>
      <c r="F28" s="51">
        <f t="shared" si="9"/>
        <v>4.76</v>
      </c>
      <c r="G28" s="52">
        <f t="shared" si="10"/>
        <v>60.57</v>
      </c>
      <c r="H28" s="53">
        <f t="shared" si="0"/>
        <v>15.57</v>
      </c>
      <c r="I28" s="54">
        <f t="shared" si="1"/>
        <v>513.81000000000006</v>
      </c>
      <c r="J28" s="62">
        <f t="shared" si="17"/>
        <v>6.2280000000000006</v>
      </c>
      <c r="K28" s="63">
        <f t="shared" si="16"/>
        <v>9.3420000000000005</v>
      </c>
      <c r="L28" s="64">
        <f t="shared" si="18"/>
        <v>205.52400000000003</v>
      </c>
      <c r="M28" s="56">
        <f t="shared" si="11"/>
        <v>308.286</v>
      </c>
      <c r="N28" s="57">
        <f t="shared" si="12"/>
        <v>45</v>
      </c>
      <c r="O28" s="58">
        <f t="shared" si="19"/>
        <v>51.228000000000002</v>
      </c>
      <c r="P28" s="43">
        <f t="shared" si="13"/>
        <v>1485</v>
      </c>
      <c r="Q28" s="59">
        <f t="shared" si="6"/>
        <v>1690.5240000000001</v>
      </c>
      <c r="R28" s="43"/>
      <c r="S28" s="60">
        <f t="shared" si="14"/>
        <v>205.52400000000003</v>
      </c>
      <c r="T28" s="61">
        <f t="shared" si="15"/>
        <v>308.286</v>
      </c>
      <c r="U28" s="46"/>
    </row>
    <row r="29" spans="1:21" x14ac:dyDescent="0.25">
      <c r="A29" s="47">
        <f t="shared" si="7"/>
        <v>37018</v>
      </c>
      <c r="B29" s="48">
        <v>23</v>
      </c>
      <c r="C29" s="49">
        <f>INDEX(DaMw,C34+22,0)</f>
        <v>25</v>
      </c>
      <c r="D29" s="91">
        <f>INDEX(DaPrice,C34+22,0)</f>
        <v>18</v>
      </c>
      <c r="E29" s="51">
        <f t="shared" si="8"/>
        <v>4.76</v>
      </c>
      <c r="F29" s="51">
        <f t="shared" si="9"/>
        <v>4.76</v>
      </c>
      <c r="G29" s="52">
        <f t="shared" si="10"/>
        <v>60.57</v>
      </c>
      <c r="H29" s="53">
        <f t="shared" si="0"/>
        <v>42.57</v>
      </c>
      <c r="I29" s="54">
        <f t="shared" si="1"/>
        <v>1064.25</v>
      </c>
      <c r="J29" s="55">
        <f>IF(C29=0,"",1)</f>
        <v>1</v>
      </c>
      <c r="K29" s="43">
        <f>IF(C29=0,"",G29-(D29+1))</f>
        <v>41.57</v>
      </c>
      <c r="L29" s="43">
        <f>IF(C29=0,"",C29*J29)</f>
        <v>25</v>
      </c>
      <c r="M29" s="56">
        <f t="shared" si="11"/>
        <v>1039.25</v>
      </c>
      <c r="N29" s="57">
        <f t="shared" si="12"/>
        <v>18</v>
      </c>
      <c r="O29" s="58">
        <f>IF(C29=0,"",D29+1)</f>
        <v>19</v>
      </c>
      <c r="P29" s="43">
        <f t="shared" si="13"/>
        <v>450</v>
      </c>
      <c r="Q29" s="59">
        <f t="shared" si="6"/>
        <v>475</v>
      </c>
      <c r="R29" s="43"/>
      <c r="S29" s="60">
        <f t="shared" si="14"/>
        <v>25</v>
      </c>
      <c r="T29" s="61">
        <f t="shared" si="15"/>
        <v>1039.25</v>
      </c>
      <c r="U29" s="46"/>
    </row>
    <row r="30" spans="1:21" x14ac:dyDescent="0.25">
      <c r="A30" s="65">
        <f t="shared" si="7"/>
        <v>37018</v>
      </c>
      <c r="B30" s="66">
        <v>24</v>
      </c>
      <c r="C30" s="67">
        <f>INDEX(DaMw,C34+23,0)</f>
        <v>25</v>
      </c>
      <c r="D30" s="92">
        <f>INDEX(DaPrice,C34+23,0)</f>
        <v>18</v>
      </c>
      <c r="E30" s="69">
        <f t="shared" si="8"/>
        <v>4.76</v>
      </c>
      <c r="F30" s="69">
        <f>VLOOKUP(A30,Gas,5,FALSE)</f>
        <v>4.76</v>
      </c>
      <c r="G30" s="70">
        <f t="shared" si="10"/>
        <v>60.57</v>
      </c>
      <c r="H30" s="71">
        <f t="shared" si="0"/>
        <v>42.57</v>
      </c>
      <c r="I30" s="72">
        <f t="shared" si="1"/>
        <v>1064.25</v>
      </c>
      <c r="J30" s="73">
        <f>IF(C30=0,"",1)</f>
        <v>1</v>
      </c>
      <c r="K30" s="74">
        <f>IF(C30=0,"",G30-(D30+1))</f>
        <v>41.57</v>
      </c>
      <c r="L30" s="74">
        <f>IF(C30=0,"",C30*J30)</f>
        <v>25</v>
      </c>
      <c r="M30" s="75">
        <f t="shared" si="11"/>
        <v>1039.25</v>
      </c>
      <c r="N30" s="76">
        <f t="shared" si="12"/>
        <v>18</v>
      </c>
      <c r="O30" s="77">
        <f>IF(C30=0,"",D30+1)</f>
        <v>19</v>
      </c>
      <c r="P30" s="74">
        <f t="shared" si="13"/>
        <v>450</v>
      </c>
      <c r="Q30" s="78">
        <f t="shared" si="6"/>
        <v>475</v>
      </c>
      <c r="R30" s="43"/>
      <c r="S30" s="79">
        <f t="shared" si="14"/>
        <v>25</v>
      </c>
      <c r="T30" s="80">
        <f t="shared" si="15"/>
        <v>1039.25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83"/>
    </row>
    <row r="32" spans="1:21" x14ac:dyDescent="0.25">
      <c r="K32" s="84"/>
      <c r="L32" s="84"/>
      <c r="M32" s="84"/>
      <c r="N32" s="85"/>
      <c r="O32" s="84"/>
      <c r="P32" s="85"/>
      <c r="Q32" s="86">
        <f>SUM(Q7:Q30)</f>
        <v>29311.544000000005</v>
      </c>
      <c r="R32" s="87"/>
      <c r="S32" s="86">
        <f>SUM(S7:S30)</f>
        <v>3301.5440000000008</v>
      </c>
      <c r="T32" s="86">
        <f>SUM(T7:T30)</f>
        <v>12966.316000000003</v>
      </c>
    </row>
    <row r="34" spans="1:22" hidden="1" x14ac:dyDescent="0.25">
      <c r="B34" t="s">
        <v>33</v>
      </c>
      <c r="C34">
        <f>MATCH(C2,DaDate,0)</f>
        <v>145</v>
      </c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5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f>$C$2</f>
        <v>37018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4.76</v>
      </c>
      <c r="F41" s="33">
        <f>VLOOKUP(A41,Gas,5,FALSE)</f>
        <v>4.76</v>
      </c>
      <c r="G41" s="34">
        <f>VLOOKUP(A41,Bogey,2,FALSE)</f>
        <v>60.57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5">
      <c r="A42" s="47">
        <f t="shared" ref="A42:A64" si="27">$C$2</f>
        <v>37018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4.76</v>
      </c>
      <c r="F42" s="51">
        <f t="shared" ref="F42:F63" si="29">VLOOKUP(A42,Gas,5,FALSE)</f>
        <v>4.76</v>
      </c>
      <c r="G42" s="52">
        <f t="shared" ref="G42:G64" si="30">VLOOKUP(A42,Bogey,2,FALSE)</f>
        <v>60.57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5">
      <c r="A43" s="47">
        <f t="shared" si="27"/>
        <v>37018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4.76</v>
      </c>
      <c r="F43" s="51">
        <f t="shared" si="29"/>
        <v>4.76</v>
      </c>
      <c r="G43" s="52">
        <f t="shared" si="30"/>
        <v>60.57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5">
      <c r="A44" s="47">
        <f t="shared" si="27"/>
        <v>37018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4.76</v>
      </c>
      <c r="F44" s="51">
        <f t="shared" si="29"/>
        <v>4.76</v>
      </c>
      <c r="G44" s="52">
        <f t="shared" si="30"/>
        <v>60.57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5">
      <c r="A45" s="47">
        <f t="shared" si="27"/>
        <v>37018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4.76</v>
      </c>
      <c r="F45" s="51">
        <f t="shared" si="29"/>
        <v>4.76</v>
      </c>
      <c r="G45" s="52">
        <f t="shared" si="30"/>
        <v>60.57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5">
      <c r="A46" s="47">
        <f t="shared" si="27"/>
        <v>37018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4.76</v>
      </c>
      <c r="F46" s="51">
        <f t="shared" si="29"/>
        <v>4.76</v>
      </c>
      <c r="G46" s="52">
        <f t="shared" si="30"/>
        <v>60.57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5">
      <c r="A47" s="47">
        <f t="shared" si="27"/>
        <v>37018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4.76</v>
      </c>
      <c r="F47" s="51">
        <f t="shared" si="29"/>
        <v>4.76</v>
      </c>
      <c r="G47" s="52">
        <f t="shared" si="30"/>
        <v>60.57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5">
      <c r="A48" s="47">
        <f t="shared" si="27"/>
        <v>37018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4.76</v>
      </c>
      <c r="F48" s="51">
        <f t="shared" si="29"/>
        <v>4.76</v>
      </c>
      <c r="G48" s="52">
        <f t="shared" si="30"/>
        <v>60.57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5">
      <c r="A49" s="47">
        <f t="shared" si="27"/>
        <v>37018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4.76</v>
      </c>
      <c r="F49" s="51">
        <f t="shared" si="29"/>
        <v>4.76</v>
      </c>
      <c r="G49" s="52">
        <f t="shared" si="30"/>
        <v>60.57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5">
      <c r="A50" s="47">
        <f t="shared" si="27"/>
        <v>37018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4.76</v>
      </c>
      <c r="F50" s="51">
        <f t="shared" si="29"/>
        <v>4.76</v>
      </c>
      <c r="G50" s="52">
        <f t="shared" si="30"/>
        <v>60.57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5">
      <c r="A51" s="47">
        <f t="shared" si="27"/>
        <v>37018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4.76</v>
      </c>
      <c r="F51" s="51">
        <f t="shared" si="29"/>
        <v>4.76</v>
      </c>
      <c r="G51" s="52">
        <f t="shared" si="30"/>
        <v>60.57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5">
      <c r="A52" s="47">
        <f t="shared" si="27"/>
        <v>37018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4.76</v>
      </c>
      <c r="F52" s="51">
        <f t="shared" si="29"/>
        <v>4.76</v>
      </c>
      <c r="G52" s="52">
        <f t="shared" si="30"/>
        <v>60.57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5">
      <c r="A53" s="47">
        <f t="shared" si="27"/>
        <v>37018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4.76</v>
      </c>
      <c r="F53" s="51">
        <f t="shared" si="29"/>
        <v>4.76</v>
      </c>
      <c r="G53" s="52">
        <f t="shared" si="30"/>
        <v>60.57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5">
      <c r="A54" s="47">
        <f t="shared" si="27"/>
        <v>37018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4.76</v>
      </c>
      <c r="F54" s="51">
        <f t="shared" si="29"/>
        <v>4.76</v>
      </c>
      <c r="G54" s="52">
        <f t="shared" si="30"/>
        <v>60.57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5">
      <c r="A55" s="47">
        <f t="shared" si="27"/>
        <v>37018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4.76</v>
      </c>
      <c r="F55" s="51">
        <f t="shared" si="29"/>
        <v>4.76</v>
      </c>
      <c r="G55" s="52">
        <f t="shared" si="30"/>
        <v>60.57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5">
      <c r="A56" s="47">
        <f t="shared" si="27"/>
        <v>37018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4.76</v>
      </c>
      <c r="F56" s="51">
        <f t="shared" si="29"/>
        <v>4.76</v>
      </c>
      <c r="G56" s="52">
        <f t="shared" si="30"/>
        <v>60.57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5">
      <c r="A57" s="47">
        <f t="shared" si="27"/>
        <v>37018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4.76</v>
      </c>
      <c r="F57" s="51">
        <f t="shared" si="29"/>
        <v>4.76</v>
      </c>
      <c r="G57" s="52">
        <f t="shared" si="30"/>
        <v>60.57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5">
      <c r="A58" s="47">
        <f t="shared" si="27"/>
        <v>37018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4.76</v>
      </c>
      <c r="F58" s="51">
        <f t="shared" si="29"/>
        <v>4.76</v>
      </c>
      <c r="G58" s="52">
        <f t="shared" si="30"/>
        <v>60.57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5">
      <c r="A59" s="47">
        <f t="shared" si="27"/>
        <v>37018</v>
      </c>
      <c r="B59" s="48">
        <v>19</v>
      </c>
      <c r="C59" s="49">
        <f>INDEX(RtMw,C68+18,0)</f>
        <v>0</v>
      </c>
      <c r="D59" s="50">
        <f>INDEX(RTPrice,C68+18,0)</f>
        <v>0</v>
      </c>
      <c r="E59" s="51">
        <f t="shared" si="28"/>
        <v>4.76</v>
      </c>
      <c r="F59" s="51">
        <f t="shared" si="29"/>
        <v>4.76</v>
      </c>
      <c r="G59" s="52">
        <f t="shared" si="30"/>
        <v>60.57</v>
      </c>
      <c r="H59" s="53" t="str">
        <f t="shared" si="20"/>
        <v/>
      </c>
      <c r="I59" s="54" t="str">
        <f t="shared" si="21"/>
        <v/>
      </c>
      <c r="J59" s="62" t="str">
        <f t="shared" si="37"/>
        <v/>
      </c>
      <c r="K59" s="63" t="str">
        <f t="shared" si="36"/>
        <v/>
      </c>
      <c r="L59" s="64" t="str">
        <f t="shared" si="38"/>
        <v/>
      </c>
      <c r="M59" s="56" t="str">
        <f t="shared" si="31"/>
        <v/>
      </c>
      <c r="N59" s="57" t="str">
        <f t="shared" si="32"/>
        <v/>
      </c>
      <c r="O59" s="58"/>
      <c r="P59" s="43" t="str">
        <f t="shared" si="33"/>
        <v/>
      </c>
      <c r="Q59" s="59" t="str">
        <f t="shared" si="26"/>
        <v/>
      </c>
      <c r="R59" s="43"/>
      <c r="S59" s="60" t="str">
        <f t="shared" si="34"/>
        <v/>
      </c>
      <c r="T59" s="61" t="str">
        <f t="shared" si="35"/>
        <v/>
      </c>
      <c r="U59" s="46"/>
    </row>
    <row r="60" spans="1:21" x14ac:dyDescent="0.25">
      <c r="A60" s="47">
        <f t="shared" si="27"/>
        <v>37018</v>
      </c>
      <c r="B60" s="48">
        <v>20</v>
      </c>
      <c r="C60" s="49">
        <f>INDEX(RtMw,C68+19,0)</f>
        <v>0</v>
      </c>
      <c r="D60" s="50">
        <f>INDEX(RTPrice,C68+19,0)</f>
        <v>0</v>
      </c>
      <c r="E60" s="51">
        <f t="shared" si="28"/>
        <v>4.76</v>
      </c>
      <c r="F60" s="51">
        <f t="shared" si="29"/>
        <v>4.76</v>
      </c>
      <c r="G60" s="52">
        <f t="shared" si="30"/>
        <v>60.57</v>
      </c>
      <c r="H60" s="53" t="str">
        <f t="shared" si="20"/>
        <v/>
      </c>
      <c r="I60" s="54" t="str">
        <f t="shared" si="21"/>
        <v/>
      </c>
      <c r="J60" s="62" t="str">
        <f t="shared" si="37"/>
        <v/>
      </c>
      <c r="K60" s="63" t="str">
        <f t="shared" si="36"/>
        <v/>
      </c>
      <c r="L60" s="64" t="str">
        <f t="shared" si="38"/>
        <v/>
      </c>
      <c r="M60" s="56" t="str">
        <f t="shared" si="31"/>
        <v/>
      </c>
      <c r="N60" s="57" t="str">
        <f t="shared" si="32"/>
        <v/>
      </c>
      <c r="O60" s="58"/>
      <c r="P60" s="43" t="str">
        <f t="shared" si="33"/>
        <v/>
      </c>
      <c r="Q60" s="59" t="str">
        <f t="shared" si="26"/>
        <v/>
      </c>
      <c r="R60" s="43"/>
      <c r="S60" s="60" t="str">
        <f t="shared" si="34"/>
        <v/>
      </c>
      <c r="T60" s="61" t="str">
        <f t="shared" si="35"/>
        <v/>
      </c>
      <c r="U60" s="46"/>
    </row>
    <row r="61" spans="1:21" x14ac:dyDescent="0.25">
      <c r="A61" s="47">
        <f t="shared" si="27"/>
        <v>37018</v>
      </c>
      <c r="B61" s="48">
        <v>21</v>
      </c>
      <c r="C61" s="49">
        <f>INDEX(RtMw,C68+20,0)</f>
        <v>0</v>
      </c>
      <c r="D61" s="50">
        <f>INDEX(RTPrice,C68+20,0)</f>
        <v>0</v>
      </c>
      <c r="E61" s="51">
        <f t="shared" si="28"/>
        <v>4.76</v>
      </c>
      <c r="F61" s="51">
        <f t="shared" si="29"/>
        <v>4.76</v>
      </c>
      <c r="G61" s="52">
        <f t="shared" si="30"/>
        <v>60.57</v>
      </c>
      <c r="H61" s="53" t="str">
        <f t="shared" si="20"/>
        <v/>
      </c>
      <c r="I61" s="54" t="str">
        <f t="shared" si="21"/>
        <v/>
      </c>
      <c r="J61" s="62" t="str">
        <f t="shared" si="37"/>
        <v/>
      </c>
      <c r="K61" s="63" t="str">
        <f t="shared" si="36"/>
        <v/>
      </c>
      <c r="L61" s="64" t="str">
        <f t="shared" si="38"/>
        <v/>
      </c>
      <c r="M61" s="56" t="str">
        <f t="shared" si="31"/>
        <v/>
      </c>
      <c r="N61" s="57" t="str">
        <f t="shared" si="32"/>
        <v/>
      </c>
      <c r="O61" s="58"/>
      <c r="P61" s="43" t="str">
        <f t="shared" si="33"/>
        <v/>
      </c>
      <c r="Q61" s="59" t="str">
        <f t="shared" si="26"/>
        <v/>
      </c>
      <c r="R61" s="43"/>
      <c r="S61" s="60" t="str">
        <f t="shared" si="34"/>
        <v/>
      </c>
      <c r="T61" s="61" t="str">
        <f t="shared" si="35"/>
        <v/>
      </c>
      <c r="U61" s="46"/>
    </row>
    <row r="62" spans="1:21" x14ac:dyDescent="0.25">
      <c r="A62" s="47">
        <f t="shared" si="27"/>
        <v>37018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4.76</v>
      </c>
      <c r="F62" s="51">
        <f t="shared" si="29"/>
        <v>4.76</v>
      </c>
      <c r="G62" s="52">
        <f t="shared" si="30"/>
        <v>60.57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5">
      <c r="A63" s="47">
        <f t="shared" si="27"/>
        <v>37018</v>
      </c>
      <c r="B63" s="48">
        <v>23</v>
      </c>
      <c r="C63" s="49">
        <f>INDEX(RtMw,C68+22,0)</f>
        <v>6</v>
      </c>
      <c r="D63" s="50">
        <f>INDEX(RTPrice,C68+22,0)</f>
        <v>33</v>
      </c>
      <c r="E63" s="51">
        <f t="shared" si="28"/>
        <v>4.76</v>
      </c>
      <c r="F63" s="51">
        <f t="shared" si="29"/>
        <v>4.76</v>
      </c>
      <c r="G63" s="52">
        <f t="shared" si="30"/>
        <v>60.57</v>
      </c>
      <c r="H63" s="53">
        <f t="shared" si="20"/>
        <v>27.57</v>
      </c>
      <c r="I63" s="54">
        <f t="shared" si="21"/>
        <v>165.42000000000002</v>
      </c>
      <c r="J63" s="55">
        <f>IF(C63=0,"",1)</f>
        <v>1</v>
      </c>
      <c r="K63" s="43">
        <f>IF(C63=0,"",G63-(D63+1))</f>
        <v>26.57</v>
      </c>
      <c r="L63" s="43">
        <f>IF(C63=0,"",C63*J63)</f>
        <v>6</v>
      </c>
      <c r="M63" s="56">
        <f t="shared" si="31"/>
        <v>159.42000000000002</v>
      </c>
      <c r="N63" s="57">
        <f t="shared" si="32"/>
        <v>33</v>
      </c>
      <c r="O63" s="58">
        <f>IF(C63=0,"",D63+1)</f>
        <v>34</v>
      </c>
      <c r="P63" s="43">
        <f t="shared" si="33"/>
        <v>198</v>
      </c>
      <c r="Q63" s="59">
        <f t="shared" si="26"/>
        <v>204</v>
      </c>
      <c r="R63" s="43"/>
      <c r="S63" s="60">
        <f t="shared" si="34"/>
        <v>6</v>
      </c>
      <c r="T63" s="61">
        <f t="shared" si="35"/>
        <v>159.42000000000002</v>
      </c>
      <c r="U63" s="46"/>
    </row>
    <row r="64" spans="1:21" x14ac:dyDescent="0.25">
      <c r="A64" s="65">
        <f t="shared" si="27"/>
        <v>37018</v>
      </c>
      <c r="B64" s="66">
        <v>24</v>
      </c>
      <c r="C64" s="67">
        <f>INDEX(RtMw,C68+23,0)</f>
        <v>5</v>
      </c>
      <c r="D64" s="68">
        <f>INDEX(RTPrice,C68+23,0)</f>
        <v>29</v>
      </c>
      <c r="E64" s="69">
        <f t="shared" si="28"/>
        <v>4.76</v>
      </c>
      <c r="F64" s="69">
        <f>VLOOKUP(A64,Gas,5,FALSE)</f>
        <v>4.76</v>
      </c>
      <c r="G64" s="70">
        <f t="shared" si="30"/>
        <v>60.57</v>
      </c>
      <c r="H64" s="71">
        <f t="shared" si="20"/>
        <v>31.57</v>
      </c>
      <c r="I64" s="72">
        <f t="shared" si="21"/>
        <v>157.85</v>
      </c>
      <c r="J64" s="73">
        <f>IF(C64=0,"",1)</f>
        <v>1</v>
      </c>
      <c r="K64" s="74">
        <f>IF(C64=0,"",G64-(D64+1))</f>
        <v>30.57</v>
      </c>
      <c r="L64" s="74">
        <f>IF(C64=0,"",C64*J64)</f>
        <v>5</v>
      </c>
      <c r="M64" s="75">
        <f t="shared" si="31"/>
        <v>152.85</v>
      </c>
      <c r="N64" s="76">
        <f t="shared" si="32"/>
        <v>29</v>
      </c>
      <c r="O64" s="77">
        <f>IF(C64=0,"",D64+1)</f>
        <v>30</v>
      </c>
      <c r="P64" s="74">
        <f t="shared" si="33"/>
        <v>145</v>
      </c>
      <c r="Q64" s="78">
        <f t="shared" si="26"/>
        <v>150</v>
      </c>
      <c r="R64" s="43"/>
      <c r="S64" s="79">
        <f t="shared" si="34"/>
        <v>5</v>
      </c>
      <c r="T64" s="80">
        <f t="shared" si="35"/>
        <v>152.85</v>
      </c>
      <c r="U64" s="46"/>
    </row>
    <row r="66" spans="2:17" x14ac:dyDescent="0.25">
      <c r="Q66" s="82">
        <f>SUM(Q41:Q65)</f>
        <v>354</v>
      </c>
    </row>
    <row r="68" spans="2:17" hidden="1" x14ac:dyDescent="0.25">
      <c r="B68" t="s">
        <v>33</v>
      </c>
      <c r="C68">
        <f>MATCH(C2,RTDate,0)</f>
        <v>145</v>
      </c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7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16" sqref="D16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1.88671875" customWidth="1"/>
    <col min="4" max="4" width="24" style="1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1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88">
        <v>37019</v>
      </c>
      <c r="D2" s="4"/>
    </row>
    <row r="3" spans="1:22" s="5" customFormat="1" x14ac:dyDescent="0.25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f>$C$2</f>
        <v>37019</v>
      </c>
      <c r="B7" s="30">
        <v>1</v>
      </c>
      <c r="C7" s="31">
        <f>INDEX(DaMw,C34,0)</f>
        <v>15</v>
      </c>
      <c r="D7" s="90">
        <f>INDEX(DaPrice,C34,0)</f>
        <v>17</v>
      </c>
      <c r="E7" s="33">
        <f>VLOOKUP(A7,Gas,4,FALSE)</f>
        <v>4.6500000000000004</v>
      </c>
      <c r="F7" s="33">
        <f>VLOOKUP(A7,Gas,5,FALSE)</f>
        <v>4.6500000000000004</v>
      </c>
      <c r="G7" s="34">
        <f>VLOOKUP(A7,Bogey,2,FALSE)</f>
        <v>59.5</v>
      </c>
      <c r="H7" s="35">
        <f t="shared" ref="H7:H30" si="0">IF(C7&gt;0,G7-D7,"")</f>
        <v>42.5</v>
      </c>
      <c r="I7" s="36">
        <f t="shared" ref="I7:I30" si="1">IF(C7&gt;0,H7*ABS(C7),"")</f>
        <v>637.5</v>
      </c>
      <c r="J7" s="37">
        <f t="shared" ref="J7:J12" si="2">IF(C7=0,"",1)</f>
        <v>1</v>
      </c>
      <c r="K7" s="38">
        <f t="shared" ref="K7:K12" si="3">IF(C7=0,"",G7-(D7+1))</f>
        <v>41.5</v>
      </c>
      <c r="L7" s="38">
        <f t="shared" ref="L7:L12" si="4">IF(C7=0,"",C7*J7)</f>
        <v>15</v>
      </c>
      <c r="M7" s="39">
        <f>IF(C7=0,"",C7*K7)</f>
        <v>622.5</v>
      </c>
      <c r="N7" s="40">
        <f>IF(C7=0,"",D7)</f>
        <v>17</v>
      </c>
      <c r="O7" s="41">
        <f t="shared" ref="O7:O12" si="5">IF(C7=0,"",D7+1)</f>
        <v>18</v>
      </c>
      <c r="P7" s="38">
        <f>IF(C7=0,"",N7*C7)</f>
        <v>255</v>
      </c>
      <c r="Q7" s="42">
        <f t="shared" ref="Q7:Q30" si="6">IF(C7=0,"",O7*C7)</f>
        <v>270</v>
      </c>
      <c r="R7" s="43"/>
      <c r="S7" s="44">
        <f>IF(C7=0,"",L7)</f>
        <v>15</v>
      </c>
      <c r="T7" s="45">
        <f>IF(C7=0,"",M7)</f>
        <v>622.5</v>
      </c>
      <c r="U7" s="46"/>
    </row>
    <row r="8" spans="1:22" x14ac:dyDescent="0.25">
      <c r="A8" s="47">
        <f t="shared" ref="A8:A30" si="7">$C$2</f>
        <v>37019</v>
      </c>
      <c r="B8" s="48">
        <v>2</v>
      </c>
      <c r="C8" s="49">
        <f>INDEX(DaMw,C34+1,0)</f>
        <v>15</v>
      </c>
      <c r="D8" s="91">
        <f>INDEX(DaPrice,C34+1,0)</f>
        <v>17</v>
      </c>
      <c r="E8" s="51">
        <f t="shared" ref="E8:E30" si="8">VLOOKUP(A8,Gas,4,FALSE)</f>
        <v>4.6500000000000004</v>
      </c>
      <c r="F8" s="51">
        <f t="shared" ref="F8:F29" si="9">VLOOKUP(A8,Gas,5,FALSE)</f>
        <v>4.6500000000000004</v>
      </c>
      <c r="G8" s="52">
        <f t="shared" ref="G8:G30" si="10">VLOOKUP(A8,Bogey,2,FALSE)</f>
        <v>59.5</v>
      </c>
      <c r="H8" s="53">
        <f t="shared" si="0"/>
        <v>42.5</v>
      </c>
      <c r="I8" s="54">
        <f t="shared" si="1"/>
        <v>637.5</v>
      </c>
      <c r="J8" s="55">
        <f t="shared" si="2"/>
        <v>1</v>
      </c>
      <c r="K8" s="43">
        <f t="shared" si="3"/>
        <v>41.5</v>
      </c>
      <c r="L8" s="43">
        <f t="shared" si="4"/>
        <v>15</v>
      </c>
      <c r="M8" s="56">
        <f t="shared" ref="M8:M30" si="11">IF(C8=0,"",C8*K8)</f>
        <v>622.5</v>
      </c>
      <c r="N8" s="57">
        <f t="shared" ref="N8:N30" si="12">IF(C8=0,"",D8)</f>
        <v>17</v>
      </c>
      <c r="O8" s="58">
        <f t="shared" si="5"/>
        <v>18</v>
      </c>
      <c r="P8" s="43">
        <f t="shared" ref="P8:P30" si="13">IF(C8=0,"",N8*C8)</f>
        <v>255</v>
      </c>
      <c r="Q8" s="59">
        <f t="shared" si="6"/>
        <v>270</v>
      </c>
      <c r="R8" s="43"/>
      <c r="S8" s="60">
        <f t="shared" ref="S8:S30" si="14">IF(C8=0,"",L8)</f>
        <v>15</v>
      </c>
      <c r="T8" s="61">
        <f t="shared" ref="T8:T30" si="15">IF(C8=0,"",M8)</f>
        <v>622.5</v>
      </c>
      <c r="U8" s="46"/>
    </row>
    <row r="9" spans="1:22" x14ac:dyDescent="0.25">
      <c r="A9" s="47">
        <f t="shared" si="7"/>
        <v>37019</v>
      </c>
      <c r="B9" s="48">
        <v>3</v>
      </c>
      <c r="C9" s="49">
        <f>INDEX(DaMw,C34+2,0)</f>
        <v>15</v>
      </c>
      <c r="D9" s="91">
        <f>INDEX(DaPrice,C34+2,0)</f>
        <v>17</v>
      </c>
      <c r="E9" s="51">
        <f t="shared" si="8"/>
        <v>4.6500000000000004</v>
      </c>
      <c r="F9" s="51">
        <f t="shared" si="9"/>
        <v>4.6500000000000004</v>
      </c>
      <c r="G9" s="52">
        <f t="shared" si="10"/>
        <v>59.5</v>
      </c>
      <c r="H9" s="53">
        <f t="shared" si="0"/>
        <v>42.5</v>
      </c>
      <c r="I9" s="54">
        <f t="shared" si="1"/>
        <v>637.5</v>
      </c>
      <c r="J9" s="55">
        <f t="shared" si="2"/>
        <v>1</v>
      </c>
      <c r="K9" s="43">
        <f t="shared" si="3"/>
        <v>41.5</v>
      </c>
      <c r="L9" s="43">
        <f t="shared" si="4"/>
        <v>15</v>
      </c>
      <c r="M9" s="56">
        <f t="shared" si="11"/>
        <v>622.5</v>
      </c>
      <c r="N9" s="57">
        <f t="shared" si="12"/>
        <v>17</v>
      </c>
      <c r="O9" s="58">
        <f t="shared" si="5"/>
        <v>18</v>
      </c>
      <c r="P9" s="43">
        <f t="shared" si="13"/>
        <v>255</v>
      </c>
      <c r="Q9" s="59">
        <f t="shared" si="6"/>
        <v>270</v>
      </c>
      <c r="R9" s="43"/>
      <c r="S9" s="60">
        <f t="shared" si="14"/>
        <v>15</v>
      </c>
      <c r="T9" s="61">
        <f t="shared" si="15"/>
        <v>622.5</v>
      </c>
      <c r="U9" s="46"/>
    </row>
    <row r="10" spans="1:22" x14ac:dyDescent="0.25">
      <c r="A10" s="47">
        <f t="shared" si="7"/>
        <v>37019</v>
      </c>
      <c r="B10" s="48">
        <v>4</v>
      </c>
      <c r="C10" s="49">
        <f>INDEX(DaMw,C34+3,0)</f>
        <v>15</v>
      </c>
      <c r="D10" s="91">
        <f>INDEX(DaPrice,C34+3,0)</f>
        <v>17</v>
      </c>
      <c r="E10" s="51">
        <f t="shared" si="8"/>
        <v>4.6500000000000004</v>
      </c>
      <c r="F10" s="51">
        <f t="shared" si="9"/>
        <v>4.6500000000000004</v>
      </c>
      <c r="G10" s="52">
        <f t="shared" si="10"/>
        <v>59.5</v>
      </c>
      <c r="H10" s="53">
        <f t="shared" si="0"/>
        <v>42.5</v>
      </c>
      <c r="I10" s="54">
        <f t="shared" si="1"/>
        <v>637.5</v>
      </c>
      <c r="J10" s="55">
        <f t="shared" si="2"/>
        <v>1</v>
      </c>
      <c r="K10" s="43">
        <f t="shared" si="3"/>
        <v>41.5</v>
      </c>
      <c r="L10" s="43">
        <f t="shared" si="4"/>
        <v>15</v>
      </c>
      <c r="M10" s="56">
        <f t="shared" si="11"/>
        <v>622.5</v>
      </c>
      <c r="N10" s="57">
        <f t="shared" si="12"/>
        <v>17</v>
      </c>
      <c r="O10" s="58">
        <f t="shared" si="5"/>
        <v>18</v>
      </c>
      <c r="P10" s="43">
        <f t="shared" si="13"/>
        <v>255</v>
      </c>
      <c r="Q10" s="59">
        <f t="shared" si="6"/>
        <v>270</v>
      </c>
      <c r="R10" s="43"/>
      <c r="S10" s="60">
        <f t="shared" si="14"/>
        <v>15</v>
      </c>
      <c r="T10" s="61">
        <f t="shared" si="15"/>
        <v>622.5</v>
      </c>
      <c r="U10" s="46"/>
    </row>
    <row r="11" spans="1:22" x14ac:dyDescent="0.25">
      <c r="A11" s="47">
        <f t="shared" si="7"/>
        <v>37019</v>
      </c>
      <c r="B11" s="48">
        <v>5</v>
      </c>
      <c r="C11" s="49">
        <f>INDEX(DaMw,C34+4,0)</f>
        <v>15</v>
      </c>
      <c r="D11" s="91">
        <f>INDEX(DaPrice,C34+4,0)</f>
        <v>17</v>
      </c>
      <c r="E11" s="51">
        <f t="shared" si="8"/>
        <v>4.6500000000000004</v>
      </c>
      <c r="F11" s="51">
        <f t="shared" si="9"/>
        <v>4.6500000000000004</v>
      </c>
      <c r="G11" s="52">
        <f t="shared" si="10"/>
        <v>59.5</v>
      </c>
      <c r="H11" s="53">
        <f t="shared" si="0"/>
        <v>42.5</v>
      </c>
      <c r="I11" s="54">
        <f t="shared" si="1"/>
        <v>637.5</v>
      </c>
      <c r="J11" s="55">
        <f t="shared" si="2"/>
        <v>1</v>
      </c>
      <c r="K11" s="43">
        <f t="shared" si="3"/>
        <v>41.5</v>
      </c>
      <c r="L11" s="43">
        <f t="shared" si="4"/>
        <v>15</v>
      </c>
      <c r="M11" s="56">
        <f t="shared" si="11"/>
        <v>622.5</v>
      </c>
      <c r="N11" s="57">
        <f t="shared" si="12"/>
        <v>17</v>
      </c>
      <c r="O11" s="58">
        <f t="shared" si="5"/>
        <v>18</v>
      </c>
      <c r="P11" s="43">
        <f t="shared" si="13"/>
        <v>255</v>
      </c>
      <c r="Q11" s="59">
        <f t="shared" si="6"/>
        <v>270</v>
      </c>
      <c r="R11" s="43"/>
      <c r="S11" s="60">
        <f t="shared" si="14"/>
        <v>15</v>
      </c>
      <c r="T11" s="61">
        <f t="shared" si="15"/>
        <v>622.5</v>
      </c>
      <c r="U11" s="46"/>
    </row>
    <row r="12" spans="1:22" x14ac:dyDescent="0.25">
      <c r="A12" s="47">
        <f t="shared" si="7"/>
        <v>37019</v>
      </c>
      <c r="B12" s="48">
        <v>6</v>
      </c>
      <c r="C12" s="49">
        <f>INDEX(DaMw,C34+5,0)</f>
        <v>15</v>
      </c>
      <c r="D12" s="91">
        <f>INDEX(DaPrice,C34+5,0)</f>
        <v>17</v>
      </c>
      <c r="E12" s="51">
        <f t="shared" si="8"/>
        <v>4.6500000000000004</v>
      </c>
      <c r="F12" s="51">
        <f t="shared" si="9"/>
        <v>4.6500000000000004</v>
      </c>
      <c r="G12" s="52">
        <f t="shared" si="10"/>
        <v>59.5</v>
      </c>
      <c r="H12" s="53">
        <f t="shared" si="0"/>
        <v>42.5</v>
      </c>
      <c r="I12" s="54">
        <f t="shared" si="1"/>
        <v>637.5</v>
      </c>
      <c r="J12" s="55">
        <f t="shared" si="2"/>
        <v>1</v>
      </c>
      <c r="K12" s="43">
        <f t="shared" si="3"/>
        <v>41.5</v>
      </c>
      <c r="L12" s="43">
        <f t="shared" si="4"/>
        <v>15</v>
      </c>
      <c r="M12" s="56">
        <f t="shared" si="11"/>
        <v>622.5</v>
      </c>
      <c r="N12" s="57">
        <f t="shared" si="12"/>
        <v>17</v>
      </c>
      <c r="O12" s="58">
        <f t="shared" si="5"/>
        <v>18</v>
      </c>
      <c r="P12" s="43">
        <f t="shared" si="13"/>
        <v>255</v>
      </c>
      <c r="Q12" s="59">
        <f t="shared" si="6"/>
        <v>270</v>
      </c>
      <c r="R12" s="43"/>
      <c r="S12" s="60">
        <f t="shared" si="14"/>
        <v>15</v>
      </c>
      <c r="T12" s="61">
        <f t="shared" si="15"/>
        <v>622.5</v>
      </c>
      <c r="U12" s="46"/>
    </row>
    <row r="13" spans="1:22" x14ac:dyDescent="0.25">
      <c r="A13" s="47">
        <f t="shared" si="7"/>
        <v>37019</v>
      </c>
      <c r="B13" s="48">
        <v>7</v>
      </c>
      <c r="C13" s="49">
        <f>INDEX(DaMw,C34+6,0)</f>
        <v>20</v>
      </c>
      <c r="D13" s="91">
        <f>INDEX(DaPrice,C34+6,0)</f>
        <v>36.5</v>
      </c>
      <c r="E13" s="51">
        <f t="shared" si="8"/>
        <v>4.6500000000000004</v>
      </c>
      <c r="F13" s="51">
        <f t="shared" si="9"/>
        <v>4.6500000000000004</v>
      </c>
      <c r="G13" s="52">
        <f t="shared" si="10"/>
        <v>59.5</v>
      </c>
      <c r="H13" s="53">
        <f t="shared" si="0"/>
        <v>23</v>
      </c>
      <c r="I13" s="54">
        <f t="shared" si="1"/>
        <v>460</v>
      </c>
      <c r="J13" s="62">
        <f>IF($C13=0,"",$H13*0.4)</f>
        <v>9.2000000000000011</v>
      </c>
      <c r="K13" s="63">
        <f t="shared" ref="K13:K28" si="16">IF($C13=0,"",$H13*0.6)</f>
        <v>13.799999999999999</v>
      </c>
      <c r="L13" s="64">
        <f>IF(C13=0,"",J13*$C13)</f>
        <v>184.00000000000003</v>
      </c>
      <c r="M13" s="56">
        <f t="shared" si="11"/>
        <v>276</v>
      </c>
      <c r="N13" s="57">
        <f t="shared" si="12"/>
        <v>36.5</v>
      </c>
      <c r="O13" s="58">
        <f>IF(C13=0,"",D13+J13)</f>
        <v>45.7</v>
      </c>
      <c r="P13" s="43">
        <f t="shared" si="13"/>
        <v>730</v>
      </c>
      <c r="Q13" s="59">
        <f t="shared" si="6"/>
        <v>914</v>
      </c>
      <c r="R13" s="43"/>
      <c r="S13" s="60">
        <f t="shared" si="14"/>
        <v>184.00000000000003</v>
      </c>
      <c r="T13" s="61">
        <f t="shared" si="15"/>
        <v>276</v>
      </c>
      <c r="U13" s="46"/>
    </row>
    <row r="14" spans="1:22" x14ac:dyDescent="0.25">
      <c r="A14" s="47">
        <f t="shared" si="7"/>
        <v>37019</v>
      </c>
      <c r="B14" s="48">
        <v>8</v>
      </c>
      <c r="C14" s="49">
        <f>INDEX(DaMw,C34+7,0)</f>
        <v>25</v>
      </c>
      <c r="D14" s="91">
        <f>INDEX(DaPrice,C34+7,0)</f>
        <v>36.5</v>
      </c>
      <c r="E14" s="51">
        <f t="shared" si="8"/>
        <v>4.6500000000000004</v>
      </c>
      <c r="F14" s="51">
        <f t="shared" si="9"/>
        <v>4.6500000000000004</v>
      </c>
      <c r="G14" s="52">
        <f t="shared" si="10"/>
        <v>59.5</v>
      </c>
      <c r="H14" s="53">
        <f t="shared" si="0"/>
        <v>23</v>
      </c>
      <c r="I14" s="54">
        <f t="shared" si="1"/>
        <v>575</v>
      </c>
      <c r="J14" s="62">
        <f t="shared" ref="J14:J28" si="17">IF($C14=0,"",$H14*0.4)</f>
        <v>9.2000000000000011</v>
      </c>
      <c r="K14" s="63">
        <f t="shared" si="16"/>
        <v>13.799999999999999</v>
      </c>
      <c r="L14" s="64">
        <f t="shared" ref="L14:L28" si="18">IF(C14=0,"",J14*$C14)</f>
        <v>230.00000000000003</v>
      </c>
      <c r="M14" s="56">
        <f t="shared" si="11"/>
        <v>345</v>
      </c>
      <c r="N14" s="57">
        <f t="shared" si="12"/>
        <v>36.5</v>
      </c>
      <c r="O14" s="58">
        <f t="shared" ref="O14:O28" si="19">IF(C14=0,"",D14+J14)</f>
        <v>45.7</v>
      </c>
      <c r="P14" s="43">
        <f t="shared" si="13"/>
        <v>912.5</v>
      </c>
      <c r="Q14" s="59">
        <f t="shared" si="6"/>
        <v>1142.5</v>
      </c>
      <c r="R14" s="43"/>
      <c r="S14" s="60">
        <f t="shared" si="14"/>
        <v>230.00000000000003</v>
      </c>
      <c r="T14" s="61">
        <f t="shared" si="15"/>
        <v>345</v>
      </c>
      <c r="U14" s="46"/>
    </row>
    <row r="15" spans="1:22" x14ac:dyDescent="0.25">
      <c r="A15" s="47">
        <f t="shared" si="7"/>
        <v>37019</v>
      </c>
      <c r="B15" s="48">
        <v>9</v>
      </c>
      <c r="C15" s="49">
        <f>INDEX(DaMw,C34+8,0)</f>
        <v>30</v>
      </c>
      <c r="D15" s="91">
        <f>INDEX(DaPrice,C34+8,0)</f>
        <v>36.5</v>
      </c>
      <c r="E15" s="51">
        <f t="shared" si="8"/>
        <v>4.6500000000000004</v>
      </c>
      <c r="F15" s="51">
        <f t="shared" si="9"/>
        <v>4.6500000000000004</v>
      </c>
      <c r="G15" s="52">
        <f t="shared" si="10"/>
        <v>59.5</v>
      </c>
      <c r="H15" s="53">
        <f t="shared" si="0"/>
        <v>23</v>
      </c>
      <c r="I15" s="54">
        <f t="shared" si="1"/>
        <v>690</v>
      </c>
      <c r="J15" s="62">
        <f t="shared" si="17"/>
        <v>9.2000000000000011</v>
      </c>
      <c r="K15" s="63">
        <f t="shared" si="16"/>
        <v>13.799999999999999</v>
      </c>
      <c r="L15" s="64">
        <f t="shared" si="18"/>
        <v>276.00000000000006</v>
      </c>
      <c r="M15" s="56">
        <f t="shared" si="11"/>
        <v>413.99999999999994</v>
      </c>
      <c r="N15" s="57">
        <f t="shared" si="12"/>
        <v>36.5</v>
      </c>
      <c r="O15" s="58">
        <f t="shared" si="19"/>
        <v>45.7</v>
      </c>
      <c r="P15" s="43">
        <f t="shared" si="13"/>
        <v>1095</v>
      </c>
      <c r="Q15" s="59">
        <f t="shared" si="6"/>
        <v>1371</v>
      </c>
      <c r="R15" s="43"/>
      <c r="S15" s="60">
        <f t="shared" si="14"/>
        <v>276.00000000000006</v>
      </c>
      <c r="T15" s="61">
        <f t="shared" si="15"/>
        <v>413.99999999999994</v>
      </c>
      <c r="U15" s="46"/>
    </row>
    <row r="16" spans="1:22" x14ac:dyDescent="0.25">
      <c r="A16" s="47">
        <f t="shared" si="7"/>
        <v>37019</v>
      </c>
      <c r="B16" s="48">
        <v>10</v>
      </c>
      <c r="C16" s="49">
        <f>INDEX(DaMw,C34+9,0)</f>
        <v>30</v>
      </c>
      <c r="D16" s="91">
        <f>INDEX(DaPrice,C34+9,0)</f>
        <v>36.5</v>
      </c>
      <c r="E16" s="51">
        <f t="shared" si="8"/>
        <v>4.6500000000000004</v>
      </c>
      <c r="F16" s="51">
        <f t="shared" si="9"/>
        <v>4.6500000000000004</v>
      </c>
      <c r="G16" s="52">
        <f t="shared" si="10"/>
        <v>59.5</v>
      </c>
      <c r="H16" s="53">
        <f t="shared" si="0"/>
        <v>23</v>
      </c>
      <c r="I16" s="54">
        <f t="shared" si="1"/>
        <v>690</v>
      </c>
      <c r="J16" s="62">
        <f t="shared" si="17"/>
        <v>9.2000000000000011</v>
      </c>
      <c r="K16" s="63">
        <f t="shared" si="16"/>
        <v>13.799999999999999</v>
      </c>
      <c r="L16" s="64">
        <f t="shared" si="18"/>
        <v>276.00000000000006</v>
      </c>
      <c r="M16" s="56">
        <f t="shared" si="11"/>
        <v>413.99999999999994</v>
      </c>
      <c r="N16" s="57">
        <f t="shared" si="12"/>
        <v>36.5</v>
      </c>
      <c r="O16" s="58">
        <f t="shared" si="19"/>
        <v>45.7</v>
      </c>
      <c r="P16" s="43">
        <f t="shared" si="13"/>
        <v>1095</v>
      </c>
      <c r="Q16" s="59">
        <f t="shared" si="6"/>
        <v>1371</v>
      </c>
      <c r="R16" s="43"/>
      <c r="S16" s="60">
        <f t="shared" si="14"/>
        <v>276.00000000000006</v>
      </c>
      <c r="T16" s="61">
        <f t="shared" si="15"/>
        <v>413.99999999999994</v>
      </c>
      <c r="U16" s="46"/>
    </row>
    <row r="17" spans="1:21" x14ac:dyDescent="0.25">
      <c r="A17" s="47">
        <f t="shared" si="7"/>
        <v>37019</v>
      </c>
      <c r="B17" s="48">
        <v>11</v>
      </c>
      <c r="C17" s="49">
        <f>INDEX(DaMw,C34+10,0)</f>
        <v>30</v>
      </c>
      <c r="D17" s="91">
        <f>INDEX(DaPrice,C34+10,0)</f>
        <v>36.5</v>
      </c>
      <c r="E17" s="51">
        <f t="shared" si="8"/>
        <v>4.6500000000000004</v>
      </c>
      <c r="F17" s="51">
        <f t="shared" si="9"/>
        <v>4.6500000000000004</v>
      </c>
      <c r="G17" s="52">
        <f t="shared" si="10"/>
        <v>59.5</v>
      </c>
      <c r="H17" s="53">
        <f t="shared" si="0"/>
        <v>23</v>
      </c>
      <c r="I17" s="54">
        <f t="shared" si="1"/>
        <v>690</v>
      </c>
      <c r="J17" s="62">
        <f t="shared" si="17"/>
        <v>9.2000000000000011</v>
      </c>
      <c r="K17" s="63">
        <f t="shared" si="16"/>
        <v>13.799999999999999</v>
      </c>
      <c r="L17" s="64">
        <f t="shared" si="18"/>
        <v>276.00000000000006</v>
      </c>
      <c r="M17" s="56">
        <f t="shared" si="11"/>
        <v>413.99999999999994</v>
      </c>
      <c r="N17" s="57">
        <f t="shared" si="12"/>
        <v>36.5</v>
      </c>
      <c r="O17" s="58">
        <f t="shared" si="19"/>
        <v>45.7</v>
      </c>
      <c r="P17" s="43">
        <f t="shared" si="13"/>
        <v>1095</v>
      </c>
      <c r="Q17" s="59">
        <f t="shared" si="6"/>
        <v>1371</v>
      </c>
      <c r="R17" s="43"/>
      <c r="S17" s="60">
        <f t="shared" si="14"/>
        <v>276.00000000000006</v>
      </c>
      <c r="T17" s="61">
        <f t="shared" si="15"/>
        <v>413.99999999999994</v>
      </c>
      <c r="U17" s="46"/>
    </row>
    <row r="18" spans="1:21" x14ac:dyDescent="0.25">
      <c r="A18" s="47">
        <f t="shared" si="7"/>
        <v>37019</v>
      </c>
      <c r="B18" s="48">
        <v>12</v>
      </c>
      <c r="C18" s="49">
        <f>INDEX(DaMw,C34+11,0)</f>
        <v>30</v>
      </c>
      <c r="D18" s="91">
        <f>INDEX(DaPrice,C34+11,0)</f>
        <v>36.5</v>
      </c>
      <c r="E18" s="51">
        <f t="shared" si="8"/>
        <v>4.6500000000000004</v>
      </c>
      <c r="F18" s="51">
        <f t="shared" si="9"/>
        <v>4.6500000000000004</v>
      </c>
      <c r="G18" s="52">
        <f t="shared" si="10"/>
        <v>59.5</v>
      </c>
      <c r="H18" s="53">
        <f t="shared" si="0"/>
        <v>23</v>
      </c>
      <c r="I18" s="54">
        <f t="shared" si="1"/>
        <v>690</v>
      </c>
      <c r="J18" s="62">
        <f t="shared" si="17"/>
        <v>9.2000000000000011</v>
      </c>
      <c r="K18" s="63">
        <f t="shared" si="16"/>
        <v>13.799999999999999</v>
      </c>
      <c r="L18" s="64">
        <f t="shared" si="18"/>
        <v>276.00000000000006</v>
      </c>
      <c r="M18" s="56">
        <f t="shared" si="11"/>
        <v>413.99999999999994</v>
      </c>
      <c r="N18" s="57">
        <f t="shared" si="12"/>
        <v>36.5</v>
      </c>
      <c r="O18" s="58">
        <f t="shared" si="19"/>
        <v>45.7</v>
      </c>
      <c r="P18" s="43">
        <f t="shared" si="13"/>
        <v>1095</v>
      </c>
      <c r="Q18" s="59">
        <f t="shared" si="6"/>
        <v>1371</v>
      </c>
      <c r="R18" s="43"/>
      <c r="S18" s="60">
        <f t="shared" si="14"/>
        <v>276.00000000000006</v>
      </c>
      <c r="T18" s="61">
        <f t="shared" si="15"/>
        <v>413.99999999999994</v>
      </c>
      <c r="U18" s="46"/>
    </row>
    <row r="19" spans="1:21" x14ac:dyDescent="0.25">
      <c r="A19" s="47">
        <f t="shared" si="7"/>
        <v>37019</v>
      </c>
      <c r="B19" s="48">
        <v>13</v>
      </c>
      <c r="C19" s="49">
        <f>INDEX(DaMw,C34+12,0)</f>
        <v>30</v>
      </c>
      <c r="D19" s="91">
        <f>INDEX(DaPrice,C34+12,0)</f>
        <v>36.5</v>
      </c>
      <c r="E19" s="51">
        <f t="shared" si="8"/>
        <v>4.6500000000000004</v>
      </c>
      <c r="F19" s="51">
        <f t="shared" si="9"/>
        <v>4.6500000000000004</v>
      </c>
      <c r="G19" s="52">
        <f t="shared" si="10"/>
        <v>59.5</v>
      </c>
      <c r="H19" s="53">
        <f t="shared" si="0"/>
        <v>23</v>
      </c>
      <c r="I19" s="54">
        <f t="shared" si="1"/>
        <v>690</v>
      </c>
      <c r="J19" s="62">
        <f t="shared" si="17"/>
        <v>9.2000000000000011</v>
      </c>
      <c r="K19" s="63">
        <f t="shared" si="16"/>
        <v>13.799999999999999</v>
      </c>
      <c r="L19" s="64">
        <f t="shared" si="18"/>
        <v>276.00000000000006</v>
      </c>
      <c r="M19" s="56">
        <f t="shared" si="11"/>
        <v>413.99999999999994</v>
      </c>
      <c r="N19" s="57">
        <f t="shared" si="12"/>
        <v>36.5</v>
      </c>
      <c r="O19" s="58">
        <f t="shared" si="19"/>
        <v>45.7</v>
      </c>
      <c r="P19" s="43">
        <f t="shared" si="13"/>
        <v>1095</v>
      </c>
      <c r="Q19" s="59">
        <f t="shared" si="6"/>
        <v>1371</v>
      </c>
      <c r="R19" s="43"/>
      <c r="S19" s="60">
        <f t="shared" si="14"/>
        <v>276.00000000000006</v>
      </c>
      <c r="T19" s="61">
        <f t="shared" si="15"/>
        <v>413.99999999999994</v>
      </c>
      <c r="U19" s="46"/>
    </row>
    <row r="20" spans="1:21" x14ac:dyDescent="0.25">
      <c r="A20" s="47">
        <f t="shared" si="7"/>
        <v>37019</v>
      </c>
      <c r="B20" s="48">
        <v>14</v>
      </c>
      <c r="C20" s="49">
        <f>INDEX(DaMw,C34+13,0)</f>
        <v>30</v>
      </c>
      <c r="D20" s="91">
        <f>INDEX(DaPrice,C34+13,0)</f>
        <v>36.5</v>
      </c>
      <c r="E20" s="51">
        <f t="shared" si="8"/>
        <v>4.6500000000000004</v>
      </c>
      <c r="F20" s="51">
        <f t="shared" si="9"/>
        <v>4.6500000000000004</v>
      </c>
      <c r="G20" s="52">
        <f t="shared" si="10"/>
        <v>59.5</v>
      </c>
      <c r="H20" s="53">
        <f t="shared" si="0"/>
        <v>23</v>
      </c>
      <c r="I20" s="54">
        <f t="shared" si="1"/>
        <v>690</v>
      </c>
      <c r="J20" s="62">
        <f t="shared" si="17"/>
        <v>9.2000000000000011</v>
      </c>
      <c r="K20" s="63">
        <f t="shared" si="16"/>
        <v>13.799999999999999</v>
      </c>
      <c r="L20" s="64">
        <f t="shared" si="18"/>
        <v>276.00000000000006</v>
      </c>
      <c r="M20" s="56">
        <f t="shared" si="11"/>
        <v>413.99999999999994</v>
      </c>
      <c r="N20" s="57">
        <f t="shared" si="12"/>
        <v>36.5</v>
      </c>
      <c r="O20" s="58">
        <f t="shared" si="19"/>
        <v>45.7</v>
      </c>
      <c r="P20" s="43">
        <f t="shared" si="13"/>
        <v>1095</v>
      </c>
      <c r="Q20" s="59">
        <f t="shared" si="6"/>
        <v>1371</v>
      </c>
      <c r="R20" s="43"/>
      <c r="S20" s="60">
        <f t="shared" si="14"/>
        <v>276.00000000000006</v>
      </c>
      <c r="T20" s="61">
        <f t="shared" si="15"/>
        <v>413.99999999999994</v>
      </c>
      <c r="U20" s="46"/>
    </row>
    <row r="21" spans="1:21" x14ac:dyDescent="0.25">
      <c r="A21" s="47">
        <f t="shared" si="7"/>
        <v>37019</v>
      </c>
      <c r="B21" s="48">
        <v>15</v>
      </c>
      <c r="C21" s="49">
        <f>INDEX(DaMw,C34+14,0)</f>
        <v>30</v>
      </c>
      <c r="D21" s="91">
        <f>INDEX(DaPrice,C34+14,0)</f>
        <v>36.5</v>
      </c>
      <c r="E21" s="51">
        <f t="shared" si="8"/>
        <v>4.6500000000000004</v>
      </c>
      <c r="F21" s="51">
        <f t="shared" si="9"/>
        <v>4.6500000000000004</v>
      </c>
      <c r="G21" s="52">
        <f t="shared" si="10"/>
        <v>59.5</v>
      </c>
      <c r="H21" s="53">
        <f t="shared" si="0"/>
        <v>23</v>
      </c>
      <c r="I21" s="54">
        <f t="shared" si="1"/>
        <v>690</v>
      </c>
      <c r="J21" s="62">
        <f t="shared" si="17"/>
        <v>9.2000000000000011</v>
      </c>
      <c r="K21" s="63">
        <f t="shared" si="16"/>
        <v>13.799999999999999</v>
      </c>
      <c r="L21" s="64">
        <f t="shared" si="18"/>
        <v>276.00000000000006</v>
      </c>
      <c r="M21" s="56">
        <f t="shared" si="11"/>
        <v>413.99999999999994</v>
      </c>
      <c r="N21" s="57">
        <f t="shared" si="12"/>
        <v>36.5</v>
      </c>
      <c r="O21" s="58">
        <f t="shared" si="19"/>
        <v>45.7</v>
      </c>
      <c r="P21" s="43">
        <f t="shared" si="13"/>
        <v>1095</v>
      </c>
      <c r="Q21" s="59">
        <f t="shared" si="6"/>
        <v>1371</v>
      </c>
      <c r="R21" s="43"/>
      <c r="S21" s="60">
        <f t="shared" si="14"/>
        <v>276.00000000000006</v>
      </c>
      <c r="T21" s="61">
        <f t="shared" si="15"/>
        <v>413.99999999999994</v>
      </c>
      <c r="U21" s="46"/>
    </row>
    <row r="22" spans="1:21" x14ac:dyDescent="0.25">
      <c r="A22" s="47">
        <f t="shared" si="7"/>
        <v>37019</v>
      </c>
      <c r="B22" s="48">
        <v>16</v>
      </c>
      <c r="C22" s="49">
        <f>INDEX(DaMw,C34+15,0)</f>
        <v>30</v>
      </c>
      <c r="D22" s="91">
        <f>INDEX(DaPrice,C34+15,0)</f>
        <v>36.5</v>
      </c>
      <c r="E22" s="51">
        <f t="shared" si="8"/>
        <v>4.6500000000000004</v>
      </c>
      <c r="F22" s="51">
        <f t="shared" si="9"/>
        <v>4.6500000000000004</v>
      </c>
      <c r="G22" s="52">
        <f t="shared" si="10"/>
        <v>59.5</v>
      </c>
      <c r="H22" s="53">
        <f t="shared" si="0"/>
        <v>23</v>
      </c>
      <c r="I22" s="54">
        <f t="shared" si="1"/>
        <v>690</v>
      </c>
      <c r="J22" s="62">
        <f t="shared" si="17"/>
        <v>9.2000000000000011</v>
      </c>
      <c r="K22" s="63">
        <f t="shared" si="16"/>
        <v>13.799999999999999</v>
      </c>
      <c r="L22" s="64">
        <f t="shared" si="18"/>
        <v>276.00000000000006</v>
      </c>
      <c r="M22" s="56">
        <f t="shared" si="11"/>
        <v>413.99999999999994</v>
      </c>
      <c r="N22" s="57">
        <f t="shared" si="12"/>
        <v>36.5</v>
      </c>
      <c r="O22" s="58">
        <f t="shared" si="19"/>
        <v>45.7</v>
      </c>
      <c r="P22" s="43">
        <f t="shared" si="13"/>
        <v>1095</v>
      </c>
      <c r="Q22" s="59">
        <f t="shared" si="6"/>
        <v>1371</v>
      </c>
      <c r="R22" s="43"/>
      <c r="S22" s="60">
        <f t="shared" si="14"/>
        <v>276.00000000000006</v>
      </c>
      <c r="T22" s="61">
        <f t="shared" si="15"/>
        <v>413.99999999999994</v>
      </c>
      <c r="U22" s="46"/>
    </row>
    <row r="23" spans="1:21" x14ac:dyDescent="0.25">
      <c r="A23" s="47">
        <f t="shared" si="7"/>
        <v>37019</v>
      </c>
      <c r="B23" s="48">
        <v>17</v>
      </c>
      <c r="C23" s="49">
        <f>INDEX(DaMw,C34+16,0)</f>
        <v>30</v>
      </c>
      <c r="D23" s="91">
        <f>INDEX(DaPrice,C34+16,0)</f>
        <v>36.5</v>
      </c>
      <c r="E23" s="51">
        <f t="shared" si="8"/>
        <v>4.6500000000000004</v>
      </c>
      <c r="F23" s="51">
        <f t="shared" si="9"/>
        <v>4.6500000000000004</v>
      </c>
      <c r="G23" s="52">
        <f t="shared" si="10"/>
        <v>59.5</v>
      </c>
      <c r="H23" s="53">
        <f t="shared" si="0"/>
        <v>23</v>
      </c>
      <c r="I23" s="54">
        <f t="shared" si="1"/>
        <v>690</v>
      </c>
      <c r="J23" s="62">
        <f t="shared" si="17"/>
        <v>9.2000000000000011</v>
      </c>
      <c r="K23" s="63">
        <f t="shared" si="16"/>
        <v>13.799999999999999</v>
      </c>
      <c r="L23" s="64">
        <f t="shared" si="18"/>
        <v>276.00000000000006</v>
      </c>
      <c r="M23" s="56">
        <f t="shared" si="11"/>
        <v>413.99999999999994</v>
      </c>
      <c r="N23" s="57">
        <f t="shared" si="12"/>
        <v>36.5</v>
      </c>
      <c r="O23" s="58">
        <f t="shared" si="19"/>
        <v>45.7</v>
      </c>
      <c r="P23" s="43">
        <f t="shared" si="13"/>
        <v>1095</v>
      </c>
      <c r="Q23" s="59">
        <f t="shared" si="6"/>
        <v>1371</v>
      </c>
      <c r="R23" s="43"/>
      <c r="S23" s="60">
        <f t="shared" si="14"/>
        <v>276.00000000000006</v>
      </c>
      <c r="T23" s="61">
        <f t="shared" si="15"/>
        <v>413.99999999999994</v>
      </c>
      <c r="U23" s="46"/>
    </row>
    <row r="24" spans="1:21" x14ac:dyDescent="0.25">
      <c r="A24" s="47">
        <f t="shared" si="7"/>
        <v>37019</v>
      </c>
      <c r="B24" s="48">
        <v>18</v>
      </c>
      <c r="C24" s="49">
        <f>INDEX(DaMw,C34+17,0)</f>
        <v>30</v>
      </c>
      <c r="D24" s="91">
        <f>INDEX(DaPrice,C34+17,0)</f>
        <v>36.5</v>
      </c>
      <c r="E24" s="51">
        <f t="shared" si="8"/>
        <v>4.6500000000000004</v>
      </c>
      <c r="F24" s="51">
        <f t="shared" si="9"/>
        <v>4.6500000000000004</v>
      </c>
      <c r="G24" s="52">
        <f t="shared" si="10"/>
        <v>59.5</v>
      </c>
      <c r="H24" s="53">
        <f t="shared" si="0"/>
        <v>23</v>
      </c>
      <c r="I24" s="54">
        <f t="shared" si="1"/>
        <v>690</v>
      </c>
      <c r="J24" s="62">
        <f t="shared" si="17"/>
        <v>9.2000000000000011</v>
      </c>
      <c r="K24" s="63">
        <f t="shared" si="16"/>
        <v>13.799999999999999</v>
      </c>
      <c r="L24" s="64">
        <f t="shared" si="18"/>
        <v>276.00000000000006</v>
      </c>
      <c r="M24" s="56">
        <f t="shared" si="11"/>
        <v>413.99999999999994</v>
      </c>
      <c r="N24" s="57">
        <f t="shared" si="12"/>
        <v>36.5</v>
      </c>
      <c r="O24" s="58">
        <f t="shared" si="19"/>
        <v>45.7</v>
      </c>
      <c r="P24" s="43">
        <f t="shared" si="13"/>
        <v>1095</v>
      </c>
      <c r="Q24" s="59">
        <f t="shared" si="6"/>
        <v>1371</v>
      </c>
      <c r="R24" s="43"/>
      <c r="S24" s="60">
        <f t="shared" si="14"/>
        <v>276.00000000000006</v>
      </c>
      <c r="T24" s="61">
        <f t="shared" si="15"/>
        <v>413.99999999999994</v>
      </c>
      <c r="U24" s="46"/>
    </row>
    <row r="25" spans="1:21" x14ac:dyDescent="0.25">
      <c r="A25" s="47">
        <f t="shared" si="7"/>
        <v>37019</v>
      </c>
      <c r="B25" s="48">
        <v>19</v>
      </c>
      <c r="C25" s="49">
        <f>INDEX(DaMw,C34+18,0)</f>
        <v>30</v>
      </c>
      <c r="D25" s="91">
        <f>INDEX(DaPrice,C34+18,0)</f>
        <v>36.5</v>
      </c>
      <c r="E25" s="51">
        <f t="shared" si="8"/>
        <v>4.6500000000000004</v>
      </c>
      <c r="F25" s="51">
        <f t="shared" si="9"/>
        <v>4.6500000000000004</v>
      </c>
      <c r="G25" s="52">
        <f t="shared" si="10"/>
        <v>59.5</v>
      </c>
      <c r="H25" s="53">
        <f t="shared" si="0"/>
        <v>23</v>
      </c>
      <c r="I25" s="54">
        <f t="shared" si="1"/>
        <v>690</v>
      </c>
      <c r="J25" s="62">
        <f t="shared" si="17"/>
        <v>9.2000000000000011</v>
      </c>
      <c r="K25" s="63">
        <f t="shared" si="16"/>
        <v>13.799999999999999</v>
      </c>
      <c r="L25" s="64">
        <f t="shared" si="18"/>
        <v>276.00000000000006</v>
      </c>
      <c r="M25" s="56">
        <f t="shared" si="11"/>
        <v>413.99999999999994</v>
      </c>
      <c r="N25" s="57">
        <f t="shared" si="12"/>
        <v>36.5</v>
      </c>
      <c r="O25" s="58">
        <f t="shared" si="19"/>
        <v>45.7</v>
      </c>
      <c r="P25" s="43">
        <f t="shared" si="13"/>
        <v>1095</v>
      </c>
      <c r="Q25" s="59">
        <f t="shared" si="6"/>
        <v>1371</v>
      </c>
      <c r="R25" s="43"/>
      <c r="S25" s="60">
        <f t="shared" si="14"/>
        <v>276.00000000000006</v>
      </c>
      <c r="T25" s="61">
        <f t="shared" si="15"/>
        <v>413.99999999999994</v>
      </c>
      <c r="U25" s="46"/>
    </row>
    <row r="26" spans="1:21" x14ac:dyDescent="0.25">
      <c r="A26" s="47">
        <f t="shared" si="7"/>
        <v>37019</v>
      </c>
      <c r="B26" s="48">
        <v>20</v>
      </c>
      <c r="C26" s="49">
        <f>INDEX(DaMw,C34+19,0)</f>
        <v>30</v>
      </c>
      <c r="D26" s="91">
        <f>INDEX(DaPrice,C34+19,0)</f>
        <v>36.5</v>
      </c>
      <c r="E26" s="51">
        <f t="shared" si="8"/>
        <v>4.6500000000000004</v>
      </c>
      <c r="F26" s="51">
        <f t="shared" si="9"/>
        <v>4.6500000000000004</v>
      </c>
      <c r="G26" s="52">
        <f t="shared" si="10"/>
        <v>59.5</v>
      </c>
      <c r="H26" s="53">
        <f t="shared" si="0"/>
        <v>23</v>
      </c>
      <c r="I26" s="54">
        <f t="shared" si="1"/>
        <v>690</v>
      </c>
      <c r="J26" s="62">
        <f t="shared" si="17"/>
        <v>9.2000000000000011</v>
      </c>
      <c r="K26" s="63">
        <f t="shared" si="16"/>
        <v>13.799999999999999</v>
      </c>
      <c r="L26" s="64">
        <f t="shared" si="18"/>
        <v>276.00000000000006</v>
      </c>
      <c r="M26" s="56">
        <f t="shared" si="11"/>
        <v>413.99999999999994</v>
      </c>
      <c r="N26" s="57">
        <f t="shared" si="12"/>
        <v>36.5</v>
      </c>
      <c r="O26" s="58">
        <f t="shared" si="19"/>
        <v>45.7</v>
      </c>
      <c r="P26" s="43">
        <f t="shared" si="13"/>
        <v>1095</v>
      </c>
      <c r="Q26" s="59">
        <f t="shared" si="6"/>
        <v>1371</v>
      </c>
      <c r="R26" s="43"/>
      <c r="S26" s="60">
        <f t="shared" si="14"/>
        <v>276.00000000000006</v>
      </c>
      <c r="T26" s="61">
        <f t="shared" si="15"/>
        <v>413.99999999999994</v>
      </c>
      <c r="U26" s="46"/>
    </row>
    <row r="27" spans="1:21" x14ac:dyDescent="0.25">
      <c r="A27" s="47">
        <f t="shared" si="7"/>
        <v>37019</v>
      </c>
      <c r="B27" s="48">
        <v>21</v>
      </c>
      <c r="C27" s="49">
        <f>INDEX(DaMw,C34+20,0)</f>
        <v>30</v>
      </c>
      <c r="D27" s="91">
        <f>INDEX(DaPrice,C34+20,0)</f>
        <v>36.5</v>
      </c>
      <c r="E27" s="51">
        <f t="shared" si="8"/>
        <v>4.6500000000000004</v>
      </c>
      <c r="F27" s="51">
        <f t="shared" si="9"/>
        <v>4.6500000000000004</v>
      </c>
      <c r="G27" s="52">
        <f t="shared" si="10"/>
        <v>59.5</v>
      </c>
      <c r="H27" s="53">
        <f t="shared" si="0"/>
        <v>23</v>
      </c>
      <c r="I27" s="54">
        <f t="shared" si="1"/>
        <v>690</v>
      </c>
      <c r="J27" s="62">
        <f t="shared" si="17"/>
        <v>9.2000000000000011</v>
      </c>
      <c r="K27" s="63">
        <f t="shared" si="16"/>
        <v>13.799999999999999</v>
      </c>
      <c r="L27" s="64">
        <f t="shared" si="18"/>
        <v>276.00000000000006</v>
      </c>
      <c r="M27" s="56">
        <f t="shared" si="11"/>
        <v>413.99999999999994</v>
      </c>
      <c r="N27" s="57">
        <f t="shared" si="12"/>
        <v>36.5</v>
      </c>
      <c r="O27" s="58">
        <f t="shared" si="19"/>
        <v>45.7</v>
      </c>
      <c r="P27" s="43">
        <f t="shared" si="13"/>
        <v>1095</v>
      </c>
      <c r="Q27" s="59">
        <f t="shared" si="6"/>
        <v>1371</v>
      </c>
      <c r="R27" s="43"/>
      <c r="S27" s="60">
        <f t="shared" si="14"/>
        <v>276.00000000000006</v>
      </c>
      <c r="T27" s="61">
        <f t="shared" si="15"/>
        <v>413.99999999999994</v>
      </c>
      <c r="U27" s="46"/>
    </row>
    <row r="28" spans="1:21" x14ac:dyDescent="0.25">
      <c r="A28" s="47">
        <f t="shared" si="7"/>
        <v>37019</v>
      </c>
      <c r="B28" s="48">
        <v>22</v>
      </c>
      <c r="C28" s="49">
        <f>INDEX(DaMw,C34+21,0)</f>
        <v>30</v>
      </c>
      <c r="D28" s="91">
        <f>INDEX(DaPrice,C34+21,0)</f>
        <v>36.5</v>
      </c>
      <c r="E28" s="51">
        <f t="shared" si="8"/>
        <v>4.6500000000000004</v>
      </c>
      <c r="F28" s="51">
        <f t="shared" si="9"/>
        <v>4.6500000000000004</v>
      </c>
      <c r="G28" s="52">
        <f t="shared" si="10"/>
        <v>59.5</v>
      </c>
      <c r="H28" s="53">
        <f t="shared" si="0"/>
        <v>23</v>
      </c>
      <c r="I28" s="54">
        <f t="shared" si="1"/>
        <v>690</v>
      </c>
      <c r="J28" s="62">
        <f t="shared" si="17"/>
        <v>9.2000000000000011</v>
      </c>
      <c r="K28" s="63">
        <f t="shared" si="16"/>
        <v>13.799999999999999</v>
      </c>
      <c r="L28" s="64">
        <f t="shared" si="18"/>
        <v>276.00000000000006</v>
      </c>
      <c r="M28" s="56">
        <f t="shared" si="11"/>
        <v>413.99999999999994</v>
      </c>
      <c r="N28" s="57">
        <f t="shared" si="12"/>
        <v>36.5</v>
      </c>
      <c r="O28" s="58">
        <f t="shared" si="19"/>
        <v>45.7</v>
      </c>
      <c r="P28" s="43">
        <f t="shared" si="13"/>
        <v>1095</v>
      </c>
      <c r="Q28" s="59">
        <f t="shared" si="6"/>
        <v>1371</v>
      </c>
      <c r="R28" s="43"/>
      <c r="S28" s="60">
        <f t="shared" si="14"/>
        <v>276.00000000000006</v>
      </c>
      <c r="T28" s="61">
        <f t="shared" si="15"/>
        <v>413.99999999999994</v>
      </c>
      <c r="U28" s="46"/>
    </row>
    <row r="29" spans="1:21" x14ac:dyDescent="0.25">
      <c r="A29" s="47">
        <f t="shared" si="7"/>
        <v>37019</v>
      </c>
      <c r="B29" s="48">
        <v>23</v>
      </c>
      <c r="C29" s="49">
        <f>INDEX(DaMw,C34+22,0)</f>
        <v>15</v>
      </c>
      <c r="D29" s="91">
        <f>INDEX(DaPrice,C34+22,0)</f>
        <v>17</v>
      </c>
      <c r="E29" s="51">
        <f t="shared" si="8"/>
        <v>4.6500000000000004</v>
      </c>
      <c r="F29" s="51">
        <f t="shared" si="9"/>
        <v>4.6500000000000004</v>
      </c>
      <c r="G29" s="52">
        <f t="shared" si="10"/>
        <v>59.5</v>
      </c>
      <c r="H29" s="53">
        <f t="shared" si="0"/>
        <v>42.5</v>
      </c>
      <c r="I29" s="54">
        <f t="shared" si="1"/>
        <v>637.5</v>
      </c>
      <c r="J29" s="55">
        <f>IF(C29=0,"",1)</f>
        <v>1</v>
      </c>
      <c r="K29" s="43">
        <f>IF(C29=0,"",G29-(D29+1))</f>
        <v>41.5</v>
      </c>
      <c r="L29" s="43">
        <f>IF(C29=0,"",C29*J29)</f>
        <v>15</v>
      </c>
      <c r="M29" s="56">
        <f t="shared" si="11"/>
        <v>622.5</v>
      </c>
      <c r="N29" s="57">
        <f t="shared" si="12"/>
        <v>17</v>
      </c>
      <c r="O29" s="58">
        <f>IF(C29=0,"",D29+1)</f>
        <v>18</v>
      </c>
      <c r="P29" s="43">
        <f t="shared" si="13"/>
        <v>255</v>
      </c>
      <c r="Q29" s="59">
        <f t="shared" si="6"/>
        <v>270</v>
      </c>
      <c r="R29" s="43"/>
      <c r="S29" s="60">
        <f t="shared" si="14"/>
        <v>15</v>
      </c>
      <c r="T29" s="61">
        <f t="shared" si="15"/>
        <v>622.5</v>
      </c>
      <c r="U29" s="46"/>
    </row>
    <row r="30" spans="1:21" x14ac:dyDescent="0.25">
      <c r="A30" s="65">
        <f t="shared" si="7"/>
        <v>37019</v>
      </c>
      <c r="B30" s="66">
        <v>24</v>
      </c>
      <c r="C30" s="67">
        <f>INDEX(DaMw,C34+23,0)</f>
        <v>15</v>
      </c>
      <c r="D30" s="92">
        <f>INDEX(DaPrice,C34+23,0)</f>
        <v>17</v>
      </c>
      <c r="E30" s="69">
        <f t="shared" si="8"/>
        <v>4.6500000000000004</v>
      </c>
      <c r="F30" s="69">
        <f>VLOOKUP(A30,Gas,5,FALSE)</f>
        <v>4.6500000000000004</v>
      </c>
      <c r="G30" s="70">
        <f t="shared" si="10"/>
        <v>59.5</v>
      </c>
      <c r="H30" s="71">
        <f t="shared" si="0"/>
        <v>42.5</v>
      </c>
      <c r="I30" s="72">
        <f t="shared" si="1"/>
        <v>637.5</v>
      </c>
      <c r="J30" s="73">
        <f>IF(C30=0,"",1)</f>
        <v>1</v>
      </c>
      <c r="K30" s="74">
        <f>IF(C30=0,"",G30-(D30+1))</f>
        <v>41.5</v>
      </c>
      <c r="L30" s="74">
        <f>IF(C30=0,"",C30*J30)</f>
        <v>15</v>
      </c>
      <c r="M30" s="75">
        <f t="shared" si="11"/>
        <v>622.5</v>
      </c>
      <c r="N30" s="76">
        <f t="shared" si="12"/>
        <v>17</v>
      </c>
      <c r="O30" s="77">
        <f>IF(C30=0,"",D30+1)</f>
        <v>18</v>
      </c>
      <c r="P30" s="74">
        <f t="shared" si="13"/>
        <v>255</v>
      </c>
      <c r="Q30" s="78">
        <f t="shared" si="6"/>
        <v>270</v>
      </c>
      <c r="R30" s="43"/>
      <c r="S30" s="79">
        <f t="shared" si="14"/>
        <v>15</v>
      </c>
      <c r="T30" s="80">
        <f t="shared" si="15"/>
        <v>622.5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83"/>
    </row>
    <row r="32" spans="1:21" x14ac:dyDescent="0.25">
      <c r="K32" s="84"/>
      <c r="L32" s="84"/>
      <c r="M32" s="84"/>
      <c r="N32" s="85"/>
      <c r="O32" s="84"/>
      <c r="P32" s="85"/>
      <c r="Q32" s="86">
        <f>SUM(Q7:Q30)</f>
        <v>23410.5</v>
      </c>
      <c r="R32" s="87"/>
      <c r="S32" s="86">
        <f>SUM(S7:S30)</f>
        <v>4398</v>
      </c>
      <c r="T32" s="86">
        <f>SUM(T7:T30)</f>
        <v>11397</v>
      </c>
    </row>
    <row r="34" spans="1:22" hidden="1" x14ac:dyDescent="0.25">
      <c r="B34" t="s">
        <v>33</v>
      </c>
      <c r="C34">
        <f>MATCH(C2,DaDate,0)</f>
        <v>169</v>
      </c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5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f>$C$2</f>
        <v>37019</v>
      </c>
      <c r="B41" s="30">
        <v>1</v>
      </c>
      <c r="C41" s="31">
        <f>INDEX(RtMw,C68,0)</f>
        <v>13</v>
      </c>
      <c r="D41" s="32">
        <f>INDEX(RTPrice,C68,0)</f>
        <v>18</v>
      </c>
      <c r="E41" s="33">
        <f>VLOOKUP(A41,Gas,4,FALSE)</f>
        <v>4.6500000000000004</v>
      </c>
      <c r="F41" s="33">
        <f>VLOOKUP(A41,Gas,5,FALSE)</f>
        <v>4.6500000000000004</v>
      </c>
      <c r="G41" s="34">
        <f>VLOOKUP(A41,Bogey,2,FALSE)</f>
        <v>59.5</v>
      </c>
      <c r="H41" s="35">
        <f t="shared" ref="H41:H64" si="20">IF(C41&gt;0,G41-D41,"")</f>
        <v>41.5</v>
      </c>
      <c r="I41" s="36">
        <f t="shared" ref="I41:I64" si="21">IF(C41&gt;0,H41*ABS(C41),"")</f>
        <v>539.5</v>
      </c>
      <c r="J41" s="37">
        <f t="shared" ref="J41:J46" si="22">IF(C41=0,"",1)</f>
        <v>1</v>
      </c>
      <c r="K41" s="38">
        <f t="shared" ref="K41:K46" si="23">IF(C41=0,"",G41-(D41+1))</f>
        <v>40.5</v>
      </c>
      <c r="L41" s="38">
        <f t="shared" ref="L41:L46" si="24">IF(C41=0,"",C41*J41)</f>
        <v>13</v>
      </c>
      <c r="M41" s="39">
        <f>IF(C41=0,"",C41*K41)</f>
        <v>526.5</v>
      </c>
      <c r="N41" s="40">
        <f>IF(C41=0,"",D41)</f>
        <v>18</v>
      </c>
      <c r="O41" s="41">
        <f t="shared" ref="O41:O46" si="25">IF(C41=0,"",D41+1)</f>
        <v>19</v>
      </c>
      <c r="P41" s="38">
        <f>IF(C41=0,"",N41*C41)</f>
        <v>234</v>
      </c>
      <c r="Q41" s="42">
        <f t="shared" ref="Q41:Q64" si="26">IF(C41=0,"",O41*C41)</f>
        <v>247</v>
      </c>
      <c r="R41" s="43"/>
      <c r="S41" s="44">
        <f>IF(C41=0,"",L41)</f>
        <v>13</v>
      </c>
      <c r="T41" s="45">
        <f>IF(C41=0,"",M41)</f>
        <v>526.5</v>
      </c>
      <c r="U41" s="46"/>
    </row>
    <row r="42" spans="1:22" x14ac:dyDescent="0.25">
      <c r="A42" s="47">
        <f t="shared" ref="A42:A64" si="27">$C$2</f>
        <v>37019</v>
      </c>
      <c r="B42" s="48">
        <v>2</v>
      </c>
      <c r="C42" s="49">
        <f>INDEX(RtMw,C68+1,0)</f>
        <v>8</v>
      </c>
      <c r="D42" s="50">
        <f>INDEX(RTPrice,C68+1,0)</f>
        <v>18</v>
      </c>
      <c r="E42" s="51">
        <f t="shared" ref="E42:E64" si="28">VLOOKUP(A42,Gas,4,FALSE)</f>
        <v>4.6500000000000004</v>
      </c>
      <c r="F42" s="51">
        <f t="shared" ref="F42:F63" si="29">VLOOKUP(A42,Gas,5,FALSE)</f>
        <v>4.6500000000000004</v>
      </c>
      <c r="G42" s="52">
        <f t="shared" ref="G42:G64" si="30">VLOOKUP(A42,Bogey,2,FALSE)</f>
        <v>59.5</v>
      </c>
      <c r="H42" s="53">
        <f t="shared" si="20"/>
        <v>41.5</v>
      </c>
      <c r="I42" s="54">
        <f t="shared" si="21"/>
        <v>332</v>
      </c>
      <c r="J42" s="55">
        <f t="shared" si="22"/>
        <v>1</v>
      </c>
      <c r="K42" s="43">
        <f t="shared" si="23"/>
        <v>40.5</v>
      </c>
      <c r="L42" s="43">
        <f t="shared" si="24"/>
        <v>8</v>
      </c>
      <c r="M42" s="56">
        <f t="shared" ref="M42:M64" si="31">IF(C42=0,"",C42*K42)</f>
        <v>324</v>
      </c>
      <c r="N42" s="57">
        <f t="shared" ref="N42:N64" si="32">IF(C42=0,"",D42)</f>
        <v>18</v>
      </c>
      <c r="O42" s="58">
        <f t="shared" si="25"/>
        <v>19</v>
      </c>
      <c r="P42" s="43">
        <f t="shared" ref="P42:P64" si="33">IF(C42=0,"",N42*C42)</f>
        <v>144</v>
      </c>
      <c r="Q42" s="59">
        <f t="shared" si="26"/>
        <v>152</v>
      </c>
      <c r="R42" s="43"/>
      <c r="S42" s="60">
        <f t="shared" ref="S42:S64" si="34">IF(C42=0,"",L42)</f>
        <v>8</v>
      </c>
      <c r="T42" s="61">
        <f t="shared" ref="T42:T64" si="35">IF(C42=0,"",M42)</f>
        <v>324</v>
      </c>
      <c r="U42" s="46"/>
    </row>
    <row r="43" spans="1:22" x14ac:dyDescent="0.25">
      <c r="A43" s="47">
        <f t="shared" si="27"/>
        <v>37019</v>
      </c>
      <c r="B43" s="48">
        <v>3</v>
      </c>
      <c r="C43" s="49">
        <f>INDEX(RtMw,C68+2,0)</f>
        <v>4</v>
      </c>
      <c r="D43" s="50">
        <f>INDEX(RTPrice,C68+2,0)</f>
        <v>18</v>
      </c>
      <c r="E43" s="51">
        <f t="shared" si="28"/>
        <v>4.6500000000000004</v>
      </c>
      <c r="F43" s="51">
        <f t="shared" si="29"/>
        <v>4.6500000000000004</v>
      </c>
      <c r="G43" s="52">
        <f t="shared" si="30"/>
        <v>59.5</v>
      </c>
      <c r="H43" s="53">
        <f t="shared" si="20"/>
        <v>41.5</v>
      </c>
      <c r="I43" s="54">
        <f t="shared" si="21"/>
        <v>166</v>
      </c>
      <c r="J43" s="55">
        <f t="shared" si="22"/>
        <v>1</v>
      </c>
      <c r="K43" s="43">
        <f t="shared" si="23"/>
        <v>40.5</v>
      </c>
      <c r="L43" s="43">
        <f t="shared" si="24"/>
        <v>4</v>
      </c>
      <c r="M43" s="56">
        <f t="shared" si="31"/>
        <v>162</v>
      </c>
      <c r="N43" s="57">
        <f t="shared" si="32"/>
        <v>18</v>
      </c>
      <c r="O43" s="58">
        <f t="shared" si="25"/>
        <v>19</v>
      </c>
      <c r="P43" s="43">
        <f t="shared" si="33"/>
        <v>72</v>
      </c>
      <c r="Q43" s="59">
        <f t="shared" si="26"/>
        <v>76</v>
      </c>
      <c r="R43" s="43"/>
      <c r="S43" s="60">
        <f t="shared" si="34"/>
        <v>4</v>
      </c>
      <c r="T43" s="61">
        <f t="shared" si="35"/>
        <v>162</v>
      </c>
      <c r="U43" s="46"/>
    </row>
    <row r="44" spans="1:22" x14ac:dyDescent="0.25">
      <c r="A44" s="47">
        <f t="shared" si="27"/>
        <v>37019</v>
      </c>
      <c r="B44" s="48">
        <v>4</v>
      </c>
      <c r="C44" s="49">
        <f>INDEX(RtMw,C68+3,0)</f>
        <v>3</v>
      </c>
      <c r="D44" s="50">
        <f>INDEX(RTPrice,C68+3,0)</f>
        <v>18</v>
      </c>
      <c r="E44" s="51">
        <f t="shared" si="28"/>
        <v>4.6500000000000004</v>
      </c>
      <c r="F44" s="51">
        <f t="shared" si="29"/>
        <v>4.6500000000000004</v>
      </c>
      <c r="G44" s="52">
        <f t="shared" si="30"/>
        <v>59.5</v>
      </c>
      <c r="H44" s="53">
        <f t="shared" si="20"/>
        <v>41.5</v>
      </c>
      <c r="I44" s="54">
        <f t="shared" si="21"/>
        <v>124.5</v>
      </c>
      <c r="J44" s="55">
        <f t="shared" si="22"/>
        <v>1</v>
      </c>
      <c r="K44" s="43">
        <f t="shared" si="23"/>
        <v>40.5</v>
      </c>
      <c r="L44" s="43">
        <f t="shared" si="24"/>
        <v>3</v>
      </c>
      <c r="M44" s="56">
        <f t="shared" si="31"/>
        <v>121.5</v>
      </c>
      <c r="N44" s="57">
        <f t="shared" si="32"/>
        <v>18</v>
      </c>
      <c r="O44" s="58">
        <f t="shared" si="25"/>
        <v>19</v>
      </c>
      <c r="P44" s="43">
        <f t="shared" si="33"/>
        <v>54</v>
      </c>
      <c r="Q44" s="59">
        <f t="shared" si="26"/>
        <v>57</v>
      </c>
      <c r="R44" s="43"/>
      <c r="S44" s="60">
        <f t="shared" si="34"/>
        <v>3</v>
      </c>
      <c r="T44" s="61">
        <f t="shared" si="35"/>
        <v>121.5</v>
      </c>
      <c r="U44" s="46"/>
    </row>
    <row r="45" spans="1:22" x14ac:dyDescent="0.25">
      <c r="A45" s="47">
        <f t="shared" si="27"/>
        <v>37019</v>
      </c>
      <c r="B45" s="48">
        <v>5</v>
      </c>
      <c r="C45" s="49">
        <f>INDEX(RtMw,C68+4,0)</f>
        <v>3</v>
      </c>
      <c r="D45" s="50">
        <f>INDEX(RTPrice,C68+4,0)</f>
        <v>17</v>
      </c>
      <c r="E45" s="51">
        <f t="shared" si="28"/>
        <v>4.6500000000000004</v>
      </c>
      <c r="F45" s="51">
        <f t="shared" si="29"/>
        <v>4.6500000000000004</v>
      </c>
      <c r="G45" s="52">
        <f t="shared" si="30"/>
        <v>59.5</v>
      </c>
      <c r="H45" s="53">
        <f t="shared" si="20"/>
        <v>42.5</v>
      </c>
      <c r="I45" s="54">
        <f t="shared" si="21"/>
        <v>127.5</v>
      </c>
      <c r="J45" s="55">
        <f t="shared" si="22"/>
        <v>1</v>
      </c>
      <c r="K45" s="43">
        <f t="shared" si="23"/>
        <v>41.5</v>
      </c>
      <c r="L45" s="43">
        <f t="shared" si="24"/>
        <v>3</v>
      </c>
      <c r="M45" s="56">
        <f t="shared" si="31"/>
        <v>124.5</v>
      </c>
      <c r="N45" s="57">
        <f t="shared" si="32"/>
        <v>17</v>
      </c>
      <c r="O45" s="58">
        <f t="shared" si="25"/>
        <v>18</v>
      </c>
      <c r="P45" s="43">
        <f t="shared" si="33"/>
        <v>51</v>
      </c>
      <c r="Q45" s="59">
        <f t="shared" si="26"/>
        <v>54</v>
      </c>
      <c r="R45" s="43"/>
      <c r="S45" s="60">
        <f t="shared" si="34"/>
        <v>3</v>
      </c>
      <c r="T45" s="61">
        <f t="shared" si="35"/>
        <v>124.5</v>
      </c>
      <c r="U45" s="46"/>
    </row>
    <row r="46" spans="1:22" x14ac:dyDescent="0.25">
      <c r="A46" s="47">
        <f t="shared" si="27"/>
        <v>37019</v>
      </c>
      <c r="B46" s="48">
        <v>6</v>
      </c>
      <c r="C46" s="49">
        <f>INDEX(RtMw,C68+5,0)</f>
        <v>4</v>
      </c>
      <c r="D46" s="50">
        <f>INDEX(RTPrice,C68+5,0)</f>
        <v>18</v>
      </c>
      <c r="E46" s="51">
        <f t="shared" si="28"/>
        <v>4.6500000000000004</v>
      </c>
      <c r="F46" s="51">
        <f t="shared" si="29"/>
        <v>4.6500000000000004</v>
      </c>
      <c r="G46" s="52">
        <f t="shared" si="30"/>
        <v>59.5</v>
      </c>
      <c r="H46" s="53">
        <f t="shared" si="20"/>
        <v>41.5</v>
      </c>
      <c r="I46" s="54">
        <f t="shared" si="21"/>
        <v>166</v>
      </c>
      <c r="J46" s="55">
        <f t="shared" si="22"/>
        <v>1</v>
      </c>
      <c r="K46" s="43">
        <f t="shared" si="23"/>
        <v>40.5</v>
      </c>
      <c r="L46" s="43">
        <f t="shared" si="24"/>
        <v>4</v>
      </c>
      <c r="M46" s="56">
        <f t="shared" si="31"/>
        <v>162</v>
      </c>
      <c r="N46" s="57">
        <f t="shared" si="32"/>
        <v>18</v>
      </c>
      <c r="O46" s="58">
        <f t="shared" si="25"/>
        <v>19</v>
      </c>
      <c r="P46" s="43">
        <f t="shared" si="33"/>
        <v>72</v>
      </c>
      <c r="Q46" s="59">
        <f t="shared" si="26"/>
        <v>76</v>
      </c>
      <c r="R46" s="43"/>
      <c r="S46" s="60">
        <f t="shared" si="34"/>
        <v>4</v>
      </c>
      <c r="T46" s="61">
        <f t="shared" si="35"/>
        <v>162</v>
      </c>
      <c r="U46" s="46"/>
    </row>
    <row r="47" spans="1:22" x14ac:dyDescent="0.25">
      <c r="A47" s="47">
        <f t="shared" si="27"/>
        <v>37019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4.6500000000000004</v>
      </c>
      <c r="F47" s="51">
        <f t="shared" si="29"/>
        <v>4.6500000000000004</v>
      </c>
      <c r="G47" s="52">
        <f t="shared" si="30"/>
        <v>59.5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5">
      <c r="A48" s="47">
        <f t="shared" si="27"/>
        <v>37019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4.6500000000000004</v>
      </c>
      <c r="F48" s="51">
        <f t="shared" si="29"/>
        <v>4.6500000000000004</v>
      </c>
      <c r="G48" s="52">
        <f t="shared" si="30"/>
        <v>59.5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5">
      <c r="A49" s="47">
        <f t="shared" si="27"/>
        <v>37019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4.6500000000000004</v>
      </c>
      <c r="F49" s="51">
        <f t="shared" si="29"/>
        <v>4.6500000000000004</v>
      </c>
      <c r="G49" s="52">
        <f t="shared" si="30"/>
        <v>59.5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5">
      <c r="A50" s="47">
        <f t="shared" si="27"/>
        <v>37019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4.6500000000000004</v>
      </c>
      <c r="F50" s="51">
        <f t="shared" si="29"/>
        <v>4.6500000000000004</v>
      </c>
      <c r="G50" s="52">
        <f t="shared" si="30"/>
        <v>59.5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5">
      <c r="A51" s="47">
        <f t="shared" si="27"/>
        <v>37019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4.6500000000000004</v>
      </c>
      <c r="F51" s="51">
        <f t="shared" si="29"/>
        <v>4.6500000000000004</v>
      </c>
      <c r="G51" s="52">
        <f t="shared" si="30"/>
        <v>59.5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5">
      <c r="A52" s="47">
        <f t="shared" si="27"/>
        <v>37019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4.6500000000000004</v>
      </c>
      <c r="F52" s="51">
        <f t="shared" si="29"/>
        <v>4.6500000000000004</v>
      </c>
      <c r="G52" s="52">
        <f t="shared" si="30"/>
        <v>59.5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5">
      <c r="A53" s="47">
        <f t="shared" si="27"/>
        <v>37019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4.6500000000000004</v>
      </c>
      <c r="F53" s="51">
        <f t="shared" si="29"/>
        <v>4.6500000000000004</v>
      </c>
      <c r="G53" s="52">
        <f t="shared" si="30"/>
        <v>59.5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5">
      <c r="A54" s="47">
        <f t="shared" si="27"/>
        <v>37019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4.6500000000000004</v>
      </c>
      <c r="F54" s="51">
        <f t="shared" si="29"/>
        <v>4.6500000000000004</v>
      </c>
      <c r="G54" s="52">
        <f t="shared" si="30"/>
        <v>59.5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5">
      <c r="A55" s="47">
        <f t="shared" si="27"/>
        <v>37019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4.6500000000000004</v>
      </c>
      <c r="F55" s="51">
        <f t="shared" si="29"/>
        <v>4.6500000000000004</v>
      </c>
      <c r="G55" s="52">
        <f t="shared" si="30"/>
        <v>59.5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5">
      <c r="A56" s="47">
        <f t="shared" si="27"/>
        <v>37019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4.6500000000000004</v>
      </c>
      <c r="F56" s="51">
        <f t="shared" si="29"/>
        <v>4.6500000000000004</v>
      </c>
      <c r="G56" s="52">
        <f t="shared" si="30"/>
        <v>59.5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5">
      <c r="A57" s="47">
        <f t="shared" si="27"/>
        <v>37019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4.6500000000000004</v>
      </c>
      <c r="F57" s="51">
        <f t="shared" si="29"/>
        <v>4.6500000000000004</v>
      </c>
      <c r="G57" s="52">
        <f t="shared" si="30"/>
        <v>59.5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5">
      <c r="A58" s="47">
        <f t="shared" si="27"/>
        <v>37019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4.6500000000000004</v>
      </c>
      <c r="F58" s="51">
        <f t="shared" si="29"/>
        <v>4.6500000000000004</v>
      </c>
      <c r="G58" s="52">
        <f t="shared" si="30"/>
        <v>59.5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5">
      <c r="A59" s="47">
        <f t="shared" si="27"/>
        <v>37019</v>
      </c>
      <c r="B59" s="48">
        <v>19</v>
      </c>
      <c r="C59" s="49">
        <f>INDEX(RtMw,C68+18,0)</f>
        <v>0</v>
      </c>
      <c r="D59" s="50">
        <f>INDEX(RTPrice,C68+18,0)</f>
        <v>0</v>
      </c>
      <c r="E59" s="51">
        <f t="shared" si="28"/>
        <v>4.6500000000000004</v>
      </c>
      <c r="F59" s="51">
        <f t="shared" si="29"/>
        <v>4.6500000000000004</v>
      </c>
      <c r="G59" s="52">
        <f t="shared" si="30"/>
        <v>59.5</v>
      </c>
      <c r="H59" s="53" t="str">
        <f t="shared" si="20"/>
        <v/>
      </c>
      <c r="I59" s="54" t="str">
        <f t="shared" si="21"/>
        <v/>
      </c>
      <c r="J59" s="62" t="str">
        <f t="shared" si="37"/>
        <v/>
      </c>
      <c r="K59" s="63" t="str">
        <f t="shared" si="36"/>
        <v/>
      </c>
      <c r="L59" s="64" t="str">
        <f t="shared" si="38"/>
        <v/>
      </c>
      <c r="M59" s="56" t="str">
        <f t="shared" si="31"/>
        <v/>
      </c>
      <c r="N59" s="57" t="str">
        <f t="shared" si="32"/>
        <v/>
      </c>
      <c r="O59" s="58"/>
      <c r="P59" s="43" t="str">
        <f t="shared" si="33"/>
        <v/>
      </c>
      <c r="Q59" s="59" t="str">
        <f t="shared" si="26"/>
        <v/>
      </c>
      <c r="R59" s="43"/>
      <c r="S59" s="60" t="str">
        <f t="shared" si="34"/>
        <v/>
      </c>
      <c r="T59" s="61" t="str">
        <f t="shared" si="35"/>
        <v/>
      </c>
      <c r="U59" s="46"/>
    </row>
    <row r="60" spans="1:21" x14ac:dyDescent="0.25">
      <c r="A60" s="47">
        <f t="shared" si="27"/>
        <v>37019</v>
      </c>
      <c r="B60" s="48">
        <v>20</v>
      </c>
      <c r="C60" s="49">
        <f>INDEX(RtMw,C68+19,0)</f>
        <v>0</v>
      </c>
      <c r="D60" s="50">
        <f>INDEX(RTPrice,C68+19,0)</f>
        <v>0</v>
      </c>
      <c r="E60" s="51">
        <f t="shared" si="28"/>
        <v>4.6500000000000004</v>
      </c>
      <c r="F60" s="51">
        <f t="shared" si="29"/>
        <v>4.6500000000000004</v>
      </c>
      <c r="G60" s="52">
        <f t="shared" si="30"/>
        <v>59.5</v>
      </c>
      <c r="H60" s="53" t="str">
        <f t="shared" si="20"/>
        <v/>
      </c>
      <c r="I60" s="54" t="str">
        <f t="shared" si="21"/>
        <v/>
      </c>
      <c r="J60" s="62" t="str">
        <f t="shared" si="37"/>
        <v/>
      </c>
      <c r="K60" s="63" t="str">
        <f t="shared" si="36"/>
        <v/>
      </c>
      <c r="L60" s="64" t="str">
        <f t="shared" si="38"/>
        <v/>
      </c>
      <c r="M60" s="56" t="str">
        <f t="shared" si="31"/>
        <v/>
      </c>
      <c r="N60" s="57" t="str">
        <f t="shared" si="32"/>
        <v/>
      </c>
      <c r="O60" s="58"/>
      <c r="P60" s="43" t="str">
        <f t="shared" si="33"/>
        <v/>
      </c>
      <c r="Q60" s="59" t="str">
        <f t="shared" si="26"/>
        <v/>
      </c>
      <c r="R60" s="43"/>
      <c r="S60" s="60" t="str">
        <f t="shared" si="34"/>
        <v/>
      </c>
      <c r="T60" s="61" t="str">
        <f t="shared" si="35"/>
        <v/>
      </c>
      <c r="U60" s="46"/>
    </row>
    <row r="61" spans="1:21" x14ac:dyDescent="0.25">
      <c r="A61" s="47">
        <f t="shared" si="27"/>
        <v>37019</v>
      </c>
      <c r="B61" s="48">
        <v>21</v>
      </c>
      <c r="C61" s="49">
        <f>INDEX(RtMw,C68+20,0)</f>
        <v>0</v>
      </c>
      <c r="D61" s="50">
        <f>INDEX(RTPrice,C68+20,0)</f>
        <v>0</v>
      </c>
      <c r="E61" s="51">
        <f t="shared" si="28"/>
        <v>4.6500000000000004</v>
      </c>
      <c r="F61" s="51">
        <f t="shared" si="29"/>
        <v>4.6500000000000004</v>
      </c>
      <c r="G61" s="52">
        <f t="shared" si="30"/>
        <v>59.5</v>
      </c>
      <c r="H61" s="53" t="str">
        <f t="shared" si="20"/>
        <v/>
      </c>
      <c r="I61" s="54" t="str">
        <f t="shared" si="21"/>
        <v/>
      </c>
      <c r="J61" s="62" t="str">
        <f t="shared" si="37"/>
        <v/>
      </c>
      <c r="K61" s="63" t="str">
        <f t="shared" si="36"/>
        <v/>
      </c>
      <c r="L61" s="64" t="str">
        <f t="shared" si="38"/>
        <v/>
      </c>
      <c r="M61" s="56" t="str">
        <f t="shared" si="31"/>
        <v/>
      </c>
      <c r="N61" s="57" t="str">
        <f t="shared" si="32"/>
        <v/>
      </c>
      <c r="O61" s="58"/>
      <c r="P61" s="43" t="str">
        <f t="shared" si="33"/>
        <v/>
      </c>
      <c r="Q61" s="59" t="str">
        <f t="shared" si="26"/>
        <v/>
      </c>
      <c r="R61" s="43"/>
      <c r="S61" s="60" t="str">
        <f t="shared" si="34"/>
        <v/>
      </c>
      <c r="T61" s="61" t="str">
        <f t="shared" si="35"/>
        <v/>
      </c>
      <c r="U61" s="46"/>
    </row>
    <row r="62" spans="1:21" x14ac:dyDescent="0.25">
      <c r="A62" s="47">
        <f t="shared" si="27"/>
        <v>37019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4.6500000000000004</v>
      </c>
      <c r="F62" s="51">
        <f t="shared" si="29"/>
        <v>4.6500000000000004</v>
      </c>
      <c r="G62" s="52">
        <f t="shared" si="30"/>
        <v>59.5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5">
      <c r="A63" s="47">
        <f t="shared" si="27"/>
        <v>37019</v>
      </c>
      <c r="B63" s="48">
        <v>23</v>
      </c>
      <c r="C63" s="49">
        <f>INDEX(RtMw,C68+22,0)</f>
        <v>13</v>
      </c>
      <c r="D63" s="50">
        <f>INDEX(RTPrice,C68+22,0)</f>
        <v>28.33</v>
      </c>
      <c r="E63" s="51">
        <f t="shared" si="28"/>
        <v>4.6500000000000004</v>
      </c>
      <c r="F63" s="51">
        <f t="shared" si="29"/>
        <v>4.6500000000000004</v>
      </c>
      <c r="G63" s="52">
        <f t="shared" si="30"/>
        <v>59.5</v>
      </c>
      <c r="H63" s="53">
        <f t="shared" si="20"/>
        <v>31.17</v>
      </c>
      <c r="I63" s="54">
        <f t="shared" si="21"/>
        <v>405.21000000000004</v>
      </c>
      <c r="J63" s="55">
        <f>IF(C63=0,"",1)</f>
        <v>1</v>
      </c>
      <c r="K63" s="43">
        <f>IF(C63=0,"",G63-(D63+1))</f>
        <v>30.17</v>
      </c>
      <c r="L63" s="43">
        <f>IF(C63=0,"",C63*J63)</f>
        <v>13</v>
      </c>
      <c r="M63" s="56">
        <f t="shared" si="31"/>
        <v>392.21000000000004</v>
      </c>
      <c r="N63" s="57">
        <f t="shared" si="32"/>
        <v>28.33</v>
      </c>
      <c r="O63" s="58">
        <f>IF(C63=0,"",D63+1)</f>
        <v>29.33</v>
      </c>
      <c r="P63" s="43">
        <f t="shared" si="33"/>
        <v>368.28999999999996</v>
      </c>
      <c r="Q63" s="59">
        <f t="shared" si="26"/>
        <v>381.28999999999996</v>
      </c>
      <c r="R63" s="43"/>
      <c r="S63" s="60">
        <f t="shared" si="34"/>
        <v>13</v>
      </c>
      <c r="T63" s="61">
        <f t="shared" si="35"/>
        <v>392.21000000000004</v>
      </c>
      <c r="U63" s="46"/>
    </row>
    <row r="64" spans="1:21" x14ac:dyDescent="0.25">
      <c r="A64" s="65">
        <f t="shared" si="27"/>
        <v>37019</v>
      </c>
      <c r="B64" s="66">
        <v>24</v>
      </c>
      <c r="C64" s="67">
        <f>INDEX(RtMw,C68+23,0)</f>
        <v>12</v>
      </c>
      <c r="D64" s="68">
        <f>INDEX(RTPrice,C68+23,0)</f>
        <v>21.43</v>
      </c>
      <c r="E64" s="69">
        <f t="shared" si="28"/>
        <v>4.6500000000000004</v>
      </c>
      <c r="F64" s="69">
        <f>VLOOKUP(A64,Gas,5,FALSE)</f>
        <v>4.6500000000000004</v>
      </c>
      <c r="G64" s="70">
        <f t="shared" si="30"/>
        <v>59.5</v>
      </c>
      <c r="H64" s="71">
        <f t="shared" si="20"/>
        <v>38.07</v>
      </c>
      <c r="I64" s="72">
        <f t="shared" si="21"/>
        <v>456.84000000000003</v>
      </c>
      <c r="J64" s="73">
        <f>IF(C64=0,"",1)</f>
        <v>1</v>
      </c>
      <c r="K64" s="74">
        <f>IF(C64=0,"",G64-(D64+1))</f>
        <v>37.07</v>
      </c>
      <c r="L64" s="74">
        <f>IF(C64=0,"",C64*J64)</f>
        <v>12</v>
      </c>
      <c r="M64" s="75">
        <f t="shared" si="31"/>
        <v>444.84000000000003</v>
      </c>
      <c r="N64" s="76">
        <f t="shared" si="32"/>
        <v>21.43</v>
      </c>
      <c r="O64" s="77">
        <f>IF(C64=0,"",D64+1)</f>
        <v>22.43</v>
      </c>
      <c r="P64" s="74">
        <f t="shared" si="33"/>
        <v>257.15999999999997</v>
      </c>
      <c r="Q64" s="78">
        <f t="shared" si="26"/>
        <v>269.15999999999997</v>
      </c>
      <c r="R64" s="43"/>
      <c r="S64" s="79">
        <f t="shared" si="34"/>
        <v>12</v>
      </c>
      <c r="T64" s="80">
        <f t="shared" si="35"/>
        <v>444.84000000000003</v>
      </c>
      <c r="U64" s="46"/>
    </row>
    <row r="66" spans="2:17" x14ac:dyDescent="0.25">
      <c r="Q66" s="82">
        <f>SUM(Q41:Q65)</f>
        <v>1312.4499999999998</v>
      </c>
    </row>
    <row r="68" spans="2:17" hidden="1" x14ac:dyDescent="0.25">
      <c r="B68" t="s">
        <v>33</v>
      </c>
      <c r="C68">
        <f>MATCH(C2,RTDate,0)</f>
        <v>169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6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22" sqref="D22"/>
    </sheetView>
  </sheetViews>
  <sheetFormatPr defaultColWidth="10" defaultRowHeight="13.2" x14ac:dyDescent="0.25"/>
  <cols>
    <col min="1" max="1" width="8.44140625" customWidth="1"/>
    <col min="2" max="2" width="10" customWidth="1"/>
    <col min="3" max="3" width="13.109375" customWidth="1"/>
    <col min="4" max="4" width="24" style="1" bestFit="1" customWidth="1"/>
    <col min="5" max="6" width="14.44140625" customWidth="1"/>
    <col min="7" max="7" width="14.44140625" bestFit="1" customWidth="1"/>
    <col min="8" max="8" width="29" bestFit="1" customWidth="1"/>
    <col min="9" max="9" width="26.5546875" bestFit="1" customWidth="1"/>
    <col min="10" max="10" width="17.109375" bestFit="1" customWidth="1"/>
    <col min="11" max="11" width="14.33203125" bestFit="1" customWidth="1"/>
    <col min="12" max="13" width="26.5546875" bestFit="1" customWidth="1"/>
    <col min="14" max="14" width="15.33203125" style="2" bestFit="1" customWidth="1"/>
    <col min="15" max="15" width="15.33203125" bestFit="1" customWidth="1"/>
    <col min="16" max="16" width="15.33203125" style="2" customWidth="1"/>
    <col min="17" max="17" width="17.5546875" customWidth="1"/>
    <col min="18" max="18" width="2.5546875" style="2" customWidth="1"/>
    <col min="19" max="19" width="12.44140625" customWidth="1"/>
    <col min="20" max="20" width="14.5546875" style="1" customWidth="1"/>
  </cols>
  <sheetData>
    <row r="1" spans="1:22" x14ac:dyDescent="0.25">
      <c r="A1" s="113" t="s">
        <v>0</v>
      </c>
      <c r="B1" s="113"/>
      <c r="C1" s="113"/>
    </row>
    <row r="2" spans="1:22" x14ac:dyDescent="0.25">
      <c r="A2" s="113" t="s">
        <v>1</v>
      </c>
      <c r="B2" s="113"/>
      <c r="C2" s="88">
        <v>37020</v>
      </c>
      <c r="D2" s="4"/>
    </row>
    <row r="3" spans="1:22" s="5" customFormat="1" x14ac:dyDescent="0.25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5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5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5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5">
      <c r="A7" s="29">
        <f>$C$2</f>
        <v>37020</v>
      </c>
      <c r="B7" s="30">
        <v>1</v>
      </c>
      <c r="C7" s="31">
        <f>INDEX(DaMw,C34,0)</f>
        <v>15</v>
      </c>
      <c r="D7" s="90">
        <f>INDEX(DaPrice,C34,0)</f>
        <v>16.5</v>
      </c>
      <c r="E7" s="33">
        <f>VLOOKUP(A7,Gas,4,FALSE)</f>
        <v>4.45</v>
      </c>
      <c r="F7" s="33">
        <f>VLOOKUP(A7,Gas,5,FALSE)</f>
        <v>4.45</v>
      </c>
      <c r="G7" s="34">
        <f>VLOOKUP(A7,Bogey,2,FALSE)</f>
        <v>62.42</v>
      </c>
      <c r="H7" s="35">
        <f t="shared" ref="H7:H30" si="0">IF(C7&gt;0,G7-D7,"")</f>
        <v>45.92</v>
      </c>
      <c r="I7" s="36">
        <f t="shared" ref="I7:I30" si="1">IF(C7&gt;0,H7*ABS(C7),"")</f>
        <v>688.80000000000007</v>
      </c>
      <c r="J7" s="37">
        <f t="shared" ref="J7:J12" si="2">IF(C7=0,"",1)</f>
        <v>1</v>
      </c>
      <c r="K7" s="38">
        <f t="shared" ref="K7:K12" si="3">IF(C7=0,"",G7-(D7+1))</f>
        <v>44.92</v>
      </c>
      <c r="L7" s="38">
        <f t="shared" ref="L7:L12" si="4">IF(C7=0,"",C7*J7)</f>
        <v>15</v>
      </c>
      <c r="M7" s="39">
        <f>IF(C7=0,"",C7*K7)</f>
        <v>673.80000000000007</v>
      </c>
      <c r="N7" s="40">
        <f>IF(C7=0,"",D7)</f>
        <v>16.5</v>
      </c>
      <c r="O7" s="41">
        <f t="shared" ref="O7:O12" si="5">IF(C7=0,"",D7+1)</f>
        <v>17.5</v>
      </c>
      <c r="P7" s="38">
        <f>IF(C7=0,"",N7*C7)</f>
        <v>247.5</v>
      </c>
      <c r="Q7" s="42">
        <f t="shared" ref="Q7:Q30" si="6">IF(C7=0,"",O7*C7)</f>
        <v>262.5</v>
      </c>
      <c r="R7" s="43"/>
      <c r="S7" s="44">
        <f>IF(C7=0,"",L7)</f>
        <v>15</v>
      </c>
      <c r="T7" s="45">
        <f>IF(C7=0,"",M7)</f>
        <v>673.80000000000007</v>
      </c>
      <c r="U7" s="46"/>
    </row>
    <row r="8" spans="1:22" x14ac:dyDescent="0.25">
      <c r="A8" s="47">
        <f t="shared" ref="A8:A30" si="7">$C$2</f>
        <v>37020</v>
      </c>
      <c r="B8" s="48">
        <v>2</v>
      </c>
      <c r="C8" s="49">
        <f>INDEX(DaMw,C34+1,0)</f>
        <v>15</v>
      </c>
      <c r="D8" s="91">
        <f>INDEX(DaPrice,C34+1,0)</f>
        <v>16.5</v>
      </c>
      <c r="E8" s="51">
        <f t="shared" ref="E8:E30" si="8">VLOOKUP(A8,Gas,4,FALSE)</f>
        <v>4.45</v>
      </c>
      <c r="F8" s="51">
        <f t="shared" ref="F8:F29" si="9">VLOOKUP(A8,Gas,5,FALSE)</f>
        <v>4.45</v>
      </c>
      <c r="G8" s="52">
        <f t="shared" ref="G8:G30" si="10">VLOOKUP(A8,Bogey,2,FALSE)</f>
        <v>62.42</v>
      </c>
      <c r="H8" s="53">
        <f t="shared" si="0"/>
        <v>45.92</v>
      </c>
      <c r="I8" s="54">
        <f t="shared" si="1"/>
        <v>688.80000000000007</v>
      </c>
      <c r="J8" s="55">
        <f t="shared" si="2"/>
        <v>1</v>
      </c>
      <c r="K8" s="43">
        <f t="shared" si="3"/>
        <v>44.92</v>
      </c>
      <c r="L8" s="43">
        <f t="shared" si="4"/>
        <v>15</v>
      </c>
      <c r="M8" s="56">
        <f t="shared" ref="M8:M30" si="11">IF(C8=0,"",C8*K8)</f>
        <v>673.80000000000007</v>
      </c>
      <c r="N8" s="57">
        <f t="shared" ref="N8:N30" si="12">IF(C8=0,"",D8)</f>
        <v>16.5</v>
      </c>
      <c r="O8" s="58">
        <f t="shared" si="5"/>
        <v>17.5</v>
      </c>
      <c r="P8" s="43">
        <f t="shared" ref="P8:P30" si="13">IF(C8=0,"",N8*C8)</f>
        <v>247.5</v>
      </c>
      <c r="Q8" s="59">
        <f t="shared" si="6"/>
        <v>262.5</v>
      </c>
      <c r="R8" s="43"/>
      <c r="S8" s="60">
        <f t="shared" ref="S8:S30" si="14">IF(C8=0,"",L8)</f>
        <v>15</v>
      </c>
      <c r="T8" s="61">
        <f t="shared" ref="T8:T30" si="15">IF(C8=0,"",M8)</f>
        <v>673.80000000000007</v>
      </c>
      <c r="U8" s="46"/>
    </row>
    <row r="9" spans="1:22" x14ac:dyDescent="0.25">
      <c r="A9" s="47">
        <f t="shared" si="7"/>
        <v>37020</v>
      </c>
      <c r="B9" s="48">
        <v>3</v>
      </c>
      <c r="C9" s="49">
        <f>INDEX(DaMw,C34+2,0)</f>
        <v>15</v>
      </c>
      <c r="D9" s="91">
        <f>INDEX(DaPrice,C34+2,0)</f>
        <v>16.5</v>
      </c>
      <c r="E9" s="51">
        <f t="shared" si="8"/>
        <v>4.45</v>
      </c>
      <c r="F9" s="51">
        <f t="shared" si="9"/>
        <v>4.45</v>
      </c>
      <c r="G9" s="52">
        <f t="shared" si="10"/>
        <v>62.42</v>
      </c>
      <c r="H9" s="53">
        <f t="shared" si="0"/>
        <v>45.92</v>
      </c>
      <c r="I9" s="54">
        <f t="shared" si="1"/>
        <v>688.80000000000007</v>
      </c>
      <c r="J9" s="55">
        <f t="shared" si="2"/>
        <v>1</v>
      </c>
      <c r="K9" s="43">
        <f t="shared" si="3"/>
        <v>44.92</v>
      </c>
      <c r="L9" s="43">
        <f t="shared" si="4"/>
        <v>15</v>
      </c>
      <c r="M9" s="56">
        <f t="shared" si="11"/>
        <v>673.80000000000007</v>
      </c>
      <c r="N9" s="57">
        <f t="shared" si="12"/>
        <v>16.5</v>
      </c>
      <c r="O9" s="58">
        <f t="shared" si="5"/>
        <v>17.5</v>
      </c>
      <c r="P9" s="43">
        <f t="shared" si="13"/>
        <v>247.5</v>
      </c>
      <c r="Q9" s="59">
        <f t="shared" si="6"/>
        <v>262.5</v>
      </c>
      <c r="R9" s="43"/>
      <c r="S9" s="60">
        <f t="shared" si="14"/>
        <v>15</v>
      </c>
      <c r="T9" s="61">
        <f t="shared" si="15"/>
        <v>673.80000000000007</v>
      </c>
      <c r="U9" s="46"/>
    </row>
    <row r="10" spans="1:22" x14ac:dyDescent="0.25">
      <c r="A10" s="47">
        <f t="shared" si="7"/>
        <v>37020</v>
      </c>
      <c r="B10" s="48">
        <v>4</v>
      </c>
      <c r="C10" s="49">
        <f>INDEX(DaMw,C34+3,0)</f>
        <v>15</v>
      </c>
      <c r="D10" s="91">
        <f>INDEX(DaPrice,C34+3,0)</f>
        <v>16.5</v>
      </c>
      <c r="E10" s="51">
        <f t="shared" si="8"/>
        <v>4.45</v>
      </c>
      <c r="F10" s="51">
        <f t="shared" si="9"/>
        <v>4.45</v>
      </c>
      <c r="G10" s="52">
        <f t="shared" si="10"/>
        <v>62.42</v>
      </c>
      <c r="H10" s="53">
        <f t="shared" si="0"/>
        <v>45.92</v>
      </c>
      <c r="I10" s="54">
        <f t="shared" si="1"/>
        <v>688.80000000000007</v>
      </c>
      <c r="J10" s="55">
        <f t="shared" si="2"/>
        <v>1</v>
      </c>
      <c r="K10" s="43">
        <f t="shared" si="3"/>
        <v>44.92</v>
      </c>
      <c r="L10" s="43">
        <f t="shared" si="4"/>
        <v>15</v>
      </c>
      <c r="M10" s="56">
        <f t="shared" si="11"/>
        <v>673.80000000000007</v>
      </c>
      <c r="N10" s="57">
        <f t="shared" si="12"/>
        <v>16.5</v>
      </c>
      <c r="O10" s="58">
        <f t="shared" si="5"/>
        <v>17.5</v>
      </c>
      <c r="P10" s="43">
        <f t="shared" si="13"/>
        <v>247.5</v>
      </c>
      <c r="Q10" s="59">
        <f t="shared" si="6"/>
        <v>262.5</v>
      </c>
      <c r="R10" s="43"/>
      <c r="S10" s="60">
        <f t="shared" si="14"/>
        <v>15</v>
      </c>
      <c r="T10" s="61">
        <f t="shared" si="15"/>
        <v>673.80000000000007</v>
      </c>
      <c r="U10" s="46"/>
    </row>
    <row r="11" spans="1:22" x14ac:dyDescent="0.25">
      <c r="A11" s="47">
        <f t="shared" si="7"/>
        <v>37020</v>
      </c>
      <c r="B11" s="48">
        <v>5</v>
      </c>
      <c r="C11" s="49">
        <f>INDEX(DaMw,C34+4,0)</f>
        <v>15</v>
      </c>
      <c r="D11" s="91">
        <f>INDEX(DaPrice,C34+4,0)</f>
        <v>16.5</v>
      </c>
      <c r="E11" s="51">
        <f t="shared" si="8"/>
        <v>4.45</v>
      </c>
      <c r="F11" s="51">
        <f t="shared" si="9"/>
        <v>4.45</v>
      </c>
      <c r="G11" s="52">
        <f t="shared" si="10"/>
        <v>62.42</v>
      </c>
      <c r="H11" s="53">
        <f t="shared" si="0"/>
        <v>45.92</v>
      </c>
      <c r="I11" s="54">
        <f t="shared" si="1"/>
        <v>688.80000000000007</v>
      </c>
      <c r="J11" s="55">
        <f t="shared" si="2"/>
        <v>1</v>
      </c>
      <c r="K11" s="43">
        <f t="shared" si="3"/>
        <v>44.92</v>
      </c>
      <c r="L11" s="43">
        <f t="shared" si="4"/>
        <v>15</v>
      </c>
      <c r="M11" s="56">
        <f t="shared" si="11"/>
        <v>673.80000000000007</v>
      </c>
      <c r="N11" s="57">
        <f t="shared" si="12"/>
        <v>16.5</v>
      </c>
      <c r="O11" s="58">
        <f t="shared" si="5"/>
        <v>17.5</v>
      </c>
      <c r="P11" s="43">
        <f t="shared" si="13"/>
        <v>247.5</v>
      </c>
      <c r="Q11" s="59">
        <f t="shared" si="6"/>
        <v>262.5</v>
      </c>
      <c r="R11" s="43"/>
      <c r="S11" s="60">
        <f t="shared" si="14"/>
        <v>15</v>
      </c>
      <c r="T11" s="61">
        <f t="shared" si="15"/>
        <v>673.80000000000007</v>
      </c>
      <c r="U11" s="46"/>
    </row>
    <row r="12" spans="1:22" x14ac:dyDescent="0.25">
      <c r="A12" s="47">
        <f t="shared" si="7"/>
        <v>37020</v>
      </c>
      <c r="B12" s="48">
        <v>6</v>
      </c>
      <c r="C12" s="49">
        <f>INDEX(DaMw,C34+5,0)</f>
        <v>15</v>
      </c>
      <c r="D12" s="91">
        <f>INDEX(DaPrice,C34+5,0)</f>
        <v>16.5</v>
      </c>
      <c r="E12" s="51">
        <f t="shared" si="8"/>
        <v>4.45</v>
      </c>
      <c r="F12" s="51">
        <f t="shared" si="9"/>
        <v>4.45</v>
      </c>
      <c r="G12" s="52">
        <f t="shared" si="10"/>
        <v>62.42</v>
      </c>
      <c r="H12" s="53">
        <f t="shared" si="0"/>
        <v>45.92</v>
      </c>
      <c r="I12" s="54">
        <f t="shared" si="1"/>
        <v>688.80000000000007</v>
      </c>
      <c r="J12" s="55">
        <f t="shared" si="2"/>
        <v>1</v>
      </c>
      <c r="K12" s="43">
        <f t="shared" si="3"/>
        <v>44.92</v>
      </c>
      <c r="L12" s="43">
        <f t="shared" si="4"/>
        <v>15</v>
      </c>
      <c r="M12" s="56">
        <f t="shared" si="11"/>
        <v>673.80000000000007</v>
      </c>
      <c r="N12" s="57">
        <f t="shared" si="12"/>
        <v>16.5</v>
      </c>
      <c r="O12" s="58">
        <f t="shared" si="5"/>
        <v>17.5</v>
      </c>
      <c r="P12" s="43">
        <f t="shared" si="13"/>
        <v>247.5</v>
      </c>
      <c r="Q12" s="59">
        <f t="shared" si="6"/>
        <v>262.5</v>
      </c>
      <c r="R12" s="43"/>
      <c r="S12" s="60">
        <f t="shared" si="14"/>
        <v>15</v>
      </c>
      <c r="T12" s="61">
        <f t="shared" si="15"/>
        <v>673.80000000000007</v>
      </c>
      <c r="U12" s="46"/>
    </row>
    <row r="13" spans="1:22" x14ac:dyDescent="0.25">
      <c r="A13" s="47">
        <f t="shared" si="7"/>
        <v>37020</v>
      </c>
      <c r="B13" s="48">
        <v>7</v>
      </c>
      <c r="C13" s="49">
        <f>INDEX(DaMw,C34+6,0)</f>
        <v>20</v>
      </c>
      <c r="D13" s="91">
        <f>INDEX(DaPrice,C34+6,0)</f>
        <v>40</v>
      </c>
      <c r="E13" s="51">
        <f t="shared" si="8"/>
        <v>4.45</v>
      </c>
      <c r="F13" s="51">
        <f t="shared" si="9"/>
        <v>4.45</v>
      </c>
      <c r="G13" s="52">
        <f t="shared" si="10"/>
        <v>62.42</v>
      </c>
      <c r="H13" s="53">
        <f t="shared" si="0"/>
        <v>22.42</v>
      </c>
      <c r="I13" s="54">
        <f t="shared" si="1"/>
        <v>448.40000000000003</v>
      </c>
      <c r="J13" s="62">
        <f>IF($C13=0,"",$H13*0.4)</f>
        <v>8.9680000000000017</v>
      </c>
      <c r="K13" s="63">
        <f t="shared" ref="K13:K28" si="16">IF($C13=0,"",$H13*0.6)</f>
        <v>13.452</v>
      </c>
      <c r="L13" s="64">
        <f>IF(C13=0,"",J13*$C13)</f>
        <v>179.36000000000004</v>
      </c>
      <c r="M13" s="56">
        <f t="shared" si="11"/>
        <v>269.04000000000002</v>
      </c>
      <c r="N13" s="57">
        <f t="shared" si="12"/>
        <v>40</v>
      </c>
      <c r="O13" s="58">
        <f>IF(C13=0,"",D13+J13)</f>
        <v>48.968000000000004</v>
      </c>
      <c r="P13" s="43">
        <f t="shared" si="13"/>
        <v>800</v>
      </c>
      <c r="Q13" s="59">
        <f t="shared" si="6"/>
        <v>979.36000000000013</v>
      </c>
      <c r="R13" s="43"/>
      <c r="S13" s="60">
        <f t="shared" si="14"/>
        <v>179.36000000000004</v>
      </c>
      <c r="T13" s="61">
        <f t="shared" si="15"/>
        <v>269.04000000000002</v>
      </c>
      <c r="U13" s="46"/>
    </row>
    <row r="14" spans="1:22" x14ac:dyDescent="0.25">
      <c r="A14" s="47">
        <f t="shared" si="7"/>
        <v>37020</v>
      </c>
      <c r="B14" s="48">
        <v>8</v>
      </c>
      <c r="C14" s="49">
        <f>INDEX(DaMw,C34+7,0)</f>
        <v>25</v>
      </c>
      <c r="D14" s="91">
        <f>INDEX(DaPrice,C34+7,0)</f>
        <v>40</v>
      </c>
      <c r="E14" s="51">
        <f t="shared" si="8"/>
        <v>4.45</v>
      </c>
      <c r="F14" s="51">
        <f t="shared" si="9"/>
        <v>4.45</v>
      </c>
      <c r="G14" s="52">
        <f t="shared" si="10"/>
        <v>62.42</v>
      </c>
      <c r="H14" s="53">
        <f t="shared" si="0"/>
        <v>22.42</v>
      </c>
      <c r="I14" s="54">
        <f t="shared" si="1"/>
        <v>560.5</v>
      </c>
      <c r="J14" s="62">
        <f t="shared" ref="J14:J28" si="17">IF($C14=0,"",$H14*0.4)</f>
        <v>8.9680000000000017</v>
      </c>
      <c r="K14" s="63">
        <f t="shared" si="16"/>
        <v>13.452</v>
      </c>
      <c r="L14" s="64">
        <f t="shared" ref="L14:L28" si="18">IF(C14=0,"",J14*$C14)</f>
        <v>224.20000000000005</v>
      </c>
      <c r="M14" s="56">
        <f t="shared" si="11"/>
        <v>336.3</v>
      </c>
      <c r="N14" s="57">
        <f t="shared" si="12"/>
        <v>40</v>
      </c>
      <c r="O14" s="58">
        <f t="shared" ref="O14:O28" si="19">IF(C14=0,"",D14+J14)</f>
        <v>48.968000000000004</v>
      </c>
      <c r="P14" s="43">
        <f t="shared" si="13"/>
        <v>1000</v>
      </c>
      <c r="Q14" s="59">
        <f t="shared" si="6"/>
        <v>1224.2</v>
      </c>
      <c r="R14" s="43"/>
      <c r="S14" s="60">
        <f t="shared" si="14"/>
        <v>224.20000000000005</v>
      </c>
      <c r="T14" s="61">
        <f t="shared" si="15"/>
        <v>336.3</v>
      </c>
      <c r="U14" s="46"/>
    </row>
    <row r="15" spans="1:22" x14ac:dyDescent="0.25">
      <c r="A15" s="47">
        <f t="shared" si="7"/>
        <v>37020</v>
      </c>
      <c r="B15" s="48">
        <v>9</v>
      </c>
      <c r="C15" s="49">
        <f>INDEX(DaMw,C34+8,0)</f>
        <v>30</v>
      </c>
      <c r="D15" s="91">
        <f>INDEX(DaPrice,C34+8,0)</f>
        <v>40</v>
      </c>
      <c r="E15" s="51">
        <f t="shared" si="8"/>
        <v>4.45</v>
      </c>
      <c r="F15" s="51">
        <f t="shared" si="9"/>
        <v>4.45</v>
      </c>
      <c r="G15" s="52">
        <f t="shared" si="10"/>
        <v>62.42</v>
      </c>
      <c r="H15" s="53">
        <f t="shared" si="0"/>
        <v>22.42</v>
      </c>
      <c r="I15" s="54">
        <f t="shared" si="1"/>
        <v>672.6</v>
      </c>
      <c r="J15" s="62">
        <f t="shared" si="17"/>
        <v>8.9680000000000017</v>
      </c>
      <c r="K15" s="63">
        <f t="shared" si="16"/>
        <v>13.452</v>
      </c>
      <c r="L15" s="64">
        <f t="shared" si="18"/>
        <v>269.04000000000008</v>
      </c>
      <c r="M15" s="56">
        <f t="shared" si="11"/>
        <v>403.56</v>
      </c>
      <c r="N15" s="57">
        <f t="shared" si="12"/>
        <v>40</v>
      </c>
      <c r="O15" s="58">
        <f t="shared" si="19"/>
        <v>48.968000000000004</v>
      </c>
      <c r="P15" s="43">
        <f t="shared" si="13"/>
        <v>1200</v>
      </c>
      <c r="Q15" s="59">
        <f t="shared" si="6"/>
        <v>1469.0400000000002</v>
      </c>
      <c r="R15" s="43"/>
      <c r="S15" s="60">
        <f t="shared" si="14"/>
        <v>269.04000000000008</v>
      </c>
      <c r="T15" s="61">
        <f t="shared" si="15"/>
        <v>403.56</v>
      </c>
      <c r="U15" s="46"/>
    </row>
    <row r="16" spans="1:22" x14ac:dyDescent="0.25">
      <c r="A16" s="47">
        <f t="shared" si="7"/>
        <v>37020</v>
      </c>
      <c r="B16" s="48">
        <v>10</v>
      </c>
      <c r="C16" s="49">
        <f>INDEX(DaMw,C34+9,0)</f>
        <v>30</v>
      </c>
      <c r="D16" s="91">
        <f>INDEX(DaPrice,C34+9,0)</f>
        <v>40</v>
      </c>
      <c r="E16" s="51">
        <f t="shared" si="8"/>
        <v>4.45</v>
      </c>
      <c r="F16" s="51">
        <f t="shared" si="9"/>
        <v>4.45</v>
      </c>
      <c r="G16" s="52">
        <f t="shared" si="10"/>
        <v>62.42</v>
      </c>
      <c r="H16" s="53">
        <f t="shared" si="0"/>
        <v>22.42</v>
      </c>
      <c r="I16" s="54">
        <f t="shared" si="1"/>
        <v>672.6</v>
      </c>
      <c r="J16" s="62">
        <f t="shared" si="17"/>
        <v>8.9680000000000017</v>
      </c>
      <c r="K16" s="63">
        <f t="shared" si="16"/>
        <v>13.452</v>
      </c>
      <c r="L16" s="64">
        <f t="shared" si="18"/>
        <v>269.04000000000008</v>
      </c>
      <c r="M16" s="56">
        <f t="shared" si="11"/>
        <v>403.56</v>
      </c>
      <c r="N16" s="57">
        <f t="shared" si="12"/>
        <v>40</v>
      </c>
      <c r="O16" s="58">
        <f t="shared" si="19"/>
        <v>48.968000000000004</v>
      </c>
      <c r="P16" s="43">
        <f t="shared" si="13"/>
        <v>1200</v>
      </c>
      <c r="Q16" s="59">
        <f t="shared" si="6"/>
        <v>1469.0400000000002</v>
      </c>
      <c r="R16" s="43"/>
      <c r="S16" s="60">
        <f t="shared" si="14"/>
        <v>269.04000000000008</v>
      </c>
      <c r="T16" s="61">
        <f t="shared" si="15"/>
        <v>403.56</v>
      </c>
      <c r="U16" s="46"/>
    </row>
    <row r="17" spans="1:21" x14ac:dyDescent="0.25">
      <c r="A17" s="47">
        <f t="shared" si="7"/>
        <v>37020</v>
      </c>
      <c r="B17" s="48">
        <v>11</v>
      </c>
      <c r="C17" s="49">
        <f>INDEX(DaMw,C34+10,0)</f>
        <v>30</v>
      </c>
      <c r="D17" s="91">
        <f>INDEX(DaPrice,C34+10,0)</f>
        <v>40</v>
      </c>
      <c r="E17" s="51">
        <f t="shared" si="8"/>
        <v>4.45</v>
      </c>
      <c r="F17" s="51">
        <f t="shared" si="9"/>
        <v>4.45</v>
      </c>
      <c r="G17" s="52">
        <f t="shared" si="10"/>
        <v>62.42</v>
      </c>
      <c r="H17" s="53">
        <f t="shared" si="0"/>
        <v>22.42</v>
      </c>
      <c r="I17" s="54">
        <f t="shared" si="1"/>
        <v>672.6</v>
      </c>
      <c r="J17" s="62">
        <f t="shared" si="17"/>
        <v>8.9680000000000017</v>
      </c>
      <c r="K17" s="63">
        <f t="shared" si="16"/>
        <v>13.452</v>
      </c>
      <c r="L17" s="64">
        <f t="shared" si="18"/>
        <v>269.04000000000008</v>
      </c>
      <c r="M17" s="56">
        <f t="shared" si="11"/>
        <v>403.56</v>
      </c>
      <c r="N17" s="57">
        <f t="shared" si="12"/>
        <v>40</v>
      </c>
      <c r="O17" s="58">
        <f t="shared" si="19"/>
        <v>48.968000000000004</v>
      </c>
      <c r="P17" s="43">
        <f t="shared" si="13"/>
        <v>1200</v>
      </c>
      <c r="Q17" s="59">
        <f t="shared" si="6"/>
        <v>1469.0400000000002</v>
      </c>
      <c r="R17" s="43"/>
      <c r="S17" s="60">
        <f t="shared" si="14"/>
        <v>269.04000000000008</v>
      </c>
      <c r="T17" s="61">
        <f t="shared" si="15"/>
        <v>403.56</v>
      </c>
      <c r="U17" s="46"/>
    </row>
    <row r="18" spans="1:21" x14ac:dyDescent="0.25">
      <c r="A18" s="47">
        <f t="shared" si="7"/>
        <v>37020</v>
      </c>
      <c r="B18" s="48">
        <v>12</v>
      </c>
      <c r="C18" s="49">
        <f>INDEX(DaMw,C34+11,0)</f>
        <v>30</v>
      </c>
      <c r="D18" s="91">
        <f>INDEX(DaPrice,C34+11,0)</f>
        <v>40</v>
      </c>
      <c r="E18" s="51">
        <f t="shared" si="8"/>
        <v>4.45</v>
      </c>
      <c r="F18" s="51">
        <f t="shared" si="9"/>
        <v>4.45</v>
      </c>
      <c r="G18" s="52">
        <f t="shared" si="10"/>
        <v>62.42</v>
      </c>
      <c r="H18" s="53">
        <f t="shared" si="0"/>
        <v>22.42</v>
      </c>
      <c r="I18" s="54">
        <f t="shared" si="1"/>
        <v>672.6</v>
      </c>
      <c r="J18" s="62">
        <f t="shared" si="17"/>
        <v>8.9680000000000017</v>
      </c>
      <c r="K18" s="63">
        <f t="shared" si="16"/>
        <v>13.452</v>
      </c>
      <c r="L18" s="64">
        <f t="shared" si="18"/>
        <v>269.04000000000008</v>
      </c>
      <c r="M18" s="56">
        <f t="shared" si="11"/>
        <v>403.56</v>
      </c>
      <c r="N18" s="57">
        <f t="shared" si="12"/>
        <v>40</v>
      </c>
      <c r="O18" s="58">
        <f t="shared" si="19"/>
        <v>48.968000000000004</v>
      </c>
      <c r="P18" s="43">
        <f t="shared" si="13"/>
        <v>1200</v>
      </c>
      <c r="Q18" s="59">
        <f t="shared" si="6"/>
        <v>1469.0400000000002</v>
      </c>
      <c r="R18" s="43"/>
      <c r="S18" s="60">
        <f t="shared" si="14"/>
        <v>269.04000000000008</v>
      </c>
      <c r="T18" s="61">
        <f t="shared" si="15"/>
        <v>403.56</v>
      </c>
      <c r="U18" s="46"/>
    </row>
    <row r="19" spans="1:21" x14ac:dyDescent="0.25">
      <c r="A19" s="47">
        <f t="shared" si="7"/>
        <v>37020</v>
      </c>
      <c r="B19" s="48">
        <v>13</v>
      </c>
      <c r="C19" s="49">
        <f>INDEX(DaMw,C34+12,0)</f>
        <v>30</v>
      </c>
      <c r="D19" s="91">
        <f>INDEX(DaPrice,C34+12,0)</f>
        <v>40</v>
      </c>
      <c r="E19" s="51">
        <f t="shared" si="8"/>
        <v>4.45</v>
      </c>
      <c r="F19" s="51">
        <f t="shared" si="9"/>
        <v>4.45</v>
      </c>
      <c r="G19" s="52">
        <f t="shared" si="10"/>
        <v>62.42</v>
      </c>
      <c r="H19" s="53">
        <f t="shared" si="0"/>
        <v>22.42</v>
      </c>
      <c r="I19" s="54">
        <f t="shared" si="1"/>
        <v>672.6</v>
      </c>
      <c r="J19" s="62">
        <f t="shared" si="17"/>
        <v>8.9680000000000017</v>
      </c>
      <c r="K19" s="63">
        <f t="shared" si="16"/>
        <v>13.452</v>
      </c>
      <c r="L19" s="64">
        <f t="shared" si="18"/>
        <v>269.04000000000008</v>
      </c>
      <c r="M19" s="56">
        <f t="shared" si="11"/>
        <v>403.56</v>
      </c>
      <c r="N19" s="57">
        <f t="shared" si="12"/>
        <v>40</v>
      </c>
      <c r="O19" s="58">
        <f t="shared" si="19"/>
        <v>48.968000000000004</v>
      </c>
      <c r="P19" s="43">
        <f t="shared" si="13"/>
        <v>1200</v>
      </c>
      <c r="Q19" s="59">
        <f t="shared" si="6"/>
        <v>1469.0400000000002</v>
      </c>
      <c r="R19" s="43"/>
      <c r="S19" s="60">
        <f t="shared" si="14"/>
        <v>269.04000000000008</v>
      </c>
      <c r="T19" s="61">
        <f t="shared" si="15"/>
        <v>403.56</v>
      </c>
      <c r="U19" s="46"/>
    </row>
    <row r="20" spans="1:21" x14ac:dyDescent="0.25">
      <c r="A20" s="47">
        <f t="shared" si="7"/>
        <v>37020</v>
      </c>
      <c r="B20" s="48">
        <v>14</v>
      </c>
      <c r="C20" s="49">
        <f>INDEX(DaMw,C34+13,0)</f>
        <v>30</v>
      </c>
      <c r="D20" s="91">
        <f>INDEX(DaPrice,C34+13,0)</f>
        <v>40</v>
      </c>
      <c r="E20" s="51">
        <f t="shared" si="8"/>
        <v>4.45</v>
      </c>
      <c r="F20" s="51">
        <f t="shared" si="9"/>
        <v>4.45</v>
      </c>
      <c r="G20" s="52">
        <f t="shared" si="10"/>
        <v>62.42</v>
      </c>
      <c r="H20" s="53">
        <f t="shared" si="0"/>
        <v>22.42</v>
      </c>
      <c r="I20" s="54">
        <f t="shared" si="1"/>
        <v>672.6</v>
      </c>
      <c r="J20" s="62">
        <f t="shared" si="17"/>
        <v>8.9680000000000017</v>
      </c>
      <c r="K20" s="63">
        <f t="shared" si="16"/>
        <v>13.452</v>
      </c>
      <c r="L20" s="64">
        <f t="shared" si="18"/>
        <v>269.04000000000008</v>
      </c>
      <c r="M20" s="56">
        <f t="shared" si="11"/>
        <v>403.56</v>
      </c>
      <c r="N20" s="57">
        <f t="shared" si="12"/>
        <v>40</v>
      </c>
      <c r="O20" s="58">
        <f t="shared" si="19"/>
        <v>48.968000000000004</v>
      </c>
      <c r="P20" s="43">
        <f t="shared" si="13"/>
        <v>1200</v>
      </c>
      <c r="Q20" s="59">
        <f t="shared" si="6"/>
        <v>1469.0400000000002</v>
      </c>
      <c r="R20" s="43"/>
      <c r="S20" s="60">
        <f t="shared" si="14"/>
        <v>269.04000000000008</v>
      </c>
      <c r="T20" s="61">
        <f t="shared" si="15"/>
        <v>403.56</v>
      </c>
      <c r="U20" s="46"/>
    </row>
    <row r="21" spans="1:21" x14ac:dyDescent="0.25">
      <c r="A21" s="47">
        <f t="shared" si="7"/>
        <v>37020</v>
      </c>
      <c r="B21" s="48">
        <v>15</v>
      </c>
      <c r="C21" s="49">
        <f>INDEX(DaMw,C34+14,0)</f>
        <v>30</v>
      </c>
      <c r="D21" s="91">
        <f>INDEX(DaPrice,C34+14,0)</f>
        <v>40</v>
      </c>
      <c r="E21" s="51">
        <f t="shared" si="8"/>
        <v>4.45</v>
      </c>
      <c r="F21" s="51">
        <f t="shared" si="9"/>
        <v>4.45</v>
      </c>
      <c r="G21" s="52">
        <f t="shared" si="10"/>
        <v>62.42</v>
      </c>
      <c r="H21" s="53">
        <f t="shared" si="0"/>
        <v>22.42</v>
      </c>
      <c r="I21" s="54">
        <f t="shared" si="1"/>
        <v>672.6</v>
      </c>
      <c r="J21" s="62">
        <f t="shared" si="17"/>
        <v>8.9680000000000017</v>
      </c>
      <c r="K21" s="63">
        <f t="shared" si="16"/>
        <v>13.452</v>
      </c>
      <c r="L21" s="64">
        <f t="shared" si="18"/>
        <v>269.04000000000008</v>
      </c>
      <c r="M21" s="56">
        <f t="shared" si="11"/>
        <v>403.56</v>
      </c>
      <c r="N21" s="57">
        <f t="shared" si="12"/>
        <v>40</v>
      </c>
      <c r="O21" s="58">
        <f t="shared" si="19"/>
        <v>48.968000000000004</v>
      </c>
      <c r="P21" s="43">
        <f t="shared" si="13"/>
        <v>1200</v>
      </c>
      <c r="Q21" s="59">
        <f t="shared" si="6"/>
        <v>1469.0400000000002</v>
      </c>
      <c r="R21" s="43"/>
      <c r="S21" s="60">
        <f t="shared" si="14"/>
        <v>269.04000000000008</v>
      </c>
      <c r="T21" s="61">
        <f t="shared" si="15"/>
        <v>403.56</v>
      </c>
      <c r="U21" s="46"/>
    </row>
    <row r="22" spans="1:21" x14ac:dyDescent="0.25">
      <c r="A22" s="47">
        <f t="shared" si="7"/>
        <v>37020</v>
      </c>
      <c r="B22" s="48">
        <v>16</v>
      </c>
      <c r="C22" s="49">
        <f>INDEX(DaMw,C34+15,0)</f>
        <v>30</v>
      </c>
      <c r="D22" s="91">
        <f>INDEX(DaPrice,C34+15,0)</f>
        <v>40</v>
      </c>
      <c r="E22" s="51">
        <f t="shared" si="8"/>
        <v>4.45</v>
      </c>
      <c r="F22" s="51">
        <f t="shared" si="9"/>
        <v>4.45</v>
      </c>
      <c r="G22" s="52">
        <f t="shared" si="10"/>
        <v>62.42</v>
      </c>
      <c r="H22" s="53">
        <f t="shared" si="0"/>
        <v>22.42</v>
      </c>
      <c r="I22" s="54">
        <f t="shared" si="1"/>
        <v>672.6</v>
      </c>
      <c r="J22" s="62">
        <f t="shared" si="17"/>
        <v>8.9680000000000017</v>
      </c>
      <c r="K22" s="63">
        <f t="shared" si="16"/>
        <v>13.452</v>
      </c>
      <c r="L22" s="64">
        <f t="shared" si="18"/>
        <v>269.04000000000008</v>
      </c>
      <c r="M22" s="56">
        <f t="shared" si="11"/>
        <v>403.56</v>
      </c>
      <c r="N22" s="57">
        <f t="shared" si="12"/>
        <v>40</v>
      </c>
      <c r="O22" s="58">
        <f t="shared" si="19"/>
        <v>48.968000000000004</v>
      </c>
      <c r="P22" s="43">
        <f t="shared" si="13"/>
        <v>1200</v>
      </c>
      <c r="Q22" s="59">
        <f t="shared" si="6"/>
        <v>1469.0400000000002</v>
      </c>
      <c r="R22" s="43"/>
      <c r="S22" s="60">
        <f t="shared" si="14"/>
        <v>269.04000000000008</v>
      </c>
      <c r="T22" s="61">
        <f t="shared" si="15"/>
        <v>403.56</v>
      </c>
      <c r="U22" s="46"/>
    </row>
    <row r="23" spans="1:21" x14ac:dyDescent="0.25">
      <c r="A23" s="47">
        <f t="shared" si="7"/>
        <v>37020</v>
      </c>
      <c r="B23" s="48">
        <v>17</v>
      </c>
      <c r="C23" s="49">
        <f>INDEX(DaMw,C34+16,0)</f>
        <v>30</v>
      </c>
      <c r="D23" s="91">
        <f>INDEX(DaPrice,C34+16,0)</f>
        <v>40</v>
      </c>
      <c r="E23" s="51">
        <f t="shared" si="8"/>
        <v>4.45</v>
      </c>
      <c r="F23" s="51">
        <f t="shared" si="9"/>
        <v>4.45</v>
      </c>
      <c r="G23" s="52">
        <f t="shared" si="10"/>
        <v>62.42</v>
      </c>
      <c r="H23" s="53">
        <f t="shared" si="0"/>
        <v>22.42</v>
      </c>
      <c r="I23" s="54">
        <f t="shared" si="1"/>
        <v>672.6</v>
      </c>
      <c r="J23" s="62">
        <f t="shared" si="17"/>
        <v>8.9680000000000017</v>
      </c>
      <c r="K23" s="63">
        <f t="shared" si="16"/>
        <v>13.452</v>
      </c>
      <c r="L23" s="64">
        <f t="shared" si="18"/>
        <v>269.04000000000008</v>
      </c>
      <c r="M23" s="56">
        <f t="shared" si="11"/>
        <v>403.56</v>
      </c>
      <c r="N23" s="57">
        <f t="shared" si="12"/>
        <v>40</v>
      </c>
      <c r="O23" s="58">
        <f t="shared" si="19"/>
        <v>48.968000000000004</v>
      </c>
      <c r="P23" s="43">
        <f t="shared" si="13"/>
        <v>1200</v>
      </c>
      <c r="Q23" s="59">
        <f t="shared" si="6"/>
        <v>1469.0400000000002</v>
      </c>
      <c r="R23" s="43"/>
      <c r="S23" s="60">
        <f t="shared" si="14"/>
        <v>269.04000000000008</v>
      </c>
      <c r="T23" s="61">
        <f t="shared" si="15"/>
        <v>403.56</v>
      </c>
      <c r="U23" s="46"/>
    </row>
    <row r="24" spans="1:21" x14ac:dyDescent="0.25">
      <c r="A24" s="47">
        <f t="shared" si="7"/>
        <v>37020</v>
      </c>
      <c r="B24" s="48">
        <v>18</v>
      </c>
      <c r="C24" s="49">
        <f>INDEX(DaMw,C34+17,0)</f>
        <v>30</v>
      </c>
      <c r="D24" s="91">
        <f>INDEX(DaPrice,C34+17,0)</f>
        <v>40</v>
      </c>
      <c r="E24" s="51">
        <f t="shared" si="8"/>
        <v>4.45</v>
      </c>
      <c r="F24" s="51">
        <f t="shared" si="9"/>
        <v>4.45</v>
      </c>
      <c r="G24" s="52">
        <f t="shared" si="10"/>
        <v>62.42</v>
      </c>
      <c r="H24" s="53">
        <f t="shared" si="0"/>
        <v>22.42</v>
      </c>
      <c r="I24" s="54">
        <f t="shared" si="1"/>
        <v>672.6</v>
      </c>
      <c r="J24" s="62">
        <f t="shared" si="17"/>
        <v>8.9680000000000017</v>
      </c>
      <c r="K24" s="63">
        <f t="shared" si="16"/>
        <v>13.452</v>
      </c>
      <c r="L24" s="64">
        <f t="shared" si="18"/>
        <v>269.04000000000008</v>
      </c>
      <c r="M24" s="56">
        <f t="shared" si="11"/>
        <v>403.56</v>
      </c>
      <c r="N24" s="57">
        <f t="shared" si="12"/>
        <v>40</v>
      </c>
      <c r="O24" s="58">
        <f t="shared" si="19"/>
        <v>48.968000000000004</v>
      </c>
      <c r="P24" s="43">
        <f t="shared" si="13"/>
        <v>1200</v>
      </c>
      <c r="Q24" s="59">
        <f t="shared" si="6"/>
        <v>1469.0400000000002</v>
      </c>
      <c r="R24" s="43"/>
      <c r="S24" s="60">
        <f t="shared" si="14"/>
        <v>269.04000000000008</v>
      </c>
      <c r="T24" s="61">
        <f t="shared" si="15"/>
        <v>403.56</v>
      </c>
      <c r="U24" s="46"/>
    </row>
    <row r="25" spans="1:21" x14ac:dyDescent="0.25">
      <c r="A25" s="47">
        <f t="shared" si="7"/>
        <v>37020</v>
      </c>
      <c r="B25" s="48">
        <v>19</v>
      </c>
      <c r="C25" s="49">
        <f>INDEX(DaMw,C34+18,0)</f>
        <v>30</v>
      </c>
      <c r="D25" s="91">
        <f>INDEX(DaPrice,C34+18,0)</f>
        <v>40</v>
      </c>
      <c r="E25" s="51">
        <f t="shared" si="8"/>
        <v>4.45</v>
      </c>
      <c r="F25" s="51">
        <f t="shared" si="9"/>
        <v>4.45</v>
      </c>
      <c r="G25" s="52">
        <f t="shared" si="10"/>
        <v>62.42</v>
      </c>
      <c r="H25" s="53">
        <f t="shared" si="0"/>
        <v>22.42</v>
      </c>
      <c r="I25" s="54">
        <f t="shared" si="1"/>
        <v>672.6</v>
      </c>
      <c r="J25" s="62">
        <f t="shared" si="17"/>
        <v>8.9680000000000017</v>
      </c>
      <c r="K25" s="63">
        <f t="shared" si="16"/>
        <v>13.452</v>
      </c>
      <c r="L25" s="64">
        <f t="shared" si="18"/>
        <v>269.04000000000008</v>
      </c>
      <c r="M25" s="56">
        <f t="shared" si="11"/>
        <v>403.56</v>
      </c>
      <c r="N25" s="57">
        <f t="shared" si="12"/>
        <v>40</v>
      </c>
      <c r="O25" s="58">
        <f t="shared" si="19"/>
        <v>48.968000000000004</v>
      </c>
      <c r="P25" s="43">
        <f t="shared" si="13"/>
        <v>1200</v>
      </c>
      <c r="Q25" s="59">
        <f t="shared" si="6"/>
        <v>1469.0400000000002</v>
      </c>
      <c r="R25" s="43"/>
      <c r="S25" s="60">
        <f t="shared" si="14"/>
        <v>269.04000000000008</v>
      </c>
      <c r="T25" s="61">
        <f t="shared" si="15"/>
        <v>403.56</v>
      </c>
      <c r="U25" s="46"/>
    </row>
    <row r="26" spans="1:21" x14ac:dyDescent="0.25">
      <c r="A26" s="47">
        <f t="shared" si="7"/>
        <v>37020</v>
      </c>
      <c r="B26" s="48">
        <v>20</v>
      </c>
      <c r="C26" s="49">
        <f>INDEX(DaMw,C34+19,0)</f>
        <v>30</v>
      </c>
      <c r="D26" s="91">
        <f>INDEX(DaPrice,C34+19,0)</f>
        <v>40</v>
      </c>
      <c r="E26" s="51">
        <f t="shared" si="8"/>
        <v>4.45</v>
      </c>
      <c r="F26" s="51">
        <f t="shared" si="9"/>
        <v>4.45</v>
      </c>
      <c r="G26" s="52">
        <f t="shared" si="10"/>
        <v>62.42</v>
      </c>
      <c r="H26" s="53">
        <f t="shared" si="0"/>
        <v>22.42</v>
      </c>
      <c r="I26" s="54">
        <f t="shared" si="1"/>
        <v>672.6</v>
      </c>
      <c r="J26" s="62">
        <f t="shared" si="17"/>
        <v>8.9680000000000017</v>
      </c>
      <c r="K26" s="63">
        <f t="shared" si="16"/>
        <v>13.452</v>
      </c>
      <c r="L26" s="64">
        <f t="shared" si="18"/>
        <v>269.04000000000008</v>
      </c>
      <c r="M26" s="56">
        <f t="shared" si="11"/>
        <v>403.56</v>
      </c>
      <c r="N26" s="57">
        <f t="shared" si="12"/>
        <v>40</v>
      </c>
      <c r="O26" s="58">
        <f t="shared" si="19"/>
        <v>48.968000000000004</v>
      </c>
      <c r="P26" s="43">
        <f t="shared" si="13"/>
        <v>1200</v>
      </c>
      <c r="Q26" s="59">
        <f t="shared" si="6"/>
        <v>1469.0400000000002</v>
      </c>
      <c r="R26" s="43"/>
      <c r="S26" s="60">
        <f t="shared" si="14"/>
        <v>269.04000000000008</v>
      </c>
      <c r="T26" s="61">
        <f t="shared" si="15"/>
        <v>403.56</v>
      </c>
      <c r="U26" s="46"/>
    </row>
    <row r="27" spans="1:21" x14ac:dyDescent="0.25">
      <c r="A27" s="47">
        <f t="shared" si="7"/>
        <v>37020</v>
      </c>
      <c r="B27" s="48">
        <v>21</v>
      </c>
      <c r="C27" s="49">
        <f>INDEX(DaMw,C34+20,0)</f>
        <v>30</v>
      </c>
      <c r="D27" s="91">
        <f>INDEX(DaPrice,C34+20,0)</f>
        <v>40</v>
      </c>
      <c r="E27" s="51">
        <f t="shared" si="8"/>
        <v>4.45</v>
      </c>
      <c r="F27" s="51">
        <f t="shared" si="9"/>
        <v>4.45</v>
      </c>
      <c r="G27" s="52">
        <f t="shared" si="10"/>
        <v>62.42</v>
      </c>
      <c r="H27" s="53">
        <f t="shared" si="0"/>
        <v>22.42</v>
      </c>
      <c r="I27" s="54">
        <f t="shared" si="1"/>
        <v>672.6</v>
      </c>
      <c r="J27" s="62">
        <f t="shared" si="17"/>
        <v>8.9680000000000017</v>
      </c>
      <c r="K27" s="63">
        <f t="shared" si="16"/>
        <v>13.452</v>
      </c>
      <c r="L27" s="64">
        <f t="shared" si="18"/>
        <v>269.04000000000008</v>
      </c>
      <c r="M27" s="56">
        <f t="shared" si="11"/>
        <v>403.56</v>
      </c>
      <c r="N27" s="57">
        <f t="shared" si="12"/>
        <v>40</v>
      </c>
      <c r="O27" s="58">
        <f t="shared" si="19"/>
        <v>48.968000000000004</v>
      </c>
      <c r="P27" s="43">
        <f t="shared" si="13"/>
        <v>1200</v>
      </c>
      <c r="Q27" s="59">
        <f t="shared" si="6"/>
        <v>1469.0400000000002</v>
      </c>
      <c r="R27" s="43"/>
      <c r="S27" s="60">
        <f t="shared" si="14"/>
        <v>269.04000000000008</v>
      </c>
      <c r="T27" s="61">
        <f t="shared" si="15"/>
        <v>403.56</v>
      </c>
      <c r="U27" s="46"/>
    </row>
    <row r="28" spans="1:21" x14ac:dyDescent="0.25">
      <c r="A28" s="47">
        <f t="shared" si="7"/>
        <v>37020</v>
      </c>
      <c r="B28" s="48">
        <v>22</v>
      </c>
      <c r="C28" s="49">
        <f>INDEX(DaMw,C34+21,0)</f>
        <v>30</v>
      </c>
      <c r="D28" s="91">
        <f>INDEX(DaPrice,C34+21,0)</f>
        <v>40</v>
      </c>
      <c r="E28" s="51">
        <f t="shared" si="8"/>
        <v>4.45</v>
      </c>
      <c r="F28" s="51">
        <f t="shared" si="9"/>
        <v>4.45</v>
      </c>
      <c r="G28" s="52">
        <f t="shared" si="10"/>
        <v>62.42</v>
      </c>
      <c r="H28" s="53">
        <f t="shared" si="0"/>
        <v>22.42</v>
      </c>
      <c r="I28" s="54">
        <f t="shared" si="1"/>
        <v>672.6</v>
      </c>
      <c r="J28" s="62">
        <f t="shared" si="17"/>
        <v>8.9680000000000017</v>
      </c>
      <c r="K28" s="63">
        <f t="shared" si="16"/>
        <v>13.452</v>
      </c>
      <c r="L28" s="64">
        <f t="shared" si="18"/>
        <v>269.04000000000008</v>
      </c>
      <c r="M28" s="56">
        <f t="shared" si="11"/>
        <v>403.56</v>
      </c>
      <c r="N28" s="57">
        <f t="shared" si="12"/>
        <v>40</v>
      </c>
      <c r="O28" s="58">
        <f t="shared" si="19"/>
        <v>48.968000000000004</v>
      </c>
      <c r="P28" s="43">
        <f t="shared" si="13"/>
        <v>1200</v>
      </c>
      <c r="Q28" s="59">
        <f t="shared" si="6"/>
        <v>1469.0400000000002</v>
      </c>
      <c r="R28" s="43"/>
      <c r="S28" s="60">
        <f t="shared" si="14"/>
        <v>269.04000000000008</v>
      </c>
      <c r="T28" s="61">
        <f t="shared" si="15"/>
        <v>403.56</v>
      </c>
      <c r="U28" s="46"/>
    </row>
    <row r="29" spans="1:21" x14ac:dyDescent="0.25">
      <c r="A29" s="47">
        <f t="shared" si="7"/>
        <v>37020</v>
      </c>
      <c r="B29" s="48">
        <v>23</v>
      </c>
      <c r="C29" s="49">
        <f>INDEX(DaMw,C34+22,0)</f>
        <v>15</v>
      </c>
      <c r="D29" s="91">
        <f>INDEX(DaPrice,C34+22,0)</f>
        <v>16.5</v>
      </c>
      <c r="E29" s="51">
        <f t="shared" si="8"/>
        <v>4.45</v>
      </c>
      <c r="F29" s="51">
        <f t="shared" si="9"/>
        <v>4.45</v>
      </c>
      <c r="G29" s="52">
        <f t="shared" si="10"/>
        <v>62.42</v>
      </c>
      <c r="H29" s="53">
        <f t="shared" si="0"/>
        <v>45.92</v>
      </c>
      <c r="I29" s="54">
        <f t="shared" si="1"/>
        <v>688.80000000000007</v>
      </c>
      <c r="J29" s="55">
        <f>IF(C29=0,"",1)</f>
        <v>1</v>
      </c>
      <c r="K29" s="43">
        <f>IF(C29=0,"",G29-(D29+1))</f>
        <v>44.92</v>
      </c>
      <c r="L29" s="43">
        <f>IF(C29=0,"",C29*J29)</f>
        <v>15</v>
      </c>
      <c r="M29" s="56">
        <f t="shared" si="11"/>
        <v>673.80000000000007</v>
      </c>
      <c r="N29" s="57">
        <f t="shared" si="12"/>
        <v>16.5</v>
      </c>
      <c r="O29" s="58">
        <f>IF(C29=0,"",D29+1)</f>
        <v>17.5</v>
      </c>
      <c r="P29" s="43">
        <f t="shared" si="13"/>
        <v>247.5</v>
      </c>
      <c r="Q29" s="59">
        <f t="shared" si="6"/>
        <v>262.5</v>
      </c>
      <c r="R29" s="43"/>
      <c r="S29" s="60">
        <f t="shared" si="14"/>
        <v>15</v>
      </c>
      <c r="T29" s="61">
        <f t="shared" si="15"/>
        <v>673.80000000000007</v>
      </c>
      <c r="U29" s="46"/>
    </row>
    <row r="30" spans="1:21" x14ac:dyDescent="0.25">
      <c r="A30" s="65">
        <f t="shared" si="7"/>
        <v>37020</v>
      </c>
      <c r="B30" s="66">
        <v>24</v>
      </c>
      <c r="C30" s="67">
        <f>INDEX(DaMw,C34+23,0)</f>
        <v>15</v>
      </c>
      <c r="D30" s="92">
        <f>INDEX(DaPrice,C34+23,0)</f>
        <v>16.5</v>
      </c>
      <c r="E30" s="69">
        <f t="shared" si="8"/>
        <v>4.45</v>
      </c>
      <c r="F30" s="69">
        <f>VLOOKUP(A30,Gas,5,FALSE)</f>
        <v>4.45</v>
      </c>
      <c r="G30" s="70">
        <f t="shared" si="10"/>
        <v>62.42</v>
      </c>
      <c r="H30" s="71">
        <f t="shared" si="0"/>
        <v>45.92</v>
      </c>
      <c r="I30" s="72">
        <f t="shared" si="1"/>
        <v>688.80000000000007</v>
      </c>
      <c r="J30" s="73">
        <f>IF(C30=0,"",1)</f>
        <v>1</v>
      </c>
      <c r="K30" s="74">
        <f>IF(C30=0,"",G30-(D30+1))</f>
        <v>44.92</v>
      </c>
      <c r="L30" s="74">
        <f>IF(C30=0,"",C30*J30)</f>
        <v>15</v>
      </c>
      <c r="M30" s="75">
        <f t="shared" si="11"/>
        <v>673.80000000000007</v>
      </c>
      <c r="N30" s="76">
        <f t="shared" si="12"/>
        <v>16.5</v>
      </c>
      <c r="O30" s="77">
        <f>IF(C30=0,"",D30+1)</f>
        <v>17.5</v>
      </c>
      <c r="P30" s="74">
        <f t="shared" si="13"/>
        <v>247.5</v>
      </c>
      <c r="Q30" s="78">
        <f t="shared" si="6"/>
        <v>262.5</v>
      </c>
      <c r="R30" s="43"/>
      <c r="S30" s="79">
        <f t="shared" si="14"/>
        <v>15</v>
      </c>
      <c r="T30" s="80">
        <f t="shared" si="15"/>
        <v>673.80000000000007</v>
      </c>
      <c r="U30" s="46"/>
    </row>
    <row r="31" spans="1:21" ht="4.5" customHeight="1" x14ac:dyDescent="0.25">
      <c r="E31" s="81"/>
      <c r="F31" s="81"/>
      <c r="G31" s="81"/>
      <c r="I31" s="82"/>
      <c r="Q31" s="2"/>
      <c r="S31" s="2"/>
      <c r="T31" s="83"/>
    </row>
    <row r="32" spans="1:21" x14ac:dyDescent="0.25">
      <c r="K32" s="84"/>
      <c r="L32" s="84"/>
      <c r="M32" s="84"/>
      <c r="N32" s="85"/>
      <c r="O32" s="84"/>
      <c r="P32" s="85"/>
      <c r="Q32" s="86">
        <f>SUM(Q7:Q30)</f>
        <v>24870.12000000001</v>
      </c>
      <c r="R32" s="87"/>
      <c r="S32" s="86">
        <f>SUM(S7:S30)</f>
        <v>4290.12</v>
      </c>
      <c r="T32" s="86">
        <f>SUM(T7:T30)</f>
        <v>11645.58</v>
      </c>
    </row>
    <row r="34" spans="1:22" hidden="1" x14ac:dyDescent="0.25">
      <c r="B34" t="s">
        <v>33</v>
      </c>
      <c r="C34">
        <f>MATCH(C2,DaDate,0)</f>
        <v>193</v>
      </c>
    </row>
    <row r="37" spans="1:22" s="5" customFormat="1" x14ac:dyDescent="0.25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5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5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5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5">
      <c r="A41" s="29">
        <f>$C$2</f>
        <v>37020</v>
      </c>
      <c r="B41" s="30">
        <v>1</v>
      </c>
      <c r="C41" s="31">
        <f>INDEX(RtMw,C68,0)</f>
        <v>10</v>
      </c>
      <c r="D41" s="32">
        <f>INDEX(RTPrice,C68,0)</f>
        <v>19</v>
      </c>
      <c r="E41" s="33">
        <f>VLOOKUP(A41,Gas,4,FALSE)</f>
        <v>4.45</v>
      </c>
      <c r="F41" s="33">
        <f>VLOOKUP(A41,Gas,5,FALSE)</f>
        <v>4.45</v>
      </c>
      <c r="G41" s="34">
        <f>VLOOKUP(A41,Bogey,2,FALSE)</f>
        <v>62.42</v>
      </c>
      <c r="H41" s="35">
        <f t="shared" ref="H41:H64" si="20">IF(C41&gt;0,G41-D41,"")</f>
        <v>43.42</v>
      </c>
      <c r="I41" s="36">
        <f t="shared" ref="I41:I64" si="21">IF(C41&gt;0,H41*ABS(C41),"")</f>
        <v>434.20000000000005</v>
      </c>
      <c r="J41" s="37">
        <f t="shared" ref="J41:J46" si="22">IF(C41=0,"",1)</f>
        <v>1</v>
      </c>
      <c r="K41" s="38">
        <f t="shared" ref="K41:K46" si="23">IF(C41=0,"",G41-(D41+1))</f>
        <v>42.42</v>
      </c>
      <c r="L41" s="38">
        <f t="shared" ref="L41:L46" si="24">IF(C41=0,"",C41*J41)</f>
        <v>10</v>
      </c>
      <c r="M41" s="39">
        <f>IF(C41=0,"",C41*K41)</f>
        <v>424.20000000000005</v>
      </c>
      <c r="N41" s="40">
        <f>IF(C41=0,"",D41)</f>
        <v>19</v>
      </c>
      <c r="O41" s="41">
        <f t="shared" ref="O41:O46" si="25">IF(C41=0,"",D41+1)</f>
        <v>20</v>
      </c>
      <c r="P41" s="38">
        <f>IF(C41=0,"",N41*C41)</f>
        <v>190</v>
      </c>
      <c r="Q41" s="42">
        <f t="shared" ref="Q41:Q64" si="26">IF(C41=0,"",O41*C41)</f>
        <v>200</v>
      </c>
      <c r="R41" s="43"/>
      <c r="S41" s="44">
        <f>IF(C41=0,"",L41)</f>
        <v>10</v>
      </c>
      <c r="T41" s="45">
        <f>IF(C41=0,"",M41)</f>
        <v>424.20000000000005</v>
      </c>
      <c r="U41" s="46"/>
    </row>
    <row r="42" spans="1:22" x14ac:dyDescent="0.25">
      <c r="A42" s="47">
        <f t="shared" ref="A42:A64" si="27">$C$2</f>
        <v>37020</v>
      </c>
      <c r="B42" s="48">
        <v>2</v>
      </c>
      <c r="C42" s="49">
        <f>INDEX(RtMw,C68+1,0)</f>
        <v>5</v>
      </c>
      <c r="D42" s="50">
        <f>INDEX(RTPrice,C68+1,0)</f>
        <v>19</v>
      </c>
      <c r="E42" s="51">
        <f t="shared" ref="E42:E64" si="28">VLOOKUP(A42,Gas,4,FALSE)</f>
        <v>4.45</v>
      </c>
      <c r="F42" s="51">
        <f t="shared" ref="F42:F63" si="29">VLOOKUP(A42,Gas,5,FALSE)</f>
        <v>4.45</v>
      </c>
      <c r="G42" s="52">
        <f t="shared" ref="G42:G64" si="30">VLOOKUP(A42,Bogey,2,FALSE)</f>
        <v>62.42</v>
      </c>
      <c r="H42" s="53">
        <f t="shared" si="20"/>
        <v>43.42</v>
      </c>
      <c r="I42" s="54">
        <f t="shared" si="21"/>
        <v>217.10000000000002</v>
      </c>
      <c r="J42" s="55">
        <f t="shared" si="22"/>
        <v>1</v>
      </c>
      <c r="K42" s="43">
        <f t="shared" si="23"/>
        <v>42.42</v>
      </c>
      <c r="L42" s="43">
        <f t="shared" si="24"/>
        <v>5</v>
      </c>
      <c r="M42" s="56">
        <f t="shared" ref="M42:M64" si="31">IF(C42=0,"",C42*K42)</f>
        <v>212.10000000000002</v>
      </c>
      <c r="N42" s="57">
        <f t="shared" ref="N42:N64" si="32">IF(C42=0,"",D42)</f>
        <v>19</v>
      </c>
      <c r="O42" s="58">
        <f t="shared" si="25"/>
        <v>20</v>
      </c>
      <c r="P42" s="43">
        <f t="shared" ref="P42:P64" si="33">IF(C42=0,"",N42*C42)</f>
        <v>95</v>
      </c>
      <c r="Q42" s="59">
        <f t="shared" si="26"/>
        <v>100</v>
      </c>
      <c r="R42" s="43"/>
      <c r="S42" s="60">
        <f t="shared" ref="S42:S64" si="34">IF(C42=0,"",L42)</f>
        <v>5</v>
      </c>
      <c r="T42" s="61">
        <f t="shared" ref="T42:T64" si="35">IF(C42=0,"",M42)</f>
        <v>212.10000000000002</v>
      </c>
      <c r="U42" s="46"/>
    </row>
    <row r="43" spans="1:22" x14ac:dyDescent="0.25">
      <c r="A43" s="47">
        <f t="shared" si="27"/>
        <v>37020</v>
      </c>
      <c r="B43" s="48">
        <v>3</v>
      </c>
      <c r="C43" s="49">
        <f>INDEX(RtMw,C68+2,0)</f>
        <v>4</v>
      </c>
      <c r="D43" s="50">
        <f>INDEX(RTPrice,C68+2,0)</f>
        <v>19</v>
      </c>
      <c r="E43" s="51">
        <f t="shared" si="28"/>
        <v>4.45</v>
      </c>
      <c r="F43" s="51">
        <f t="shared" si="29"/>
        <v>4.45</v>
      </c>
      <c r="G43" s="52">
        <f t="shared" si="30"/>
        <v>62.42</v>
      </c>
      <c r="H43" s="53">
        <f t="shared" si="20"/>
        <v>43.42</v>
      </c>
      <c r="I43" s="54">
        <f t="shared" si="21"/>
        <v>173.68</v>
      </c>
      <c r="J43" s="55">
        <f t="shared" si="22"/>
        <v>1</v>
      </c>
      <c r="K43" s="43">
        <f t="shared" si="23"/>
        <v>42.42</v>
      </c>
      <c r="L43" s="43">
        <f t="shared" si="24"/>
        <v>4</v>
      </c>
      <c r="M43" s="56">
        <f t="shared" si="31"/>
        <v>169.68</v>
      </c>
      <c r="N43" s="57">
        <f t="shared" si="32"/>
        <v>19</v>
      </c>
      <c r="O43" s="58">
        <f t="shared" si="25"/>
        <v>20</v>
      </c>
      <c r="P43" s="43">
        <f t="shared" si="33"/>
        <v>76</v>
      </c>
      <c r="Q43" s="59">
        <f t="shared" si="26"/>
        <v>80</v>
      </c>
      <c r="R43" s="43"/>
      <c r="S43" s="60">
        <f t="shared" si="34"/>
        <v>4</v>
      </c>
      <c r="T43" s="61">
        <f t="shared" si="35"/>
        <v>169.68</v>
      </c>
      <c r="U43" s="46"/>
    </row>
    <row r="44" spans="1:22" x14ac:dyDescent="0.25">
      <c r="A44" s="47">
        <f t="shared" si="27"/>
        <v>37020</v>
      </c>
      <c r="B44" s="48">
        <v>4</v>
      </c>
      <c r="C44" s="49">
        <f>INDEX(RtMw,C68+3,0)</f>
        <v>4</v>
      </c>
      <c r="D44" s="50">
        <f>INDEX(RTPrice,C68+3,0)</f>
        <v>19</v>
      </c>
      <c r="E44" s="51">
        <f t="shared" si="28"/>
        <v>4.45</v>
      </c>
      <c r="F44" s="51">
        <f t="shared" si="29"/>
        <v>4.45</v>
      </c>
      <c r="G44" s="52">
        <f t="shared" si="30"/>
        <v>62.42</v>
      </c>
      <c r="H44" s="53">
        <f t="shared" si="20"/>
        <v>43.42</v>
      </c>
      <c r="I44" s="54">
        <f t="shared" si="21"/>
        <v>173.68</v>
      </c>
      <c r="J44" s="55">
        <f t="shared" si="22"/>
        <v>1</v>
      </c>
      <c r="K44" s="43">
        <f t="shared" si="23"/>
        <v>42.42</v>
      </c>
      <c r="L44" s="43">
        <f t="shared" si="24"/>
        <v>4</v>
      </c>
      <c r="M44" s="56">
        <f t="shared" si="31"/>
        <v>169.68</v>
      </c>
      <c r="N44" s="57">
        <f t="shared" si="32"/>
        <v>19</v>
      </c>
      <c r="O44" s="58">
        <f t="shared" si="25"/>
        <v>20</v>
      </c>
      <c r="P44" s="43">
        <f t="shared" si="33"/>
        <v>76</v>
      </c>
      <c r="Q44" s="59">
        <f t="shared" si="26"/>
        <v>80</v>
      </c>
      <c r="R44" s="43"/>
      <c r="S44" s="60">
        <f t="shared" si="34"/>
        <v>4</v>
      </c>
      <c r="T44" s="61">
        <f t="shared" si="35"/>
        <v>169.68</v>
      </c>
      <c r="U44" s="46"/>
    </row>
    <row r="45" spans="1:22" x14ac:dyDescent="0.25">
      <c r="A45" s="47">
        <f t="shared" si="27"/>
        <v>37020</v>
      </c>
      <c r="B45" s="48">
        <v>5</v>
      </c>
      <c r="C45" s="49">
        <f>INDEX(RtMw,C68+4,0)</f>
        <v>4</v>
      </c>
      <c r="D45" s="50">
        <f>INDEX(RTPrice,C68+4,0)</f>
        <v>19</v>
      </c>
      <c r="E45" s="51">
        <f t="shared" si="28"/>
        <v>4.45</v>
      </c>
      <c r="F45" s="51">
        <f t="shared" si="29"/>
        <v>4.45</v>
      </c>
      <c r="G45" s="52">
        <f t="shared" si="30"/>
        <v>62.42</v>
      </c>
      <c r="H45" s="53">
        <f t="shared" si="20"/>
        <v>43.42</v>
      </c>
      <c r="I45" s="54">
        <f t="shared" si="21"/>
        <v>173.68</v>
      </c>
      <c r="J45" s="55">
        <f t="shared" si="22"/>
        <v>1</v>
      </c>
      <c r="K45" s="43">
        <f t="shared" si="23"/>
        <v>42.42</v>
      </c>
      <c r="L45" s="43">
        <f t="shared" si="24"/>
        <v>4</v>
      </c>
      <c r="M45" s="56">
        <f t="shared" si="31"/>
        <v>169.68</v>
      </c>
      <c r="N45" s="57">
        <f t="shared" si="32"/>
        <v>19</v>
      </c>
      <c r="O45" s="58">
        <f t="shared" si="25"/>
        <v>20</v>
      </c>
      <c r="P45" s="43">
        <f t="shared" si="33"/>
        <v>76</v>
      </c>
      <c r="Q45" s="59">
        <f t="shared" si="26"/>
        <v>80</v>
      </c>
      <c r="R45" s="43"/>
      <c r="S45" s="60">
        <f t="shared" si="34"/>
        <v>4</v>
      </c>
      <c r="T45" s="61">
        <f t="shared" si="35"/>
        <v>169.68</v>
      </c>
      <c r="U45" s="46"/>
    </row>
    <row r="46" spans="1:22" x14ac:dyDescent="0.25">
      <c r="A46" s="47">
        <f t="shared" si="27"/>
        <v>37020</v>
      </c>
      <c r="B46" s="48">
        <v>6</v>
      </c>
      <c r="C46" s="49">
        <f>INDEX(RtMw,C68+5,0)</f>
        <v>4</v>
      </c>
      <c r="D46" s="50">
        <f>INDEX(RTPrice,C68+5,0)</f>
        <v>19</v>
      </c>
      <c r="E46" s="51">
        <f t="shared" si="28"/>
        <v>4.45</v>
      </c>
      <c r="F46" s="51">
        <f t="shared" si="29"/>
        <v>4.45</v>
      </c>
      <c r="G46" s="52">
        <f t="shared" si="30"/>
        <v>62.42</v>
      </c>
      <c r="H46" s="53">
        <f t="shared" si="20"/>
        <v>43.42</v>
      </c>
      <c r="I46" s="54">
        <f t="shared" si="21"/>
        <v>173.68</v>
      </c>
      <c r="J46" s="55">
        <f t="shared" si="22"/>
        <v>1</v>
      </c>
      <c r="K46" s="43">
        <f t="shared" si="23"/>
        <v>42.42</v>
      </c>
      <c r="L46" s="43">
        <f t="shared" si="24"/>
        <v>4</v>
      </c>
      <c r="M46" s="56">
        <f t="shared" si="31"/>
        <v>169.68</v>
      </c>
      <c r="N46" s="57">
        <f t="shared" si="32"/>
        <v>19</v>
      </c>
      <c r="O46" s="58">
        <f t="shared" si="25"/>
        <v>20</v>
      </c>
      <c r="P46" s="43">
        <f t="shared" si="33"/>
        <v>76</v>
      </c>
      <c r="Q46" s="59">
        <f t="shared" si="26"/>
        <v>80</v>
      </c>
      <c r="R46" s="43"/>
      <c r="S46" s="60">
        <f t="shared" si="34"/>
        <v>4</v>
      </c>
      <c r="T46" s="61">
        <f t="shared" si="35"/>
        <v>169.68</v>
      </c>
      <c r="U46" s="46"/>
    </row>
    <row r="47" spans="1:22" x14ac:dyDescent="0.25">
      <c r="A47" s="47">
        <f t="shared" si="27"/>
        <v>37020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4.45</v>
      </c>
      <c r="F47" s="51">
        <f t="shared" si="29"/>
        <v>4.45</v>
      </c>
      <c r="G47" s="52">
        <f t="shared" si="30"/>
        <v>62.42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5">
      <c r="A48" s="47">
        <f t="shared" si="27"/>
        <v>37020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4.45</v>
      </c>
      <c r="F48" s="51">
        <f t="shared" si="29"/>
        <v>4.45</v>
      </c>
      <c r="G48" s="52">
        <f t="shared" si="30"/>
        <v>62.42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5">
      <c r="A49" s="47">
        <f t="shared" si="27"/>
        <v>37020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4.45</v>
      </c>
      <c r="F49" s="51">
        <f t="shared" si="29"/>
        <v>4.45</v>
      </c>
      <c r="G49" s="52">
        <f t="shared" si="30"/>
        <v>62.42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5">
      <c r="A50" s="47">
        <f t="shared" si="27"/>
        <v>37020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4.45</v>
      </c>
      <c r="F50" s="51">
        <f t="shared" si="29"/>
        <v>4.45</v>
      </c>
      <c r="G50" s="52">
        <f t="shared" si="30"/>
        <v>62.42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5">
      <c r="A51" s="47">
        <f t="shared" si="27"/>
        <v>37020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4.45</v>
      </c>
      <c r="F51" s="51">
        <f t="shared" si="29"/>
        <v>4.45</v>
      </c>
      <c r="G51" s="52">
        <f t="shared" si="30"/>
        <v>62.42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5">
      <c r="A52" s="47">
        <f t="shared" si="27"/>
        <v>37020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4.45</v>
      </c>
      <c r="F52" s="51">
        <f t="shared" si="29"/>
        <v>4.45</v>
      </c>
      <c r="G52" s="52">
        <f t="shared" si="30"/>
        <v>62.42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5">
      <c r="A53" s="47">
        <f t="shared" si="27"/>
        <v>37020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4.45</v>
      </c>
      <c r="F53" s="51">
        <f t="shared" si="29"/>
        <v>4.45</v>
      </c>
      <c r="G53" s="52">
        <f t="shared" si="30"/>
        <v>62.42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5">
      <c r="A54" s="47">
        <f t="shared" si="27"/>
        <v>37020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4.45</v>
      </c>
      <c r="F54" s="51">
        <f t="shared" si="29"/>
        <v>4.45</v>
      </c>
      <c r="G54" s="52">
        <f t="shared" si="30"/>
        <v>62.42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5">
      <c r="A55" s="47">
        <f t="shared" si="27"/>
        <v>37020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4.45</v>
      </c>
      <c r="F55" s="51">
        <f t="shared" si="29"/>
        <v>4.45</v>
      </c>
      <c r="G55" s="52">
        <f t="shared" si="30"/>
        <v>62.42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5">
      <c r="A56" s="47">
        <f t="shared" si="27"/>
        <v>37020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4.45</v>
      </c>
      <c r="F56" s="51">
        <f t="shared" si="29"/>
        <v>4.45</v>
      </c>
      <c r="G56" s="52">
        <f t="shared" si="30"/>
        <v>62.42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5">
      <c r="A57" s="47">
        <f t="shared" si="27"/>
        <v>37020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4.45</v>
      </c>
      <c r="F57" s="51">
        <f t="shared" si="29"/>
        <v>4.45</v>
      </c>
      <c r="G57" s="52">
        <f t="shared" si="30"/>
        <v>62.42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5">
      <c r="A58" s="47">
        <f t="shared" si="27"/>
        <v>37020</v>
      </c>
      <c r="B58" s="48">
        <v>18</v>
      </c>
      <c r="C58" s="49">
        <f>INDEX(RtMw,C68+17,0)</f>
        <v>6</v>
      </c>
      <c r="D58" s="50">
        <f>INDEX(RTPrice,C68+17,0)</f>
        <v>48</v>
      </c>
      <c r="E58" s="51">
        <f t="shared" si="28"/>
        <v>4.45</v>
      </c>
      <c r="F58" s="51">
        <f t="shared" si="29"/>
        <v>4.45</v>
      </c>
      <c r="G58" s="52">
        <f t="shared" si="30"/>
        <v>62.42</v>
      </c>
      <c r="H58" s="53">
        <f t="shared" si="20"/>
        <v>14.420000000000002</v>
      </c>
      <c r="I58" s="54">
        <f t="shared" si="21"/>
        <v>86.52000000000001</v>
      </c>
      <c r="J58" s="62">
        <f t="shared" si="37"/>
        <v>5.7680000000000007</v>
      </c>
      <c r="K58" s="63">
        <f t="shared" si="36"/>
        <v>8.652000000000001</v>
      </c>
      <c r="L58" s="64">
        <f t="shared" si="38"/>
        <v>34.608000000000004</v>
      </c>
      <c r="M58" s="56">
        <f t="shared" si="31"/>
        <v>51.912000000000006</v>
      </c>
      <c r="N58" s="57">
        <f t="shared" si="32"/>
        <v>48</v>
      </c>
      <c r="O58" s="58">
        <f>IF(C58=0,"",D58+J58)</f>
        <v>53.768000000000001</v>
      </c>
      <c r="P58" s="43">
        <f t="shared" si="33"/>
        <v>288</v>
      </c>
      <c r="Q58" s="59">
        <f t="shared" si="26"/>
        <v>322.608</v>
      </c>
      <c r="R58" s="43"/>
      <c r="S58" s="60">
        <f t="shared" si="34"/>
        <v>34.608000000000004</v>
      </c>
      <c r="T58" s="61">
        <f t="shared" si="35"/>
        <v>51.912000000000006</v>
      </c>
      <c r="U58" s="46"/>
    </row>
    <row r="59" spans="1:21" x14ac:dyDescent="0.25">
      <c r="A59" s="47">
        <f t="shared" si="27"/>
        <v>37020</v>
      </c>
      <c r="B59" s="48">
        <v>19</v>
      </c>
      <c r="C59" s="49">
        <f>INDEX(RtMw,C68+18,0)</f>
        <v>6</v>
      </c>
      <c r="D59" s="50">
        <f>INDEX(RTPrice,C68+18,0)</f>
        <v>48</v>
      </c>
      <c r="E59" s="51">
        <f t="shared" si="28"/>
        <v>4.45</v>
      </c>
      <c r="F59" s="51">
        <f t="shared" si="29"/>
        <v>4.45</v>
      </c>
      <c r="G59" s="52">
        <f t="shared" si="30"/>
        <v>62.42</v>
      </c>
      <c r="H59" s="53">
        <f t="shared" si="20"/>
        <v>14.420000000000002</v>
      </c>
      <c r="I59" s="54">
        <f t="shared" si="21"/>
        <v>86.52000000000001</v>
      </c>
      <c r="J59" s="62">
        <f t="shared" si="37"/>
        <v>5.7680000000000007</v>
      </c>
      <c r="K59" s="63">
        <f t="shared" si="36"/>
        <v>8.652000000000001</v>
      </c>
      <c r="L59" s="64">
        <f t="shared" si="38"/>
        <v>34.608000000000004</v>
      </c>
      <c r="M59" s="56">
        <f t="shared" si="31"/>
        <v>51.912000000000006</v>
      </c>
      <c r="N59" s="57">
        <f t="shared" si="32"/>
        <v>48</v>
      </c>
      <c r="O59" s="58">
        <f>IF(C59=0,"",D59+J59)</f>
        <v>53.768000000000001</v>
      </c>
      <c r="P59" s="43">
        <f t="shared" si="33"/>
        <v>288</v>
      </c>
      <c r="Q59" s="59">
        <f t="shared" si="26"/>
        <v>322.608</v>
      </c>
      <c r="R59" s="43"/>
      <c r="S59" s="60">
        <f t="shared" si="34"/>
        <v>34.608000000000004</v>
      </c>
      <c r="T59" s="61">
        <f t="shared" si="35"/>
        <v>51.912000000000006</v>
      </c>
      <c r="U59" s="46"/>
    </row>
    <row r="60" spans="1:21" x14ac:dyDescent="0.25">
      <c r="A60" s="47">
        <f t="shared" si="27"/>
        <v>37020</v>
      </c>
      <c r="B60" s="48">
        <v>20</v>
      </c>
      <c r="C60" s="49">
        <f>INDEX(RtMw,C68+19,0)</f>
        <v>3</v>
      </c>
      <c r="D60" s="50">
        <f>INDEX(RTPrice,C68+19,0)</f>
        <v>48</v>
      </c>
      <c r="E60" s="51">
        <f t="shared" si="28"/>
        <v>4.45</v>
      </c>
      <c r="F60" s="51">
        <f t="shared" si="29"/>
        <v>4.45</v>
      </c>
      <c r="G60" s="52">
        <f t="shared" si="30"/>
        <v>62.42</v>
      </c>
      <c r="H60" s="53">
        <f t="shared" si="20"/>
        <v>14.420000000000002</v>
      </c>
      <c r="I60" s="54">
        <f t="shared" si="21"/>
        <v>43.260000000000005</v>
      </c>
      <c r="J60" s="62">
        <f t="shared" si="37"/>
        <v>5.7680000000000007</v>
      </c>
      <c r="K60" s="63">
        <f t="shared" si="36"/>
        <v>8.652000000000001</v>
      </c>
      <c r="L60" s="64">
        <f t="shared" si="38"/>
        <v>17.304000000000002</v>
      </c>
      <c r="M60" s="56">
        <f t="shared" si="31"/>
        <v>25.956000000000003</v>
      </c>
      <c r="N60" s="57">
        <f t="shared" si="32"/>
        <v>48</v>
      </c>
      <c r="O60" s="58">
        <f>IF(C60=0,"",D60+J60)</f>
        <v>53.768000000000001</v>
      </c>
      <c r="P60" s="43">
        <f t="shared" si="33"/>
        <v>144</v>
      </c>
      <c r="Q60" s="59">
        <f t="shared" si="26"/>
        <v>161.304</v>
      </c>
      <c r="R60" s="43"/>
      <c r="S60" s="60">
        <f t="shared" si="34"/>
        <v>17.304000000000002</v>
      </c>
      <c r="T60" s="61">
        <f t="shared" si="35"/>
        <v>25.956000000000003</v>
      </c>
      <c r="U60" s="46"/>
    </row>
    <row r="61" spans="1:21" x14ac:dyDescent="0.25">
      <c r="A61" s="47">
        <f t="shared" si="27"/>
        <v>37020</v>
      </c>
      <c r="B61" s="48">
        <v>21</v>
      </c>
      <c r="C61" s="49">
        <f>INDEX(RtMw,C68+20,0)</f>
        <v>6</v>
      </c>
      <c r="D61" s="50">
        <f>INDEX(RTPrice,C68+20,0)</f>
        <v>38</v>
      </c>
      <c r="E61" s="51">
        <f t="shared" si="28"/>
        <v>4.45</v>
      </c>
      <c r="F61" s="51">
        <f t="shared" si="29"/>
        <v>4.45</v>
      </c>
      <c r="G61" s="52">
        <f t="shared" si="30"/>
        <v>62.42</v>
      </c>
      <c r="H61" s="53">
        <f t="shared" si="20"/>
        <v>24.42</v>
      </c>
      <c r="I61" s="54">
        <f t="shared" si="21"/>
        <v>146.52000000000001</v>
      </c>
      <c r="J61" s="62">
        <f t="shared" si="37"/>
        <v>9.7680000000000007</v>
      </c>
      <c r="K61" s="63">
        <f t="shared" si="36"/>
        <v>14.652000000000001</v>
      </c>
      <c r="L61" s="64">
        <f t="shared" si="38"/>
        <v>58.608000000000004</v>
      </c>
      <c r="M61" s="56">
        <f t="shared" si="31"/>
        <v>87.912000000000006</v>
      </c>
      <c r="N61" s="57">
        <f t="shared" si="32"/>
        <v>38</v>
      </c>
      <c r="O61" s="58">
        <f>IF(C61=0,"",D61+J61)</f>
        <v>47.768000000000001</v>
      </c>
      <c r="P61" s="43">
        <f t="shared" si="33"/>
        <v>228</v>
      </c>
      <c r="Q61" s="59">
        <f t="shared" si="26"/>
        <v>286.608</v>
      </c>
      <c r="R61" s="43"/>
      <c r="S61" s="60">
        <f t="shared" si="34"/>
        <v>58.608000000000004</v>
      </c>
      <c r="T61" s="61">
        <f t="shared" si="35"/>
        <v>87.912000000000006</v>
      </c>
      <c r="U61" s="46"/>
    </row>
    <row r="62" spans="1:21" x14ac:dyDescent="0.25">
      <c r="A62" s="47">
        <f t="shared" si="27"/>
        <v>37020</v>
      </c>
      <c r="B62" s="48">
        <v>22</v>
      </c>
      <c r="C62" s="49">
        <f>INDEX(RtMw,C68+21,0)</f>
        <v>4</v>
      </c>
      <c r="D62" s="50">
        <f>INDEX(RTPrice,C68+21,0)</f>
        <v>38</v>
      </c>
      <c r="E62" s="51">
        <f t="shared" si="28"/>
        <v>4.45</v>
      </c>
      <c r="F62" s="51">
        <f t="shared" si="29"/>
        <v>4.45</v>
      </c>
      <c r="G62" s="52">
        <f t="shared" si="30"/>
        <v>62.42</v>
      </c>
      <c r="H62" s="53">
        <f t="shared" si="20"/>
        <v>24.42</v>
      </c>
      <c r="I62" s="54">
        <f t="shared" si="21"/>
        <v>97.68</v>
      </c>
      <c r="J62" s="62">
        <f t="shared" si="37"/>
        <v>9.7680000000000007</v>
      </c>
      <c r="K62" s="63">
        <f t="shared" si="36"/>
        <v>14.652000000000001</v>
      </c>
      <c r="L62" s="64">
        <f t="shared" si="38"/>
        <v>39.072000000000003</v>
      </c>
      <c r="M62" s="56">
        <f t="shared" si="31"/>
        <v>58.608000000000004</v>
      </c>
      <c r="N62" s="57">
        <f t="shared" si="32"/>
        <v>38</v>
      </c>
      <c r="O62" s="58">
        <f>IF(C62=0,"",D62+J62)</f>
        <v>47.768000000000001</v>
      </c>
      <c r="P62" s="43">
        <f t="shared" si="33"/>
        <v>152</v>
      </c>
      <c r="Q62" s="59">
        <f t="shared" si="26"/>
        <v>191.072</v>
      </c>
      <c r="R62" s="43"/>
      <c r="S62" s="60">
        <f t="shared" si="34"/>
        <v>39.072000000000003</v>
      </c>
      <c r="T62" s="61">
        <f t="shared" si="35"/>
        <v>58.608000000000004</v>
      </c>
      <c r="U62" s="46"/>
    </row>
    <row r="63" spans="1:21" x14ac:dyDescent="0.25">
      <c r="A63" s="47">
        <f t="shared" si="27"/>
        <v>37020</v>
      </c>
      <c r="B63" s="48">
        <v>23</v>
      </c>
      <c r="C63" s="49">
        <f>INDEX(RtMw,C68+22,0)</f>
        <v>17</v>
      </c>
      <c r="D63" s="50">
        <f>INDEX(RTPrice,C68+22,0)</f>
        <v>28</v>
      </c>
      <c r="E63" s="51">
        <f t="shared" si="28"/>
        <v>4.45</v>
      </c>
      <c r="F63" s="51">
        <f t="shared" si="29"/>
        <v>4.45</v>
      </c>
      <c r="G63" s="52">
        <f t="shared" si="30"/>
        <v>62.42</v>
      </c>
      <c r="H63" s="53">
        <f t="shared" si="20"/>
        <v>34.42</v>
      </c>
      <c r="I63" s="54">
        <f t="shared" si="21"/>
        <v>585.14</v>
      </c>
      <c r="J63" s="55">
        <f>IF(C63=0,"",1)</f>
        <v>1</v>
      </c>
      <c r="K63" s="43">
        <f>IF(C63=0,"",G63-(D63+1))</f>
        <v>33.42</v>
      </c>
      <c r="L63" s="43">
        <f>IF(C63=0,"",C63*J63)</f>
        <v>17</v>
      </c>
      <c r="M63" s="56">
        <f t="shared" si="31"/>
        <v>568.14</v>
      </c>
      <c r="N63" s="57">
        <f t="shared" si="32"/>
        <v>28</v>
      </c>
      <c r="O63" s="58">
        <f>IF(C63=0,"",D63+1)</f>
        <v>29</v>
      </c>
      <c r="P63" s="43">
        <f t="shared" si="33"/>
        <v>476</v>
      </c>
      <c r="Q63" s="59">
        <f t="shared" si="26"/>
        <v>493</v>
      </c>
      <c r="R63" s="43"/>
      <c r="S63" s="60">
        <f t="shared" si="34"/>
        <v>17</v>
      </c>
      <c r="T63" s="61">
        <f t="shared" si="35"/>
        <v>568.14</v>
      </c>
      <c r="U63" s="46"/>
    </row>
    <row r="64" spans="1:21" x14ac:dyDescent="0.25">
      <c r="A64" s="65">
        <f t="shared" si="27"/>
        <v>37020</v>
      </c>
      <c r="B64" s="66">
        <v>24</v>
      </c>
      <c r="C64" s="67">
        <f>INDEX(RtMw,C68+23,0)</f>
        <v>14</v>
      </c>
      <c r="D64" s="68">
        <f>INDEX(RTPrice,C68+23,0)</f>
        <v>22</v>
      </c>
      <c r="E64" s="69">
        <f t="shared" si="28"/>
        <v>4.45</v>
      </c>
      <c r="F64" s="69">
        <f>VLOOKUP(A64,Gas,5,FALSE)</f>
        <v>4.45</v>
      </c>
      <c r="G64" s="70">
        <f t="shared" si="30"/>
        <v>62.42</v>
      </c>
      <c r="H64" s="71">
        <f t="shared" si="20"/>
        <v>40.42</v>
      </c>
      <c r="I64" s="72">
        <f t="shared" si="21"/>
        <v>565.88</v>
      </c>
      <c r="J64" s="73">
        <f>IF(C64=0,"",1)</f>
        <v>1</v>
      </c>
      <c r="K64" s="74">
        <f>IF(C64=0,"",G64-(D64+1))</f>
        <v>39.42</v>
      </c>
      <c r="L64" s="74">
        <f>IF(C64=0,"",C64*J64)</f>
        <v>14</v>
      </c>
      <c r="M64" s="75">
        <f t="shared" si="31"/>
        <v>551.88</v>
      </c>
      <c r="N64" s="76">
        <f t="shared" si="32"/>
        <v>22</v>
      </c>
      <c r="O64" s="77">
        <f>IF(C64=0,"",D64+1)</f>
        <v>23</v>
      </c>
      <c r="P64" s="74">
        <f t="shared" si="33"/>
        <v>308</v>
      </c>
      <c r="Q64" s="78">
        <f t="shared" si="26"/>
        <v>322</v>
      </c>
      <c r="R64" s="43"/>
      <c r="S64" s="79">
        <f t="shared" si="34"/>
        <v>14</v>
      </c>
      <c r="T64" s="80">
        <f t="shared" si="35"/>
        <v>551.88</v>
      </c>
      <c r="U64" s="46"/>
    </row>
    <row r="66" spans="2:17" x14ac:dyDescent="0.25">
      <c r="Q66" s="82">
        <f>SUM(Q41:Q65)</f>
        <v>2719.2</v>
      </c>
    </row>
    <row r="68" spans="2:17" hidden="1" x14ac:dyDescent="0.25">
      <c r="B68" t="s">
        <v>33</v>
      </c>
      <c r="C68">
        <f>MATCH(C2,RTDate,0)</f>
        <v>193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5" priority="1" stopIfTrue="1" operator="equal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May1</vt:lpstr>
      <vt:lpstr>May2</vt:lpstr>
      <vt:lpstr>May3</vt:lpstr>
      <vt:lpstr>May4</vt:lpstr>
      <vt:lpstr>May5</vt:lpstr>
      <vt:lpstr>May6</vt:lpstr>
      <vt:lpstr>May7</vt:lpstr>
      <vt:lpstr>May8</vt:lpstr>
      <vt:lpstr>May9</vt:lpstr>
      <vt:lpstr>May10</vt:lpstr>
      <vt:lpstr>May11</vt:lpstr>
      <vt:lpstr>May12</vt:lpstr>
      <vt:lpstr>May13</vt:lpstr>
      <vt:lpstr>May14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Havlíček Jan</cp:lastModifiedBy>
  <dcterms:created xsi:type="dcterms:W3CDTF">2001-05-03T21:28:48Z</dcterms:created>
  <dcterms:modified xsi:type="dcterms:W3CDTF">2023-09-10T14:55:23Z</dcterms:modified>
</cp:coreProperties>
</file>