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60" yWindow="12" windowWidth="11412" windowHeight="7728"/>
  </bookViews>
  <sheets>
    <sheet name="homedepot" sheetId="1" r:id="rId1"/>
    <sheet name="Balance Sheet Proforma" sheetId="2" r:id="rId2"/>
  </sheets>
  <calcPr calcId="0"/>
</workbook>
</file>

<file path=xl/calcChain.xml><?xml version="1.0" encoding="utf-8"?>
<calcChain xmlns="http://schemas.openxmlformats.org/spreadsheetml/2006/main">
  <c r="B9" i="2" l="1"/>
  <c r="C9" i="2"/>
  <c r="D9" i="2"/>
  <c r="B14" i="2"/>
  <c r="C14" i="2"/>
  <c r="D14" i="2"/>
  <c r="B15" i="2"/>
  <c r="C15" i="2"/>
  <c r="D15" i="2"/>
  <c r="B20" i="2"/>
  <c r="C20" i="2"/>
  <c r="D20" i="2"/>
  <c r="B21" i="2"/>
  <c r="C21" i="2"/>
  <c r="D21" i="2"/>
  <c r="B23" i="2"/>
  <c r="C23" i="2"/>
  <c r="D23" i="2"/>
  <c r="F31" i="2"/>
  <c r="G31" i="2"/>
  <c r="F32" i="2"/>
  <c r="F33" i="2"/>
  <c r="G33" i="2"/>
  <c r="F34" i="2"/>
  <c r="G34" i="2"/>
  <c r="C35" i="2"/>
  <c r="D35" i="2"/>
  <c r="C42" i="2"/>
  <c r="D42" i="2"/>
  <c r="C44" i="2"/>
  <c r="D44" i="2"/>
  <c r="C49" i="2"/>
  <c r="D49" i="2"/>
  <c r="F53" i="2"/>
  <c r="G53" i="2"/>
  <c r="F54" i="2"/>
  <c r="G54" i="2"/>
  <c r="F55" i="2"/>
  <c r="G55" i="2"/>
  <c r="C58" i="2"/>
  <c r="D58" i="2"/>
  <c r="C62" i="2"/>
  <c r="D62" i="2"/>
  <c r="C71" i="2"/>
  <c r="D71" i="2"/>
  <c r="B87" i="2"/>
  <c r="C87" i="2"/>
  <c r="D87" i="2"/>
  <c r="B97" i="2"/>
  <c r="C97" i="2"/>
  <c r="D97" i="2"/>
  <c r="B104" i="2"/>
  <c r="C104" i="2"/>
  <c r="D104" i="2"/>
  <c r="B111" i="2"/>
  <c r="C111" i="2"/>
  <c r="D111" i="2"/>
  <c r="B112" i="2"/>
  <c r="C112" i="2"/>
  <c r="D112" i="2"/>
  <c r="H7" i="1"/>
  <c r="I7" i="1"/>
  <c r="J7" i="1"/>
  <c r="K7" i="1"/>
  <c r="L7" i="1"/>
  <c r="H8" i="1"/>
  <c r="I8" i="1"/>
  <c r="J8" i="1"/>
  <c r="K8" i="1"/>
  <c r="L8" i="1"/>
  <c r="B9" i="1"/>
  <c r="C9" i="1"/>
  <c r="D9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3" i="1"/>
  <c r="I13" i="1"/>
  <c r="J13" i="1"/>
  <c r="K13" i="1"/>
  <c r="L13" i="1"/>
  <c r="B14" i="1"/>
  <c r="C14" i="1"/>
  <c r="D14" i="1"/>
  <c r="B15" i="1"/>
  <c r="C15" i="1"/>
  <c r="D15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B20" i="1"/>
  <c r="C20" i="1"/>
  <c r="D20" i="1"/>
  <c r="I20" i="1"/>
  <c r="J20" i="1"/>
  <c r="B21" i="1"/>
  <c r="C21" i="1"/>
  <c r="D21" i="1"/>
  <c r="I21" i="1"/>
  <c r="J21" i="1"/>
  <c r="B23" i="1"/>
  <c r="C23" i="1"/>
  <c r="D23" i="1"/>
  <c r="C35" i="1"/>
  <c r="D35" i="1"/>
  <c r="H35" i="1"/>
  <c r="C42" i="1"/>
  <c r="D42" i="1"/>
  <c r="H43" i="1"/>
  <c r="C44" i="1"/>
  <c r="D44" i="1"/>
  <c r="H46" i="1"/>
  <c r="H48" i="1"/>
  <c r="C49" i="1"/>
  <c r="D49" i="1"/>
  <c r="H53" i="1"/>
  <c r="H54" i="1"/>
  <c r="H56" i="1"/>
  <c r="C58" i="1"/>
  <c r="D58" i="1"/>
  <c r="H60" i="1"/>
  <c r="H61" i="1"/>
  <c r="C62" i="1"/>
  <c r="D62" i="1"/>
  <c r="H64" i="1"/>
  <c r="H65" i="1"/>
  <c r="I65" i="1"/>
  <c r="H66" i="1"/>
  <c r="H67" i="1"/>
  <c r="H68" i="1"/>
  <c r="H69" i="1"/>
  <c r="H70" i="1"/>
  <c r="C71" i="1"/>
  <c r="D71" i="1"/>
  <c r="H71" i="1"/>
  <c r="H72" i="1"/>
  <c r="H73" i="1"/>
  <c r="H74" i="1"/>
  <c r="H75" i="1"/>
  <c r="I75" i="1"/>
  <c r="H76" i="1"/>
  <c r="H77" i="1"/>
  <c r="H80" i="1"/>
  <c r="H81" i="1"/>
  <c r="H85" i="1"/>
  <c r="B87" i="1"/>
  <c r="C87" i="1"/>
  <c r="D87" i="1"/>
  <c r="B97" i="1"/>
  <c r="C97" i="1"/>
  <c r="D97" i="1"/>
  <c r="B104" i="1"/>
  <c r="C104" i="1"/>
  <c r="D104" i="1"/>
  <c r="B111" i="1"/>
  <c r="C111" i="1"/>
  <c r="D111" i="1"/>
  <c r="B112" i="1"/>
  <c r="C112" i="1"/>
  <c r="D112" i="1"/>
</calcChain>
</file>

<file path=xl/sharedStrings.xml><?xml version="1.0" encoding="utf-8"?>
<sst xmlns="http://schemas.openxmlformats.org/spreadsheetml/2006/main" count="294" uniqueCount="162">
  <si>
    <t>THE HOME DEPOT INC</t>
  </si>
  <si>
    <t>Abridged Annual Report for Fiscal Year 1985</t>
  </si>
  <si>
    <t>CONSOLIDATED STATEMENT OF EARNINGS (000's)</t>
  </si>
  <si>
    <t>Fiscal Year</t>
  </si>
  <si>
    <t>NET SALE (note 2)</t>
  </si>
  <si>
    <t>COST OF MERCHANDISE SOLD</t>
  </si>
  <si>
    <t xml:space="preserve">      GROSS PROFIT</t>
  </si>
  <si>
    <t>OPERATING EXPENSES:</t>
  </si>
  <si>
    <t xml:space="preserve">     Selling and store operating expenses</t>
  </si>
  <si>
    <t xml:space="preserve">      Preopening expenses</t>
  </si>
  <si>
    <t xml:space="preserve">     General and administrative expenses</t>
  </si>
  <si>
    <t xml:space="preserve">              TOTAL OPERATING EXPENSES</t>
  </si>
  <si>
    <t xml:space="preserve">              OPERATING INCOME</t>
  </si>
  <si>
    <t>OTHER INCOME (EXPENSE):</t>
  </si>
  <si>
    <t xml:space="preserve">     Net gain on disposition of property and equipment (note 7)</t>
  </si>
  <si>
    <t>-</t>
  </si>
  <si>
    <t xml:space="preserve">     Interest income</t>
  </si>
  <si>
    <t xml:space="preserve">     Interest expense (note 3)</t>
  </si>
  <si>
    <t xml:space="preserve">          EARNINGS BEFORE INCOME TAXES</t>
  </si>
  <si>
    <t xml:space="preserve">      INCOME TAXES (note 4)</t>
  </si>
  <si>
    <t xml:space="preserve">          NET EARNINGS</t>
  </si>
  <si>
    <t xml:space="preserve">     EARNINGS PER COMMON AND COMMON EQUIVALENT  SHARE (note 5)</t>
  </si>
  <si>
    <t xml:space="preserve">     WEIGHTED AVERAGE NUMBER OF COMMON EQUIVALENT SHARES</t>
  </si>
  <si>
    <t>CONSOLIDATED BALANCE SHEETS</t>
  </si>
  <si>
    <t>ASSETS</t>
  </si>
  <si>
    <t>CURRENT ASSETS:</t>
  </si>
  <si>
    <t xml:space="preserve">      Cash, including time deposits (in 000's) $43,374 in 1985</t>
  </si>
  <si>
    <t xml:space="preserve">      Accounts receivable, net (note 7)</t>
  </si>
  <si>
    <t xml:space="preserve">      Refundable income taxes</t>
  </si>
  <si>
    <t xml:space="preserve">      Merchandise inventories</t>
  </si>
  <si>
    <t xml:space="preserve">     Prepaid expenses</t>
  </si>
  <si>
    <t xml:space="preserve">        Total current assets</t>
  </si>
  <si>
    <t>PROPERTY AND EQUIPMENT, AT COST (note 3)</t>
  </si>
  <si>
    <t xml:space="preserve">     Land</t>
  </si>
  <si>
    <t xml:space="preserve">     Buildings</t>
  </si>
  <si>
    <t xml:space="preserve">     Furniture, fixtures, and equipment</t>
  </si>
  <si>
    <t xml:space="preserve">     Leasehold improvements</t>
  </si>
  <si>
    <t xml:space="preserve">     Construction in progress</t>
  </si>
  <si>
    <t xml:space="preserve">     Less accumulated depreciation and amortization</t>
  </si>
  <si>
    <t xml:space="preserve">     Net property and equipment</t>
  </si>
  <si>
    <t xml:space="preserve">COST IN EXCESS OF THE FAIR VALUE OF NET ASSETS ACQUIRED, net of           </t>
  </si>
  <si>
    <t xml:space="preserve">      accumulated amortization (in 000's) of $730 in 1985 and $93 in 1984 (note 2)</t>
  </si>
  <si>
    <t>OTHER</t>
  </si>
  <si>
    <t>LIABILITIES AND STOCKHOLDERS' EQUITY</t>
  </si>
  <si>
    <t>CURRENT LIABILITES</t>
  </si>
  <si>
    <t xml:space="preserve">     Accounts payable</t>
  </si>
  <si>
    <t xml:space="preserve">     Accrued salaries and related expenses</t>
  </si>
  <si>
    <t xml:space="preserve">     Other accrued expenses</t>
  </si>
  <si>
    <t xml:space="preserve">     Income taxes payable (note 4)</t>
  </si>
  <si>
    <t xml:space="preserve">     Current portion of long-term debt (note 3)</t>
  </si>
  <si>
    <t xml:space="preserve">          Total current liabilites</t>
  </si>
  <si>
    <t>LONG-TERM DEBT, EXCLUDING CURRENT INSTALLMENTS (note 3)</t>
  </si>
  <si>
    <t xml:space="preserve">     Convertible subordinated debentures</t>
  </si>
  <si>
    <t xml:space="preserve">     Other long-term debt</t>
  </si>
  <si>
    <t>OTHER LIABILITES</t>
  </si>
  <si>
    <t>DEFERRED INCOME TAXES (note 4)</t>
  </si>
  <si>
    <t>STOCKHOLDERS' EQUITY (note 5)</t>
  </si>
  <si>
    <t xml:space="preserve">      Common stock, par value $.05.  Authorized: 50,000,000 shares; issued and outstanding -25,150,063 shares at February 2, 1986 and 25,055,188 shares at February 3, 1985</t>
  </si>
  <si>
    <t xml:space="preserve">     Paid-in capital</t>
  </si>
  <si>
    <t xml:space="preserve">     Retained earnings</t>
  </si>
  <si>
    <t xml:space="preserve">          Total stockholders' equity</t>
  </si>
  <si>
    <t>COMMITMENTS AND CONTINGENCIES (notes 5,6, and 8)</t>
  </si>
  <si>
    <t>CONSOLIDATED STATEMENTS OF CHANGES IN FINANCIAL POSITION</t>
  </si>
  <si>
    <t>SOURCES OF WORKING CAPITAL:</t>
  </si>
  <si>
    <t xml:space="preserve">    Net earnings</t>
  </si>
  <si>
    <t xml:space="preserve">    Items which do not use working capital:</t>
  </si>
  <si>
    <t xml:space="preserve">        Depreciation and amortization of property and equipment</t>
  </si>
  <si>
    <t xml:space="preserve">        Deferred income taxes</t>
  </si>
  <si>
    <t xml:space="preserve">        Amortization of cost in excess of the fair value of net assets acquired</t>
  </si>
  <si>
    <t xml:space="preserve">        Net gain on disposition of property and equipment</t>
  </si>
  <si>
    <t xml:space="preserve">        Other</t>
  </si>
  <si>
    <t xml:space="preserve">           WORKING CAPITAL PROVIDED BY OPERATIONS</t>
  </si>
  <si>
    <t xml:space="preserve">        Proceeds from disposition of property and equipment</t>
  </si>
  <si>
    <t xml:space="preserve">        Proceeds from long-term borrowings</t>
  </si>
  <si>
    <t xml:space="preserve">        Proceeds from sales of common stock, net</t>
  </si>
  <si>
    <t>USES OF WORKING CAPITAL:</t>
  </si>
  <si>
    <t xml:space="preserve">     Additions to property and equipment</t>
  </si>
  <si>
    <t xml:space="preserve">     Current installments and repayments of long-term debt</t>
  </si>
  <si>
    <t xml:space="preserve">     Acquisition of Bowater Home Center, Inc., net of  working capital of $99,227.000 (note 2):</t>
  </si>
  <si>
    <t xml:space="preserve">          Property and equipment</t>
  </si>
  <si>
    <t xml:space="preserve">          Cost in excess of the fair value of net assets acquired</t>
  </si>
  <si>
    <t xml:space="preserve">          Other assets, net of liabilities</t>
  </si>
  <si>
    <t xml:space="preserve">    Other, net</t>
  </si>
  <si>
    <t xml:space="preserve">    Increase in working capital</t>
  </si>
  <si>
    <t>CHANGES IN COMPONENTS OF WORKING CAPITAL:</t>
  </si>
  <si>
    <t xml:space="preserve">     Increase (decrease) in current assets:</t>
  </si>
  <si>
    <t xml:space="preserve">     Cash</t>
  </si>
  <si>
    <t xml:space="preserve">        Receivables, net</t>
  </si>
  <si>
    <t xml:space="preserve">        Merchandise inventories</t>
  </si>
  <si>
    <t xml:space="preserve">        Prepaid expenses</t>
  </si>
  <si>
    <t xml:space="preserve">    Increase (decrease) in current liabilites:</t>
  </si>
  <si>
    <t xml:space="preserve">        Accounts payable</t>
  </si>
  <si>
    <t xml:space="preserve">        Accrued salaries and related expenses</t>
  </si>
  <si>
    <t xml:space="preserve">        Other accrued expenses</t>
  </si>
  <si>
    <t xml:space="preserve">        Income taxes payable</t>
  </si>
  <si>
    <t xml:space="preserve">        Current portion of long-term debt</t>
  </si>
  <si>
    <t xml:space="preserve">            INCREASE IN WORKING CAPITAL</t>
  </si>
  <si>
    <t>Financial Ratios</t>
  </si>
  <si>
    <t>Home Depot</t>
  </si>
  <si>
    <t>Profit before Taxes/Sales</t>
  </si>
  <si>
    <t>x Sales/Avg. Assets</t>
  </si>
  <si>
    <t>x Avg. Assets/Avg Equity</t>
  </si>
  <si>
    <t>x (1-Avg. Tax Rate)</t>
  </si>
  <si>
    <t>ROE</t>
  </si>
  <si>
    <t>x (1-Div. Payout Ratio)</t>
  </si>
  <si>
    <t>= Sustainable Growth Rate</t>
  </si>
  <si>
    <t>Gross Profit/Sales</t>
  </si>
  <si>
    <t>SGA/Sales</t>
  </si>
  <si>
    <t>Interest Expenses/Sales</t>
  </si>
  <si>
    <t>Interest Income/Sales</t>
  </si>
  <si>
    <t>Inventory Turnover</t>
  </si>
  <si>
    <t>Average Collection Period (Days)</t>
  </si>
  <si>
    <t>Average Accounts Payable Period (Days)</t>
  </si>
  <si>
    <t>Notes</t>
  </si>
  <si>
    <t>Pro forma w/acquisition shows net earnings of $9,009,000 in 1985 and $6,913,000 in 1984</t>
  </si>
  <si>
    <t>CASH FLOW STATEMENT</t>
  </si>
  <si>
    <t>Cash Provided from Operations</t>
  </si>
  <si>
    <t>Net earnings</t>
  </si>
  <si>
    <t>Depreciation</t>
  </si>
  <si>
    <t>Deferred income taxes</t>
  </si>
  <si>
    <t>Amortization</t>
  </si>
  <si>
    <t>Other</t>
  </si>
  <si>
    <t>Inventories</t>
  </si>
  <si>
    <t>Prepaid Expenses</t>
  </si>
  <si>
    <t>Accounts Payable</t>
  </si>
  <si>
    <t>Accounts Receivable</t>
  </si>
  <si>
    <t>Accrued Salaries</t>
  </si>
  <si>
    <t>Other accrued expenses</t>
  </si>
  <si>
    <t>Income tax payable</t>
  </si>
  <si>
    <t>Cash Provided from Investments</t>
  </si>
  <si>
    <t>Proceeds from sale of PPE inc. Gain</t>
  </si>
  <si>
    <t>Additions to PPE</t>
  </si>
  <si>
    <t>Cash Provided from Financing</t>
  </si>
  <si>
    <t>Proceeds from LT Debt</t>
  </si>
  <si>
    <t>Proceeds from sale of stock</t>
  </si>
  <si>
    <t>Current Installment of LT Debt</t>
  </si>
  <si>
    <t>Change in Cash</t>
  </si>
  <si>
    <t>w/adj</t>
  </si>
  <si>
    <t>Depreciation &amp; Amortization</t>
  </si>
  <si>
    <t>Growth Assumption:</t>
  </si>
  <si>
    <t>as % of Sales</t>
  </si>
  <si>
    <t>Cash Flow from Operations</t>
  </si>
  <si>
    <t>ProForma Cash Flow Statement</t>
  </si>
  <si>
    <t>Upkeep on depreciated assets</t>
  </si>
  <si>
    <t>New store acquisitions (9)</t>
  </si>
  <si>
    <t>=Associated w/9 new stores</t>
  </si>
  <si>
    <t>Leasehold improvements</t>
  </si>
  <si>
    <t>=Subtract out "construction in progress" from previous year's balance sheet</t>
  </si>
  <si>
    <t>Cash flow from Investments</t>
  </si>
  <si>
    <t>Includes 30% growth</t>
  </si>
  <si>
    <t>Maturation of LT debt</t>
  </si>
  <si>
    <t>per Note 3</t>
  </si>
  <si>
    <t>Interest Expense</t>
  </si>
  <si>
    <t>Plug</t>
  </si>
  <si>
    <t>EBIT</t>
  </si>
  <si>
    <t>Income Taxes Paid</t>
  </si>
  <si>
    <t>Cash as of Feb 1986</t>
  </si>
  <si>
    <t>Cash as of Feb 1987</t>
  </si>
  <si>
    <t>Need for further financing</t>
  </si>
  <si>
    <t>Cash flow from Financing</t>
  </si>
  <si>
    <t>Includes $10,206 from previous year's int. exp.</t>
  </si>
  <si>
    <t>Answer to question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</si>
</sst>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17">
    <font>
      <sz val="10"/>
      <name val="Geneva"/>
    </font>
    <font>
      <sz val="10"/>
      <name val="Geneva"/>
    </font>
    <font>
      <sz val="10"/>
      <name val="Tms Rmn"/>
    </font>
    <font>
      <sz val="9"/>
      <name val="Tms Rmn"/>
    </font>
    <font>
      <u/>
      <sz val="9"/>
      <name val="Tms Rmn"/>
    </font>
    <font>
      <b/>
      <sz val="9"/>
      <name val="Tms Rmn"/>
    </font>
    <font>
      <sz val="9"/>
      <name val="Geneva"/>
    </font>
    <font>
      <sz val="10"/>
      <color indexed="9"/>
      <name val="Tms Rmn"/>
    </font>
    <font>
      <b/>
      <sz val="10"/>
      <name val="Tms Rmn"/>
    </font>
    <font>
      <sz val="12"/>
      <name val="Tms Rmn"/>
    </font>
    <font>
      <b/>
      <sz val="9"/>
      <name val="Geneva"/>
    </font>
    <font>
      <b/>
      <sz val="12"/>
      <name val="Times New Roman"/>
      <family val="1"/>
    </font>
    <font>
      <sz val="9"/>
      <name val="Times New Roman"/>
      <family val="1"/>
    </font>
    <font>
      <u/>
      <sz val="10"/>
      <name val="Tms Rmn"/>
    </font>
    <font>
      <b/>
      <i/>
      <sz val="10"/>
      <name val="Tms Rmn"/>
    </font>
    <font>
      <b/>
      <i/>
      <sz val="9"/>
      <name val="Tms Rmn"/>
    </font>
    <font>
      <b/>
      <u/>
      <sz val="10"/>
      <name val="Tms Rmn"/>
    </font>
  </fonts>
  <fills count="4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5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5" fontId="3" fillId="0" borderId="0" xfId="0" applyNumberFormat="1" applyFont="1" applyAlignment="1">
      <alignment horizontal="center" wrapText="1"/>
    </xf>
    <xf numFmtId="5" fontId="3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5" fontId="3" fillId="0" borderId="1" xfId="0" applyNumberFormat="1" applyFont="1" applyBorder="1" applyAlignment="1">
      <alignment horizontal="right"/>
    </xf>
    <xf numFmtId="5" fontId="2" fillId="0" borderId="0" xfId="0" applyNumberFormat="1" applyFont="1" applyAlignment="1">
      <alignment horizontal="right"/>
    </xf>
    <xf numFmtId="15" fontId="7" fillId="2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5" fontId="4" fillId="0" borderId="0" xfId="0" applyNumberFormat="1" applyFont="1" applyBorder="1" applyAlignment="1">
      <alignment horizontal="right"/>
    </xf>
    <xf numFmtId="5" fontId="4" fillId="0" borderId="0" xfId="0" applyNumberFormat="1" applyFont="1" applyAlignment="1">
      <alignment horizontal="right"/>
    </xf>
    <xf numFmtId="5" fontId="4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/>
    <xf numFmtId="0" fontId="5" fillId="0" borderId="1" xfId="0" applyFont="1" applyBorder="1"/>
    <xf numFmtId="0" fontId="8" fillId="0" borderId="0" xfId="0" applyFont="1"/>
    <xf numFmtId="0" fontId="8" fillId="0" borderId="0" xfId="0" applyFont="1" applyBorder="1"/>
    <xf numFmtId="0" fontId="2" fillId="0" borderId="0" xfId="0" applyFont="1" applyBorder="1"/>
    <xf numFmtId="15" fontId="7" fillId="2" borderId="3" xfId="0" applyNumberFormat="1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5" fontId="5" fillId="0" borderId="0" xfId="0" applyNumberFormat="1" applyFont="1" applyBorder="1" applyAlignment="1">
      <alignment horizontal="right"/>
    </xf>
    <xf numFmtId="5" fontId="5" fillId="0" borderId="0" xfId="0" applyNumberFormat="1" applyFont="1" applyAlignment="1">
      <alignment horizontal="right"/>
    </xf>
    <xf numFmtId="5" fontId="10" fillId="0" borderId="0" xfId="0" applyNumberFormat="1" applyFont="1" applyAlignment="1">
      <alignment horizontal="right"/>
    </xf>
    <xf numFmtId="37" fontId="3" fillId="0" borderId="1" xfId="0" applyNumberFormat="1" applyFont="1" applyBorder="1" applyAlignment="1">
      <alignment horizontal="right"/>
    </xf>
    <xf numFmtId="0" fontId="13" fillId="0" borderId="0" xfId="0" applyFont="1"/>
    <xf numFmtId="15" fontId="2" fillId="0" borderId="0" xfId="0" applyNumberFormat="1" applyFont="1"/>
    <xf numFmtId="0" fontId="14" fillId="0" borderId="0" xfId="0" applyFont="1"/>
    <xf numFmtId="5" fontId="15" fillId="0" borderId="0" xfId="0" applyNumberFormat="1" applyFont="1" applyAlignment="1">
      <alignment horizontal="right"/>
    </xf>
    <xf numFmtId="10" fontId="2" fillId="0" borderId="0" xfId="2" applyNumberFormat="1" applyFont="1"/>
    <xf numFmtId="0" fontId="2" fillId="0" borderId="0" xfId="0" quotePrefix="1" applyFont="1"/>
    <xf numFmtId="0" fontId="2" fillId="3" borderId="4" xfId="0" applyFont="1" applyFill="1" applyBorder="1"/>
    <xf numFmtId="0" fontId="2" fillId="3" borderId="3" xfId="0" applyFont="1" applyFill="1" applyBorder="1"/>
    <xf numFmtId="9" fontId="2" fillId="3" borderId="5" xfId="0" applyNumberFormat="1" applyFont="1" applyFill="1" applyBorder="1"/>
    <xf numFmtId="0" fontId="8" fillId="3" borderId="6" xfId="0" applyFont="1" applyFill="1" applyBorder="1"/>
    <xf numFmtId="0" fontId="8" fillId="3" borderId="0" xfId="0" applyFont="1" applyFill="1" applyBorder="1"/>
    <xf numFmtId="17" fontId="16" fillId="3" borderId="7" xfId="0" applyNumberFormat="1" applyFont="1" applyFill="1" applyBorder="1"/>
    <xf numFmtId="0" fontId="2" fillId="3" borderId="6" xfId="0" applyFont="1" applyFill="1" applyBorder="1"/>
    <xf numFmtId="0" fontId="2" fillId="3" borderId="0" xfId="0" applyFont="1" applyFill="1" applyBorder="1"/>
    <xf numFmtId="5" fontId="3" fillId="3" borderId="7" xfId="0" applyNumberFormat="1" applyFont="1" applyFill="1" applyBorder="1" applyAlignment="1">
      <alignment horizontal="right"/>
    </xf>
    <xf numFmtId="0" fontId="8" fillId="3" borderId="6" xfId="0" applyFont="1" applyFill="1" applyBorder="1" applyAlignment="1">
      <alignment horizontal="right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5" fontId="4" fillId="3" borderId="7" xfId="0" applyNumberFormat="1" applyFont="1" applyFill="1" applyBorder="1" applyAlignment="1">
      <alignment horizontal="right"/>
    </xf>
    <xf numFmtId="7" fontId="3" fillId="3" borderId="7" xfId="0" applyNumberFormat="1" applyFont="1" applyFill="1" applyBorder="1" applyAlignment="1">
      <alignment horizontal="right"/>
    </xf>
    <xf numFmtId="0" fontId="2" fillId="3" borderId="6" xfId="0" applyFont="1" applyFill="1" applyBorder="1" applyAlignment="1">
      <alignment horizontal="left"/>
    </xf>
    <xf numFmtId="0" fontId="16" fillId="0" borderId="0" xfId="0" applyFont="1"/>
    <xf numFmtId="0" fontId="2" fillId="3" borderId="0" xfId="0" applyFont="1" applyFill="1"/>
    <xf numFmtId="0" fontId="3" fillId="3" borderId="0" xfId="0" applyFont="1" applyFill="1"/>
    <xf numFmtId="15" fontId="7" fillId="3" borderId="2" xfId="0" applyNumberFormat="1" applyFont="1" applyFill="1" applyBorder="1" applyAlignment="1">
      <alignment horizontal="center"/>
    </xf>
    <xf numFmtId="10" fontId="12" fillId="3" borderId="0" xfId="2" applyNumberFormat="1" applyFont="1" applyFill="1"/>
    <xf numFmtId="2" fontId="12" fillId="3" borderId="0" xfId="0" applyNumberFormat="1" applyFont="1" applyFill="1"/>
    <xf numFmtId="0" fontId="12" fillId="3" borderId="0" xfId="0" applyFont="1" applyFill="1"/>
    <xf numFmtId="40" fontId="12" fillId="3" borderId="0" xfId="1" applyFont="1" applyFill="1"/>
    <xf numFmtId="15" fontId="7" fillId="3" borderId="9" xfId="0" applyNumberFormat="1" applyFont="1" applyFill="1" applyBorder="1" applyAlignment="1">
      <alignment horizontal="center"/>
    </xf>
    <xf numFmtId="15" fontId="7" fillId="3" borderId="11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9"/>
  <sheetViews>
    <sheetView tabSelected="1" topLeftCell="E1" zoomScale="85" workbookViewId="0">
      <selection activeCell="J19" sqref="J19"/>
    </sheetView>
  </sheetViews>
  <sheetFormatPr defaultColWidth="10.6640625" defaultRowHeight="12.6"/>
  <cols>
    <col min="1" max="1" width="51.88671875" style="1" customWidth="1"/>
    <col min="2" max="2" width="8.5546875" style="1" bestFit="1" customWidth="1"/>
    <col min="3" max="3" width="9.5546875" style="1" bestFit="1" customWidth="1"/>
    <col min="4" max="4" width="8.5546875" style="1" bestFit="1" customWidth="1"/>
    <col min="5" max="5" width="5.6640625" style="1" customWidth="1"/>
    <col min="6" max="6" width="25.6640625" style="1" bestFit="1" customWidth="1"/>
    <col min="7" max="7" width="2.109375" style="1" customWidth="1"/>
    <col min="8" max="16384" width="10.6640625" style="1"/>
  </cols>
  <sheetData>
    <row r="1" spans="1:12" ht="13.2">
      <c r="A1" s="19" t="s">
        <v>0</v>
      </c>
      <c r="B1"/>
      <c r="C1"/>
    </row>
    <row r="2" spans="1:12" ht="13.2">
      <c r="A2" s="3" t="s">
        <v>1</v>
      </c>
      <c r="B2"/>
    </row>
    <row r="4" spans="1:12" ht="15.6">
      <c r="A4"/>
      <c r="F4" s="56"/>
      <c r="G4" s="56"/>
      <c r="H4" s="65" t="s">
        <v>98</v>
      </c>
      <c r="I4" s="65"/>
      <c r="J4" s="65"/>
      <c r="K4" s="65"/>
      <c r="L4" s="56"/>
    </row>
    <row r="5" spans="1:12" ht="16.2" thickBot="1">
      <c r="A5" s="20" t="s">
        <v>2</v>
      </c>
      <c r="C5" s="1" t="s">
        <v>3</v>
      </c>
      <c r="F5" s="57" t="s">
        <v>97</v>
      </c>
      <c r="G5" s="57"/>
      <c r="H5" s="64" t="s">
        <v>137</v>
      </c>
      <c r="I5" s="56"/>
      <c r="J5" s="56"/>
      <c r="K5" s="56"/>
      <c r="L5" s="56"/>
    </row>
    <row r="6" spans="1:12" ht="13.2" thickBot="1">
      <c r="B6" s="13">
        <v>29983</v>
      </c>
      <c r="C6" s="13">
        <v>29619</v>
      </c>
      <c r="D6" s="13">
        <v>29248</v>
      </c>
      <c r="F6" s="57"/>
      <c r="G6" s="57"/>
      <c r="H6" s="63">
        <v>29983</v>
      </c>
      <c r="I6" s="58">
        <v>29983</v>
      </c>
      <c r="J6" s="58">
        <v>29619</v>
      </c>
      <c r="K6" s="58">
        <v>29248</v>
      </c>
      <c r="L6" s="58">
        <v>28884</v>
      </c>
    </row>
    <row r="7" spans="1:12">
      <c r="A7" s="4" t="s">
        <v>4</v>
      </c>
      <c r="B7" s="9">
        <v>700729</v>
      </c>
      <c r="C7" s="9">
        <v>432779</v>
      </c>
      <c r="D7" s="9">
        <v>256184</v>
      </c>
      <c r="F7" s="57" t="s">
        <v>99</v>
      </c>
      <c r="G7" s="57"/>
      <c r="H7" s="59">
        <f>(B21-B17)/B7</f>
        <v>1.4701831949298517E-2</v>
      </c>
      <c r="I7" s="59">
        <f>B21/B7</f>
        <v>1.658130318568234E-2</v>
      </c>
      <c r="J7" s="59">
        <f>26252/432779</f>
        <v>6.0659135494097446E-2</v>
      </c>
      <c r="K7" s="59">
        <f>18986/256184</f>
        <v>7.4110795365830803E-2</v>
      </c>
      <c r="L7" s="59">
        <f>9870/117645</f>
        <v>8.3896468188193296E-2</v>
      </c>
    </row>
    <row r="8" spans="1:12">
      <c r="A8" s="4" t="s">
        <v>5</v>
      </c>
      <c r="B8" s="15">
        <v>519272</v>
      </c>
      <c r="C8" s="15">
        <v>318460</v>
      </c>
      <c r="D8" s="15">
        <v>186170</v>
      </c>
      <c r="F8" s="57" t="s">
        <v>100</v>
      </c>
      <c r="G8" s="57"/>
      <c r="H8" s="60">
        <f>B7/((C49+D49-(10/12)*38420)/2)</f>
        <v>2.3453780804754603</v>
      </c>
      <c r="I8" s="60">
        <f>B7/((C49+D49)/2)</f>
        <v>2.2261018462188491</v>
      </c>
      <c r="J8" s="60">
        <f>432779/((249364+105230)/2)</f>
        <v>2.4409832089657466</v>
      </c>
      <c r="K8" s="60">
        <f>256184/((105230+33014)/2)</f>
        <v>3.7062584994647145</v>
      </c>
      <c r="L8" s="60">
        <f>117645/((330114+16906)/2)</f>
        <v>0.67803008472134174</v>
      </c>
    </row>
    <row r="9" spans="1:12">
      <c r="A9" s="4" t="s">
        <v>6</v>
      </c>
      <c r="B9" s="16">
        <f>(B7-B8)</f>
        <v>181457</v>
      </c>
      <c r="C9" s="16">
        <f>(C7-C8)</f>
        <v>114319</v>
      </c>
      <c r="D9" s="16">
        <f>(D7-D8)</f>
        <v>70014</v>
      </c>
      <c r="F9" s="57" t="s">
        <v>101</v>
      </c>
      <c r="G9" s="57"/>
      <c r="H9" s="60">
        <f>((C49+D49-(10/12)*38420)/2)/((C69+D69)/2)</f>
        <v>3.5293511944841494</v>
      </c>
      <c r="I9" s="60">
        <f>((C49+D49)/2)/((C69+D69)/2)</f>
        <v>3.718456522509539</v>
      </c>
      <c r="J9" s="60">
        <f>((249364+105230)/2)/((80214+65278)/2)</f>
        <v>2.4372061694113767</v>
      </c>
      <c r="K9" s="60">
        <f>((105230+33014)/2)/((65278+18354)/2)</f>
        <v>1.6530036349722594</v>
      </c>
      <c r="L9" s="60">
        <f>((33014+16906)/2)/((18354+5024)/2)</f>
        <v>2.1353409188125587</v>
      </c>
    </row>
    <row r="10" spans="1:12">
      <c r="A10" s="4" t="s">
        <v>7</v>
      </c>
      <c r="B10" s="9"/>
      <c r="C10" s="9"/>
      <c r="D10" s="9"/>
      <c r="F10" s="57" t="s">
        <v>102</v>
      </c>
      <c r="G10" s="57"/>
      <c r="H10" s="59">
        <f>(1-0.293)</f>
        <v>0.70700000000000007</v>
      </c>
      <c r="I10" s="59">
        <f>(1-0.293)</f>
        <v>0.70700000000000007</v>
      </c>
      <c r="J10" s="59">
        <f>(14122/26252)</f>
        <v>0.53793996647874442</v>
      </c>
      <c r="K10" s="59">
        <f>10261/18986</f>
        <v>0.54045085852733599</v>
      </c>
      <c r="L10" s="59">
        <f>5315/9870</f>
        <v>0.53850050658561299</v>
      </c>
    </row>
    <row r="11" spans="1:12">
      <c r="A11" s="4" t="s">
        <v>8</v>
      </c>
      <c r="B11" s="9">
        <v>134354</v>
      </c>
      <c r="C11" s="9">
        <v>74447</v>
      </c>
      <c r="D11" s="9">
        <v>43514</v>
      </c>
      <c r="F11" s="57" t="s">
        <v>103</v>
      </c>
      <c r="G11" s="57"/>
      <c r="H11" s="59">
        <f>H7*H8*H9*H10</f>
        <v>8.6039644194535372E-2</v>
      </c>
      <c r="I11" s="59">
        <f>I7*I8*I9*I10</f>
        <v>9.7038888166987608E-2</v>
      </c>
      <c r="J11" s="59">
        <f>J7*J8*J9*J10</f>
        <v>0.19412751216561733</v>
      </c>
      <c r="K11" s="59">
        <f>K7*K8*K9*K10</f>
        <v>0.24538454180218103</v>
      </c>
      <c r="L11" s="59">
        <f>L7*L8*L9*L10</f>
        <v>6.5410275969619916E-2</v>
      </c>
    </row>
    <row r="12" spans="1:12">
      <c r="A12" s="4" t="s">
        <v>9</v>
      </c>
      <c r="B12" s="9">
        <v>7521</v>
      </c>
      <c r="C12" s="9">
        <v>1917</v>
      </c>
      <c r="D12" s="9">
        <v>2456</v>
      </c>
      <c r="F12" s="57" t="s">
        <v>104</v>
      </c>
      <c r="G12" s="57"/>
      <c r="H12" s="61">
        <v>1</v>
      </c>
      <c r="I12" s="61">
        <v>1</v>
      </c>
      <c r="J12" s="61">
        <v>1</v>
      </c>
      <c r="K12" s="61">
        <v>1</v>
      </c>
      <c r="L12" s="61">
        <v>1</v>
      </c>
    </row>
    <row r="13" spans="1:12">
      <c r="A13" s="4" t="s">
        <v>10</v>
      </c>
      <c r="B13" s="16">
        <v>20555</v>
      </c>
      <c r="C13" s="16">
        <v>12817</v>
      </c>
      <c r="D13" s="16">
        <v>7376</v>
      </c>
      <c r="F13" s="57" t="s">
        <v>105</v>
      </c>
      <c r="G13" s="57"/>
      <c r="H13" s="59">
        <f>H11*H12</f>
        <v>8.6039644194535372E-2</v>
      </c>
      <c r="I13" s="59">
        <f>I11*I12</f>
        <v>9.7038888166987608E-2</v>
      </c>
      <c r="J13" s="59">
        <f>J11*J12</f>
        <v>0.19412751216561733</v>
      </c>
      <c r="K13" s="59">
        <f>K11*K12</f>
        <v>0.24538454180218103</v>
      </c>
      <c r="L13" s="59">
        <f>L11*L12</f>
        <v>6.5410275969619916E-2</v>
      </c>
    </row>
    <row r="14" spans="1:12">
      <c r="A14" s="4" t="s">
        <v>11</v>
      </c>
      <c r="B14" s="16">
        <f>SUM(B11:B13)</f>
        <v>162430</v>
      </c>
      <c r="C14" s="16">
        <f>SUM(C11:C13)</f>
        <v>89181</v>
      </c>
      <c r="D14" s="16">
        <f>SUM(D11:D13)</f>
        <v>53346</v>
      </c>
      <c r="F14" s="57"/>
      <c r="G14" s="57"/>
      <c r="H14" s="56"/>
      <c r="I14" s="61"/>
      <c r="J14" s="61"/>
      <c r="K14" s="61"/>
      <c r="L14" s="56"/>
    </row>
    <row r="15" spans="1:12">
      <c r="A15" s="4" t="s">
        <v>12</v>
      </c>
      <c r="B15" s="9">
        <f>(B9-B14)</f>
        <v>19027</v>
      </c>
      <c r="C15" s="9">
        <f>(C9-C14)</f>
        <v>25138</v>
      </c>
      <c r="D15" s="9">
        <f>(D9-D14)</f>
        <v>16668</v>
      </c>
      <c r="F15" s="57" t="s">
        <v>106</v>
      </c>
      <c r="G15" s="57"/>
      <c r="H15" s="59"/>
      <c r="I15" s="59">
        <f>B9/B7</f>
        <v>0.25895460299202688</v>
      </c>
      <c r="J15" s="59">
        <f>C9/C7</f>
        <v>0.26415098699336148</v>
      </c>
      <c r="K15" s="59">
        <f>D9/D7</f>
        <v>0.27329575617524904</v>
      </c>
      <c r="L15" s="56"/>
    </row>
    <row r="16" spans="1:12">
      <c r="A16" s="4" t="s">
        <v>13</v>
      </c>
      <c r="B16" s="9"/>
      <c r="C16" s="9"/>
      <c r="D16" s="9"/>
      <c r="F16" s="57" t="s">
        <v>107</v>
      </c>
      <c r="G16" s="57"/>
      <c r="H16" s="59"/>
      <c r="I16" s="59">
        <f>B11/B7</f>
        <v>0.19173460781557491</v>
      </c>
      <c r="J16" s="59">
        <f>C11/C7</f>
        <v>0.17202082356121715</v>
      </c>
      <c r="K16" s="59">
        <f>D11/D7</f>
        <v>0.16985447959279268</v>
      </c>
      <c r="L16" s="56"/>
    </row>
    <row r="17" spans="1:12">
      <c r="A17" s="4" t="s">
        <v>14</v>
      </c>
      <c r="B17" s="9">
        <v>1317</v>
      </c>
      <c r="C17" s="29" t="s">
        <v>15</v>
      </c>
      <c r="D17" s="29" t="s">
        <v>15</v>
      </c>
      <c r="F17" s="57" t="s">
        <v>108</v>
      </c>
      <c r="G17" s="57"/>
      <c r="H17" s="59"/>
      <c r="I17" s="59">
        <f>B19/B7</f>
        <v>-1.4564831768058693E-2</v>
      </c>
      <c r="J17" s="59">
        <f>C19/C7</f>
        <v>-9.5244917151710226E-3</v>
      </c>
      <c r="K17" s="59">
        <f>D19/D7</f>
        <v>-4.059582175311495E-4</v>
      </c>
      <c r="L17" s="56"/>
    </row>
    <row r="18" spans="1:12">
      <c r="A18" s="4" t="s">
        <v>16</v>
      </c>
      <c r="B18" s="9">
        <v>1481</v>
      </c>
      <c r="C18" s="9">
        <v>5236</v>
      </c>
      <c r="D18" s="9">
        <v>2422</v>
      </c>
      <c r="F18" s="57" t="s">
        <v>109</v>
      </c>
      <c r="G18" s="57"/>
      <c r="H18" s="59"/>
      <c r="I18" s="59">
        <f>B18/B7</f>
        <v>2.1135132126685208E-3</v>
      </c>
      <c r="J18" s="59">
        <f>C18/C7</f>
        <v>1.2098553765316709E-2</v>
      </c>
      <c r="K18" s="59">
        <f>D18/D7</f>
        <v>9.4541423351965775E-3</v>
      </c>
      <c r="L18" s="56"/>
    </row>
    <row r="19" spans="1:12">
      <c r="A19" s="4" t="s">
        <v>17</v>
      </c>
      <c r="B19" s="16">
        <v>-10206</v>
      </c>
      <c r="C19" s="16">
        <v>-4122</v>
      </c>
      <c r="D19" s="16">
        <v>-104</v>
      </c>
      <c r="F19" s="57" t="s">
        <v>110</v>
      </c>
      <c r="G19" s="57"/>
      <c r="H19" s="56"/>
      <c r="I19" s="60">
        <f>B8/C33</f>
        <v>3.40060248853962</v>
      </c>
      <c r="J19" s="60">
        <f>C8/D33</f>
        <v>3.7891154843776027</v>
      </c>
      <c r="K19" s="60"/>
      <c r="L19" s="56"/>
    </row>
    <row r="20" spans="1:12">
      <c r="A20" s="4"/>
      <c r="B20" s="16">
        <f>SUM(B17:B19)</f>
        <v>-7408</v>
      </c>
      <c r="C20" s="16">
        <f>SUM(C17:C19)</f>
        <v>1114</v>
      </c>
      <c r="D20" s="16">
        <f>SUM(D17:D19)</f>
        <v>2318</v>
      </c>
      <c r="F20" s="57" t="s">
        <v>111</v>
      </c>
      <c r="G20" s="57"/>
      <c r="H20" s="56"/>
      <c r="I20" s="62">
        <f>C31/(B7/365)</f>
        <v>11.201655704273692</v>
      </c>
      <c r="J20" s="62">
        <f>D31/(C7/365)</f>
        <v>7.8983153064266052</v>
      </c>
      <c r="K20" s="61"/>
      <c r="L20" s="56"/>
    </row>
    <row r="21" spans="1:12">
      <c r="A21" s="4" t="s">
        <v>18</v>
      </c>
      <c r="B21" s="9">
        <f>SUM(B15+B20)</f>
        <v>11619</v>
      </c>
      <c r="C21" s="9">
        <f>SUM(C15+C20)</f>
        <v>26252</v>
      </c>
      <c r="D21" s="9">
        <f>SUM(D15+D20)</f>
        <v>18986</v>
      </c>
      <c r="F21" s="57" t="s">
        <v>112</v>
      </c>
      <c r="G21" s="57"/>
      <c r="H21" s="56"/>
      <c r="I21" s="62">
        <f>C53/(B8/365)</f>
        <v>37.873339983669446</v>
      </c>
      <c r="J21" s="62">
        <f>D53/(C8/365)</f>
        <v>37.084531809332411</v>
      </c>
      <c r="K21" s="61"/>
      <c r="L21" s="56"/>
    </row>
    <row r="22" spans="1:12">
      <c r="A22" s="4" t="s">
        <v>19</v>
      </c>
      <c r="B22" s="16">
        <v>3400</v>
      </c>
      <c r="C22" s="16">
        <v>12130</v>
      </c>
      <c r="D22" s="16">
        <v>8725</v>
      </c>
    </row>
    <row r="23" spans="1:12">
      <c r="A23" s="5" t="s">
        <v>20</v>
      </c>
      <c r="B23" s="17">
        <f>(B21-B22)</f>
        <v>8219</v>
      </c>
      <c r="C23" s="17">
        <f>(C21-C22)</f>
        <v>14122</v>
      </c>
      <c r="D23" s="17">
        <f>(D21-D22)</f>
        <v>10261</v>
      </c>
    </row>
    <row r="24" spans="1:12" ht="21.75" customHeight="1">
      <c r="A24" s="6" t="s">
        <v>21</v>
      </c>
      <c r="B24" s="18">
        <v>0.33</v>
      </c>
      <c r="C24" s="18">
        <v>0.56000000000000005</v>
      </c>
      <c r="D24" s="18">
        <v>0.41</v>
      </c>
      <c r="F24" s="32" t="s">
        <v>113</v>
      </c>
    </row>
    <row r="25" spans="1:12" ht="21.75" customHeight="1">
      <c r="A25" s="6" t="s">
        <v>22</v>
      </c>
      <c r="B25" s="31">
        <v>25247</v>
      </c>
      <c r="C25" s="31">
        <v>25302</v>
      </c>
      <c r="D25" s="31">
        <v>24834</v>
      </c>
      <c r="F25" s="1" t="s">
        <v>114</v>
      </c>
    </row>
    <row r="27" spans="1:12" ht="16.2" thickBot="1">
      <c r="A27" s="20" t="s">
        <v>23</v>
      </c>
    </row>
    <row r="28" spans="1:12" ht="13.8" thickBot="1">
      <c r="A28" s="22" t="s">
        <v>24</v>
      </c>
      <c r="C28" s="13">
        <v>29983</v>
      </c>
      <c r="D28" s="13">
        <v>29619</v>
      </c>
      <c r="E28"/>
    </row>
    <row r="29" spans="1:12">
      <c r="A29" s="4" t="s">
        <v>25</v>
      </c>
      <c r="B29" s="4"/>
      <c r="C29" s="4"/>
      <c r="D29" s="4"/>
      <c r="F29" s="1" t="s">
        <v>115</v>
      </c>
    </row>
    <row r="30" spans="1:12">
      <c r="A30" s="4" t="s">
        <v>26</v>
      </c>
      <c r="B30" s="4"/>
      <c r="C30" s="9">
        <v>9671</v>
      </c>
      <c r="D30" s="9">
        <v>52062</v>
      </c>
      <c r="F30" s="22" t="s">
        <v>116</v>
      </c>
      <c r="H30" s="33">
        <v>29982</v>
      </c>
      <c r="I30" s="33">
        <v>29618</v>
      </c>
      <c r="J30" s="33">
        <v>29247</v>
      </c>
    </row>
    <row r="31" spans="1:12">
      <c r="A31" s="4" t="s">
        <v>27</v>
      </c>
      <c r="B31" s="4"/>
      <c r="C31" s="9">
        <v>21505</v>
      </c>
      <c r="D31" s="9">
        <v>9365</v>
      </c>
      <c r="F31" s="1" t="s">
        <v>117</v>
      </c>
      <c r="H31" s="9">
        <v>8219</v>
      </c>
      <c r="I31" s="9"/>
      <c r="J31" s="9"/>
    </row>
    <row r="32" spans="1:12">
      <c r="A32" s="4" t="s">
        <v>28</v>
      </c>
      <c r="B32" s="4"/>
      <c r="C32" s="9">
        <v>3659</v>
      </c>
      <c r="D32" s="29" t="s">
        <v>15</v>
      </c>
      <c r="F32" s="1" t="s">
        <v>118</v>
      </c>
      <c r="H32" s="9">
        <v>4376</v>
      </c>
      <c r="I32" s="9"/>
      <c r="J32" s="9"/>
    </row>
    <row r="33" spans="1:10">
      <c r="A33" s="4" t="s">
        <v>29</v>
      </c>
      <c r="B33" s="4"/>
      <c r="C33" s="9">
        <v>152700</v>
      </c>
      <c r="D33" s="9">
        <v>84046</v>
      </c>
      <c r="F33" s="1" t="s">
        <v>119</v>
      </c>
      <c r="H33" s="9">
        <v>3612</v>
      </c>
      <c r="I33" s="9"/>
      <c r="J33" s="9"/>
    </row>
    <row r="34" spans="1:10">
      <c r="A34" s="4" t="s">
        <v>30</v>
      </c>
      <c r="B34" s="4"/>
      <c r="C34" s="16">
        <v>2526</v>
      </c>
      <c r="D34" s="16">
        <v>1939</v>
      </c>
      <c r="F34" s="1" t="s">
        <v>120</v>
      </c>
      <c r="H34" s="9">
        <v>637</v>
      </c>
      <c r="I34" s="9"/>
      <c r="J34" s="9"/>
    </row>
    <row r="35" spans="1:10">
      <c r="A35" s="5" t="s">
        <v>31</v>
      </c>
      <c r="B35" s="5"/>
      <c r="C35" s="17">
        <f>SUM(C30:C34)</f>
        <v>190061</v>
      </c>
      <c r="D35" s="17">
        <f>SUM(D30:D34)</f>
        <v>147412</v>
      </c>
      <c r="F35" s="1" t="s">
        <v>121</v>
      </c>
      <c r="H35" s="9">
        <f>180-1728</f>
        <v>-1548</v>
      </c>
      <c r="I35" s="9"/>
      <c r="J35" s="9"/>
    </row>
    <row r="36" spans="1:10">
      <c r="A36" s="4" t="s">
        <v>32</v>
      </c>
      <c r="B36" s="4"/>
      <c r="C36" s="9"/>
      <c r="D36" s="9"/>
      <c r="F36" s="1" t="s">
        <v>125</v>
      </c>
      <c r="H36" s="9">
        <v>-15799</v>
      </c>
      <c r="I36" s="9"/>
      <c r="J36" s="9"/>
    </row>
    <row r="37" spans="1:10">
      <c r="A37" s="4" t="s">
        <v>33</v>
      </c>
      <c r="B37" s="4"/>
      <c r="C37" s="9">
        <v>44396</v>
      </c>
      <c r="D37" s="9">
        <v>30044</v>
      </c>
      <c r="F37" s="1" t="s">
        <v>122</v>
      </c>
      <c r="H37" s="9">
        <v>-68654</v>
      </c>
      <c r="I37" s="9"/>
      <c r="J37" s="9"/>
    </row>
    <row r="38" spans="1:10">
      <c r="A38" s="4" t="s">
        <v>34</v>
      </c>
      <c r="B38" s="4"/>
      <c r="C38" s="9">
        <v>38005</v>
      </c>
      <c r="D38" s="9">
        <v>3728</v>
      </c>
      <c r="F38" s="1" t="s">
        <v>123</v>
      </c>
      <c r="H38" s="9">
        <v>-587</v>
      </c>
      <c r="I38" s="9"/>
      <c r="J38" s="9"/>
    </row>
    <row r="39" spans="1:10">
      <c r="A39" s="4" t="s">
        <v>35</v>
      </c>
      <c r="B39" s="4"/>
      <c r="C39" s="9">
        <v>34786</v>
      </c>
      <c r="D39" s="9">
        <v>18162</v>
      </c>
      <c r="F39" s="1" t="s">
        <v>124</v>
      </c>
      <c r="H39" s="9">
        <v>21525</v>
      </c>
      <c r="I39" s="9"/>
      <c r="J39" s="9"/>
    </row>
    <row r="40" spans="1:10">
      <c r="A40" s="4" t="s">
        <v>36</v>
      </c>
      <c r="B40" s="4"/>
      <c r="C40" s="9">
        <v>23748</v>
      </c>
      <c r="D40" s="9">
        <v>11743</v>
      </c>
      <c r="F40" s="1" t="s">
        <v>126</v>
      </c>
      <c r="H40" s="9">
        <v>1578</v>
      </c>
      <c r="I40" s="9"/>
      <c r="J40" s="9"/>
    </row>
    <row r="41" spans="1:10">
      <c r="A41" s="4" t="s">
        <v>37</v>
      </c>
      <c r="B41" s="4"/>
      <c r="C41" s="16">
        <v>27694</v>
      </c>
      <c r="D41" s="16">
        <v>14039</v>
      </c>
      <c r="F41" s="1" t="s">
        <v>127</v>
      </c>
      <c r="H41" s="9">
        <v>3736</v>
      </c>
      <c r="I41" s="9"/>
      <c r="J41" s="9"/>
    </row>
    <row r="42" spans="1:10">
      <c r="A42" s="4"/>
      <c r="B42" s="4"/>
      <c r="C42" s="9">
        <f>SUM(C37:C41)</f>
        <v>168629</v>
      </c>
      <c r="D42" s="9">
        <f>SUM(D37:D41)</f>
        <v>77716</v>
      </c>
      <c r="F42" s="1" t="s">
        <v>128</v>
      </c>
      <c r="H42" s="16">
        <v>-626</v>
      </c>
      <c r="I42" s="9"/>
      <c r="J42" s="9"/>
    </row>
    <row r="43" spans="1:10">
      <c r="A43" s="4" t="s">
        <v>38</v>
      </c>
      <c r="B43" s="4"/>
      <c r="C43" s="16">
        <v>7813</v>
      </c>
      <c r="D43" s="16">
        <v>4139</v>
      </c>
      <c r="H43" s="29">
        <f>SUM(H31:H42)</f>
        <v>-43531</v>
      </c>
      <c r="I43" s="9"/>
      <c r="J43" s="9"/>
    </row>
    <row r="44" spans="1:10">
      <c r="A44" s="5" t="s">
        <v>39</v>
      </c>
      <c r="B44" s="5"/>
      <c r="C44" s="17">
        <f>C42-C43</f>
        <v>160816</v>
      </c>
      <c r="D44" s="17">
        <f>D42-D43</f>
        <v>73577</v>
      </c>
      <c r="H44" s="9"/>
      <c r="I44" s="9"/>
      <c r="J44" s="9"/>
    </row>
    <row r="45" spans="1:10" ht="14.1" customHeight="1">
      <c r="A45" s="26" t="s">
        <v>40</v>
      </c>
      <c r="B45" s="27"/>
      <c r="C45"/>
      <c r="D45"/>
      <c r="F45" s="22" t="s">
        <v>129</v>
      </c>
      <c r="H45" s="9"/>
      <c r="I45" s="9"/>
      <c r="J45" s="9"/>
    </row>
    <row r="46" spans="1:10">
      <c r="A46" s="6" t="s">
        <v>41</v>
      </c>
      <c r="B46" s="5"/>
      <c r="C46" s="11">
        <v>24561</v>
      </c>
      <c r="D46" s="11">
        <v>25198</v>
      </c>
      <c r="F46" s="1" t="s">
        <v>130</v>
      </c>
      <c r="H46" s="9">
        <f>9469-1317</f>
        <v>8152</v>
      </c>
      <c r="I46" s="9"/>
      <c r="J46" s="9"/>
    </row>
    <row r="47" spans="1:10">
      <c r="A47" s="4" t="s">
        <v>42</v>
      </c>
      <c r="B47" s="4"/>
      <c r="C47" s="16">
        <v>4755</v>
      </c>
      <c r="D47" s="16">
        <v>3177</v>
      </c>
      <c r="F47" s="1" t="s">
        <v>131</v>
      </c>
      <c r="H47" s="16">
        <v>-99767</v>
      </c>
      <c r="I47" s="9"/>
      <c r="J47" s="9"/>
    </row>
    <row r="48" spans="1:10">
      <c r="A48" s="4"/>
      <c r="B48" s="4"/>
      <c r="C48" s="9"/>
      <c r="D48" s="9"/>
      <c r="H48" s="29">
        <f>SUM(H46:H47)</f>
        <v>-91615</v>
      </c>
      <c r="I48" s="9"/>
      <c r="J48" s="9"/>
    </row>
    <row r="49" spans="1:11">
      <c r="A49" s="21"/>
      <c r="B49" s="21"/>
      <c r="C49" s="17">
        <f>C35+C44+C46+C47</f>
        <v>380193</v>
      </c>
      <c r="D49" s="17">
        <f>D35+D44+D46+D47</f>
        <v>249364</v>
      </c>
      <c r="H49" s="9"/>
      <c r="I49" s="9"/>
      <c r="J49" s="9"/>
    </row>
    <row r="50" spans="1:11" ht="13.2" thickBot="1">
      <c r="A50" s="4"/>
      <c r="B50" s="4"/>
      <c r="C50" s="9"/>
      <c r="D50" s="9"/>
      <c r="F50" s="22" t="s">
        <v>132</v>
      </c>
      <c r="H50" s="9"/>
      <c r="I50" s="9"/>
      <c r="J50" s="9"/>
    </row>
    <row r="51" spans="1:11">
      <c r="A51" s="23" t="s">
        <v>43</v>
      </c>
      <c r="B51" s="24"/>
      <c r="C51" s="25">
        <v>29983</v>
      </c>
      <c r="D51" s="25">
        <v>29619</v>
      </c>
      <c r="F51" s="1" t="s">
        <v>133</v>
      </c>
      <c r="H51" s="9">
        <v>92400</v>
      </c>
      <c r="I51" s="9"/>
      <c r="J51" s="9"/>
    </row>
    <row r="52" spans="1:11">
      <c r="A52" s="4" t="s">
        <v>44</v>
      </c>
      <c r="B52" s="4"/>
      <c r="C52" s="10"/>
      <c r="D52" s="10"/>
      <c r="F52" s="1" t="s">
        <v>134</v>
      </c>
      <c r="H52" s="9">
        <v>659</v>
      </c>
      <c r="I52" s="9"/>
      <c r="J52" s="9"/>
    </row>
    <row r="53" spans="1:11">
      <c r="A53" s="4" t="s">
        <v>45</v>
      </c>
      <c r="B53" s="4"/>
      <c r="C53" s="9">
        <v>53881</v>
      </c>
      <c r="D53" s="9">
        <v>32356</v>
      </c>
      <c r="F53" s="1" t="s">
        <v>135</v>
      </c>
      <c r="H53" s="16">
        <f>-10399+10095</f>
        <v>-304</v>
      </c>
      <c r="I53" s="9"/>
      <c r="J53" s="9"/>
    </row>
    <row r="54" spans="1:11">
      <c r="A54" s="4" t="s">
        <v>46</v>
      </c>
      <c r="B54" s="4"/>
      <c r="C54" s="9">
        <v>5397</v>
      </c>
      <c r="D54" s="9">
        <v>3819</v>
      </c>
      <c r="H54" s="29">
        <f>SUM(H51:H53)</f>
        <v>92755</v>
      </c>
      <c r="I54" s="9"/>
      <c r="J54" s="9"/>
    </row>
    <row r="55" spans="1:11">
      <c r="A55" s="4" t="s">
        <v>47</v>
      </c>
      <c r="B55" s="4"/>
      <c r="C55" s="9">
        <v>13950</v>
      </c>
      <c r="D55" s="9">
        <v>10214</v>
      </c>
      <c r="H55" s="9"/>
      <c r="I55" s="9"/>
      <c r="J55" s="9"/>
    </row>
    <row r="56" spans="1:11">
      <c r="A56" s="4" t="s">
        <v>48</v>
      </c>
      <c r="B56" s="4"/>
      <c r="C56" s="30" t="s">
        <v>15</v>
      </c>
      <c r="D56" s="9">
        <v>626</v>
      </c>
      <c r="F56" s="34" t="s">
        <v>136</v>
      </c>
      <c r="G56" s="34"/>
      <c r="H56" s="35">
        <f>H43+H48+H54</f>
        <v>-42391</v>
      </c>
      <c r="I56" s="9"/>
      <c r="J56" s="9"/>
    </row>
    <row r="57" spans="1:11" ht="13.2" thickBot="1">
      <c r="A57" s="4" t="s">
        <v>49</v>
      </c>
      <c r="B57" s="4"/>
      <c r="C57" s="16">
        <v>10382</v>
      </c>
      <c r="D57" s="16">
        <v>287</v>
      </c>
    </row>
    <row r="58" spans="1:11">
      <c r="A58" s="5" t="s">
        <v>50</v>
      </c>
      <c r="B58" s="5"/>
      <c r="C58" s="17">
        <f>SUM(C53:C57)</f>
        <v>83610</v>
      </c>
      <c r="D58" s="17">
        <f>SUM(D53:D57)</f>
        <v>47302</v>
      </c>
      <c r="F58" s="38" t="s">
        <v>139</v>
      </c>
      <c r="G58" s="39"/>
      <c r="H58" s="40">
        <v>0.3</v>
      </c>
    </row>
    <row r="59" spans="1:11">
      <c r="A59" s="4" t="s">
        <v>51</v>
      </c>
      <c r="B59" s="4"/>
      <c r="C59" s="14"/>
      <c r="D59" s="14"/>
      <c r="F59" s="41" t="s">
        <v>142</v>
      </c>
      <c r="G59" s="42"/>
      <c r="H59" s="43">
        <v>30347</v>
      </c>
      <c r="I59" s="66" t="s">
        <v>113</v>
      </c>
      <c r="J59" s="67"/>
      <c r="K59" s="67"/>
    </row>
    <row r="60" spans="1:11">
      <c r="A60" s="4" t="s">
        <v>52</v>
      </c>
      <c r="B60" s="4"/>
      <c r="C60" s="9">
        <v>100250</v>
      </c>
      <c r="D60" s="9">
        <v>100250</v>
      </c>
      <c r="F60" s="44" t="s">
        <v>154</v>
      </c>
      <c r="G60" s="45"/>
      <c r="H60" s="53">
        <f>B7*(1+H58)*((B21)/B7)</f>
        <v>15104.7</v>
      </c>
    </row>
    <row r="61" spans="1:11">
      <c r="A61" s="4" t="s">
        <v>53</v>
      </c>
      <c r="B61" s="4"/>
      <c r="C61" s="16">
        <v>99693</v>
      </c>
      <c r="D61" s="16">
        <v>17692</v>
      </c>
      <c r="F61" s="44" t="s">
        <v>138</v>
      </c>
      <c r="G61" s="45"/>
      <c r="H61" s="46">
        <f>C43*(1+H58)</f>
        <v>10156.9</v>
      </c>
    </row>
    <row r="62" spans="1:11">
      <c r="A62" s="5"/>
      <c r="B62" s="5"/>
      <c r="C62" s="17">
        <f>SUM(C60:C61)</f>
        <v>199943</v>
      </c>
      <c r="D62" s="17">
        <f>SUM(D60:D61)</f>
        <v>117942</v>
      </c>
      <c r="F62" s="44" t="s">
        <v>119</v>
      </c>
      <c r="G62" s="45"/>
      <c r="H62" s="46">
        <v>0</v>
      </c>
    </row>
    <row r="63" spans="1:11">
      <c r="A63" s="5" t="s">
        <v>54</v>
      </c>
      <c r="B63" s="5"/>
      <c r="C63" s="11">
        <v>861</v>
      </c>
      <c r="D63" s="11">
        <v>1320</v>
      </c>
      <c r="F63" s="44" t="s">
        <v>121</v>
      </c>
      <c r="G63" s="45"/>
      <c r="H63" s="46">
        <v>0</v>
      </c>
    </row>
    <row r="64" spans="1:11">
      <c r="A64" s="5" t="s">
        <v>55</v>
      </c>
      <c r="B64" s="5"/>
      <c r="C64" s="11">
        <v>6687</v>
      </c>
      <c r="D64" s="11">
        <v>2586</v>
      </c>
      <c r="F64" s="44" t="s">
        <v>125</v>
      </c>
      <c r="G64" s="45"/>
      <c r="H64" s="53">
        <f>-'Balance Sheet Proforma'!F31*B7*H58</f>
        <v>-6451.5</v>
      </c>
    </row>
    <row r="65" spans="1:10" ht="15.9" customHeight="1">
      <c r="A65" s="4" t="s">
        <v>56</v>
      </c>
      <c r="B65" s="4"/>
      <c r="C65" s="10"/>
      <c r="D65" s="10"/>
      <c r="F65" s="44" t="s">
        <v>122</v>
      </c>
      <c r="G65" s="45"/>
      <c r="H65" s="46">
        <f>-'Balance Sheet Proforma'!F33*B7*H58</f>
        <v>-45810</v>
      </c>
      <c r="I65" s="9">
        <f>1800*9</f>
        <v>16200</v>
      </c>
      <c r="J65" s="37" t="s">
        <v>145</v>
      </c>
    </row>
    <row r="66" spans="1:10" ht="21.9" customHeight="1">
      <c r="A66" s="7" t="s">
        <v>57</v>
      </c>
      <c r="B66" s="4"/>
      <c r="C66" s="9">
        <v>1258</v>
      </c>
      <c r="D66" s="9">
        <v>1253</v>
      </c>
      <c r="F66" s="44" t="s">
        <v>123</v>
      </c>
      <c r="G66" s="45"/>
      <c r="H66" s="46">
        <f>B7*'Balance Sheet Proforma'!F34*H58</f>
        <v>757.8</v>
      </c>
    </row>
    <row r="67" spans="1:10">
      <c r="A67" s="4" t="s">
        <v>58</v>
      </c>
      <c r="B67" s="4"/>
      <c r="C67" s="9">
        <v>48900</v>
      </c>
      <c r="D67" s="9">
        <v>48246</v>
      </c>
      <c r="F67" s="44" t="s">
        <v>124</v>
      </c>
      <c r="G67" s="45"/>
      <c r="H67" s="46">
        <f>B$7*'Balance Sheet Proforma'!F53*H$58</f>
        <v>16164.300000000001</v>
      </c>
    </row>
    <row r="68" spans="1:10">
      <c r="A68" s="4" t="s">
        <v>59</v>
      </c>
      <c r="B68" s="4"/>
      <c r="C68" s="15">
        <v>38934</v>
      </c>
      <c r="D68" s="15">
        <v>30715</v>
      </c>
      <c r="F68" s="44" t="s">
        <v>126</v>
      </c>
      <c r="G68" s="45"/>
      <c r="H68" s="46">
        <f>B$7*'Balance Sheet Proforma'!F54*H$58</f>
        <v>1619.1</v>
      </c>
    </row>
    <row r="69" spans="1:10">
      <c r="A69" s="5" t="s">
        <v>60</v>
      </c>
      <c r="B69" s="5"/>
      <c r="C69" s="17">
        <v>89092</v>
      </c>
      <c r="D69" s="17">
        <v>80214</v>
      </c>
      <c r="F69" s="44" t="s">
        <v>127</v>
      </c>
      <c r="G69" s="45"/>
      <c r="H69" s="46">
        <f>B$7*'Balance Sheet Proforma'!F55*H$58</f>
        <v>4185</v>
      </c>
    </row>
    <row r="70" spans="1:10">
      <c r="A70" s="4" t="s">
        <v>61</v>
      </c>
      <c r="B70" s="4"/>
      <c r="C70" s="9"/>
      <c r="D70" s="9"/>
      <c r="F70" s="44" t="s">
        <v>128</v>
      </c>
      <c r="G70" s="45"/>
      <c r="H70" s="46">
        <f>B$7*'Balance Sheet Proforma'!F56*H$58</f>
        <v>0</v>
      </c>
    </row>
    <row r="71" spans="1:10">
      <c r="A71" s="5"/>
      <c r="B71" s="5"/>
      <c r="C71" s="17">
        <f>SUM(C58+C62+C63+C64+C69)</f>
        <v>380193</v>
      </c>
      <c r="D71" s="17">
        <f>SUM(D58+D62+D63+D64+D69)</f>
        <v>249364</v>
      </c>
      <c r="F71" s="54" t="s">
        <v>152</v>
      </c>
      <c r="G71" s="45"/>
      <c r="H71" s="46">
        <f>B19</f>
        <v>-10206</v>
      </c>
      <c r="I71" s="1" t="s">
        <v>160</v>
      </c>
    </row>
    <row r="72" spans="1:10">
      <c r="A72" s="27"/>
      <c r="B72" s="27"/>
      <c r="C72" s="28"/>
      <c r="D72" s="28"/>
      <c r="F72" s="54" t="s">
        <v>155</v>
      </c>
      <c r="G72" s="45"/>
      <c r="H72" s="46">
        <f>-B22*(1+H58)</f>
        <v>-4420</v>
      </c>
    </row>
    <row r="73" spans="1:10" ht="15.6">
      <c r="A73" s="20" t="s">
        <v>62</v>
      </c>
      <c r="C73" s="2"/>
      <c r="D73" s="2"/>
      <c r="F73" s="47" t="s">
        <v>141</v>
      </c>
      <c r="G73" s="45"/>
      <c r="H73" s="46">
        <f>SUM(H60:H72)</f>
        <v>-18899.7</v>
      </c>
    </row>
    <row r="74" spans="1:10" ht="16.2" thickBot="1">
      <c r="A74" s="20"/>
      <c r="C74" s="2"/>
      <c r="D74" s="2"/>
      <c r="F74" s="44" t="s">
        <v>143</v>
      </c>
      <c r="G74" s="45"/>
      <c r="H74" s="46">
        <f>-H32*(1+H58)</f>
        <v>-5688.8</v>
      </c>
      <c r="I74" s="1" t="s">
        <v>149</v>
      </c>
    </row>
    <row r="75" spans="1:10" ht="13.2" thickBot="1">
      <c r="A75" s="1" t="s">
        <v>63</v>
      </c>
      <c r="B75" s="13">
        <v>29983</v>
      </c>
      <c r="C75" s="13">
        <v>29619</v>
      </c>
      <c r="D75" s="13">
        <v>29248</v>
      </c>
      <c r="F75" s="44" t="s">
        <v>144</v>
      </c>
      <c r="G75" s="45"/>
      <c r="H75" s="46">
        <f>-6600*9+C41</f>
        <v>-31706</v>
      </c>
      <c r="I75" s="2">
        <f>C41</f>
        <v>27694</v>
      </c>
      <c r="J75" s="37" t="s">
        <v>147</v>
      </c>
    </row>
    <row r="76" spans="1:10">
      <c r="A76" s="4" t="s">
        <v>64</v>
      </c>
      <c r="B76" s="9">
        <v>8219</v>
      </c>
      <c r="C76" s="9">
        <v>14122</v>
      </c>
      <c r="D76" s="9">
        <v>10261</v>
      </c>
      <c r="F76" s="44" t="s">
        <v>146</v>
      </c>
      <c r="G76" s="45"/>
      <c r="H76" s="52">
        <f>-C40*H58</f>
        <v>-7124.4</v>
      </c>
    </row>
    <row r="77" spans="1:10">
      <c r="A77" s="4" t="s">
        <v>65</v>
      </c>
      <c r="B77" s="10"/>
      <c r="C77" s="10"/>
      <c r="D77" s="10"/>
      <c r="F77" s="47" t="s">
        <v>148</v>
      </c>
      <c r="G77" s="45"/>
      <c r="H77" s="46">
        <f>SUM(H74:H76)</f>
        <v>-44519.200000000004</v>
      </c>
    </row>
    <row r="78" spans="1:10">
      <c r="A78" s="4" t="s">
        <v>66</v>
      </c>
      <c r="B78" s="9">
        <v>4376</v>
      </c>
      <c r="C78" s="9">
        <v>2275</v>
      </c>
      <c r="D78" s="9">
        <v>903</v>
      </c>
      <c r="F78" s="44"/>
      <c r="G78" s="45"/>
      <c r="H78" s="46"/>
    </row>
    <row r="79" spans="1:10">
      <c r="A79" s="4" t="s">
        <v>67</v>
      </c>
      <c r="B79" s="9">
        <v>3612</v>
      </c>
      <c r="C79" s="9">
        <v>1508</v>
      </c>
      <c r="D79" s="9">
        <v>713</v>
      </c>
      <c r="F79" s="44" t="s">
        <v>150</v>
      </c>
      <c r="G79" s="45"/>
      <c r="H79" s="46">
        <v>-10382</v>
      </c>
      <c r="I79" s="1" t="s">
        <v>151</v>
      </c>
    </row>
    <row r="80" spans="1:10">
      <c r="A80" s="4" t="s">
        <v>68</v>
      </c>
      <c r="B80" s="9">
        <v>637</v>
      </c>
      <c r="C80" s="9">
        <v>93</v>
      </c>
      <c r="D80" s="29" t="s">
        <v>15</v>
      </c>
      <c r="F80" s="44" t="s">
        <v>158</v>
      </c>
      <c r="G80" s="45"/>
      <c r="H80" s="52">
        <f>-(H73+H77+H79)</f>
        <v>73800.900000000009</v>
      </c>
      <c r="I80" s="1" t="s">
        <v>153</v>
      </c>
      <c r="J80" s="22" t="s">
        <v>161</v>
      </c>
    </row>
    <row r="81" spans="1:9">
      <c r="A81" s="4" t="s">
        <v>69</v>
      </c>
      <c r="B81" s="9">
        <v>-1317</v>
      </c>
      <c r="C81" s="29" t="s">
        <v>15</v>
      </c>
      <c r="D81" s="29" t="s">
        <v>15</v>
      </c>
      <c r="F81" s="47" t="s">
        <v>159</v>
      </c>
      <c r="G81" s="45"/>
      <c r="H81" s="46">
        <f>SUM(H79:H80)</f>
        <v>63418.900000000009</v>
      </c>
    </row>
    <row r="82" spans="1:9">
      <c r="A82" s="4" t="s">
        <v>70</v>
      </c>
      <c r="B82" s="16">
        <v>180</v>
      </c>
      <c r="C82" s="16">
        <v>77</v>
      </c>
      <c r="D82" s="16">
        <v>59</v>
      </c>
      <c r="F82" s="44"/>
      <c r="G82" s="45"/>
      <c r="H82" s="46"/>
    </row>
    <row r="83" spans="1:9">
      <c r="A83" s="4" t="s">
        <v>71</v>
      </c>
      <c r="B83" s="9">
        <v>15707</v>
      </c>
      <c r="C83" s="9">
        <v>18075</v>
      </c>
      <c r="D83" s="9">
        <v>11936</v>
      </c>
      <c r="F83" s="44"/>
      <c r="G83" s="45"/>
      <c r="H83" s="46"/>
      <c r="I83" s="55"/>
    </row>
    <row r="84" spans="1:9">
      <c r="A84" s="4" t="s">
        <v>72</v>
      </c>
      <c r="B84" s="9">
        <v>9469</v>
      </c>
      <c r="C84" s="9">
        <v>864</v>
      </c>
      <c r="D84" s="9">
        <v>3</v>
      </c>
      <c r="F84" s="44"/>
      <c r="G84" s="45"/>
      <c r="H84" s="46"/>
    </row>
    <row r="85" spans="1:9">
      <c r="A85" s="4" t="s">
        <v>73</v>
      </c>
      <c r="B85" s="9">
        <v>92400</v>
      </c>
      <c r="C85" s="9">
        <v>120350</v>
      </c>
      <c r="D85" s="9">
        <v>4200</v>
      </c>
      <c r="F85" s="44" t="s">
        <v>156</v>
      </c>
      <c r="G85" s="45"/>
      <c r="H85" s="46">
        <f>C30</f>
        <v>9671</v>
      </c>
    </row>
    <row r="86" spans="1:9">
      <c r="A86" s="4" t="s">
        <v>74</v>
      </c>
      <c r="B86" s="9">
        <v>659</v>
      </c>
      <c r="C86" s="9">
        <v>814</v>
      </c>
      <c r="D86" s="9">
        <v>36663</v>
      </c>
      <c r="F86" s="44" t="s">
        <v>157</v>
      </c>
      <c r="G86" s="45"/>
      <c r="H86" s="46">
        <v>9671</v>
      </c>
    </row>
    <row r="87" spans="1:9">
      <c r="A87" s="5"/>
      <c r="B87" s="17">
        <f>SUM(B83:B86)</f>
        <v>118235</v>
      </c>
      <c r="C87" s="17">
        <f>SUM(C83:C86)</f>
        <v>140103</v>
      </c>
      <c r="D87" s="17">
        <f>SUM(D83:D86)</f>
        <v>52802</v>
      </c>
      <c r="F87" s="44"/>
      <c r="G87" s="45"/>
      <c r="H87" s="48"/>
    </row>
    <row r="88" spans="1:9">
      <c r="A88" s="1" t="s">
        <v>75</v>
      </c>
      <c r="B88" s="9"/>
      <c r="C88" s="9"/>
      <c r="D88" s="9"/>
      <c r="F88" s="44"/>
      <c r="G88" s="45"/>
      <c r="H88" s="48"/>
    </row>
    <row r="89" spans="1:9" ht="15" customHeight="1">
      <c r="A89" s="4" t="s">
        <v>76</v>
      </c>
      <c r="B89" s="9">
        <v>99767</v>
      </c>
      <c r="C89" s="9">
        <v>50769</v>
      </c>
      <c r="D89" s="9">
        <v>16081</v>
      </c>
      <c r="F89" s="44"/>
      <c r="G89" s="45"/>
      <c r="H89" s="48"/>
    </row>
    <row r="90" spans="1:9" ht="13.2" thickBot="1">
      <c r="A90" s="4" t="s">
        <v>77</v>
      </c>
      <c r="B90" s="9">
        <v>10399</v>
      </c>
      <c r="C90" s="9">
        <v>6792</v>
      </c>
      <c r="D90" s="9">
        <v>52</v>
      </c>
      <c r="F90" s="49"/>
      <c r="G90" s="50"/>
      <c r="H90" s="51"/>
    </row>
    <row r="91" spans="1:9" ht="21.75" customHeight="1">
      <c r="A91" s="8" t="s">
        <v>78</v>
      </c>
      <c r="B91" s="9"/>
      <c r="C91" s="9"/>
      <c r="D91" s="9"/>
    </row>
    <row r="92" spans="1:9">
      <c r="A92" s="4" t="s">
        <v>79</v>
      </c>
      <c r="B92" s="29" t="s">
        <v>15</v>
      </c>
      <c r="C92" s="9">
        <v>4815</v>
      </c>
      <c r="D92" s="29" t="s">
        <v>15</v>
      </c>
    </row>
    <row r="93" spans="1:9">
      <c r="A93" s="4" t="s">
        <v>80</v>
      </c>
      <c r="B93" s="29" t="s">
        <v>15</v>
      </c>
      <c r="C93" s="9">
        <v>25291</v>
      </c>
      <c r="D93" s="29" t="s">
        <v>15</v>
      </c>
    </row>
    <row r="94" spans="1:9">
      <c r="A94" s="4" t="s">
        <v>81</v>
      </c>
      <c r="B94" s="29" t="s">
        <v>15</v>
      </c>
      <c r="C94" s="9">
        <v>-913</v>
      </c>
      <c r="D94" s="29" t="s">
        <v>15</v>
      </c>
    </row>
    <row r="95" spans="1:9">
      <c r="A95" s="4" t="s">
        <v>82</v>
      </c>
      <c r="B95" s="9">
        <v>1728</v>
      </c>
      <c r="C95" s="9">
        <v>2554</v>
      </c>
      <c r="D95" s="9">
        <v>252</v>
      </c>
    </row>
    <row r="96" spans="1:9">
      <c r="A96" s="4" t="s">
        <v>83</v>
      </c>
      <c r="B96" s="9">
        <v>6341</v>
      </c>
      <c r="C96" s="9">
        <v>50792</v>
      </c>
      <c r="D96" s="9">
        <v>36417</v>
      </c>
    </row>
    <row r="97" spans="1:4">
      <c r="A97" s="5"/>
      <c r="B97" s="17">
        <f>SUM(B89:B96)</f>
        <v>118235</v>
      </c>
      <c r="C97" s="17">
        <f>SUM(C89:C96)</f>
        <v>140100</v>
      </c>
      <c r="D97" s="17">
        <f>SUM(D89:D96)</f>
        <v>52802</v>
      </c>
    </row>
    <row r="98" spans="1:4">
      <c r="A98" s="1" t="s">
        <v>84</v>
      </c>
      <c r="B98" s="12"/>
      <c r="C98" s="12"/>
      <c r="D98" s="12"/>
    </row>
    <row r="99" spans="1:4">
      <c r="A99" s="4" t="s">
        <v>85</v>
      </c>
      <c r="B99" s="9"/>
      <c r="C99" s="9"/>
      <c r="D99" s="9"/>
    </row>
    <row r="100" spans="1:4">
      <c r="A100" s="4" t="s">
        <v>86</v>
      </c>
      <c r="B100" s="9">
        <v>-42391</v>
      </c>
      <c r="C100" s="9">
        <v>29894</v>
      </c>
      <c r="D100" s="9">
        <v>13917</v>
      </c>
    </row>
    <row r="101" spans="1:4">
      <c r="A101" s="4" t="s">
        <v>87</v>
      </c>
      <c r="B101" s="9">
        <v>15799</v>
      </c>
      <c r="C101" s="9">
        <v>7170</v>
      </c>
      <c r="D101" s="9">
        <v>1567</v>
      </c>
    </row>
    <row r="102" spans="1:4">
      <c r="A102" s="4" t="s">
        <v>88</v>
      </c>
      <c r="B102" s="9">
        <v>68654</v>
      </c>
      <c r="C102" s="9">
        <v>25334</v>
      </c>
      <c r="D102" s="9">
        <v>41137</v>
      </c>
    </row>
    <row r="103" spans="1:4">
      <c r="A103" s="4" t="s">
        <v>89</v>
      </c>
      <c r="B103" s="16">
        <v>587</v>
      </c>
      <c r="C103" s="16">
        <v>1206</v>
      </c>
      <c r="D103" s="16">
        <v>227</v>
      </c>
    </row>
    <row r="104" spans="1:4">
      <c r="A104" s="4"/>
      <c r="B104" s="9">
        <f>SUM(B100:B103)</f>
        <v>42649</v>
      </c>
      <c r="C104" s="9">
        <f>SUM(C100:C103)</f>
        <v>63604</v>
      </c>
      <c r="D104" s="9">
        <f>SUM(D100:D103)</f>
        <v>56848</v>
      </c>
    </row>
    <row r="105" spans="1:4">
      <c r="A105" s="4" t="s">
        <v>90</v>
      </c>
      <c r="B105" s="9"/>
      <c r="C105" s="9"/>
      <c r="D105" s="9"/>
    </row>
    <row r="106" spans="1:4">
      <c r="A106" s="4" t="s">
        <v>91</v>
      </c>
      <c r="B106" s="9">
        <v>21525</v>
      </c>
      <c r="C106" s="9">
        <v>10505</v>
      </c>
      <c r="D106" s="9">
        <v>17150</v>
      </c>
    </row>
    <row r="107" spans="1:4">
      <c r="A107" s="4" t="s">
        <v>92</v>
      </c>
      <c r="B107" s="9">
        <v>1578</v>
      </c>
      <c r="C107" s="9">
        <v>-93</v>
      </c>
      <c r="D107" s="9">
        <v>2524</v>
      </c>
    </row>
    <row r="108" spans="1:4">
      <c r="A108" s="4" t="s">
        <v>93</v>
      </c>
      <c r="B108" s="9">
        <v>3736</v>
      </c>
      <c r="C108" s="9">
        <v>2824</v>
      </c>
      <c r="D108" s="9">
        <v>341</v>
      </c>
    </row>
    <row r="109" spans="1:4">
      <c r="A109" s="4" t="s">
        <v>94</v>
      </c>
      <c r="B109" s="9">
        <v>-626</v>
      </c>
      <c r="C109" s="9">
        <v>-657</v>
      </c>
      <c r="D109" s="9">
        <v>406</v>
      </c>
    </row>
    <row r="110" spans="1:4">
      <c r="A110" s="4" t="s">
        <v>95</v>
      </c>
      <c r="B110" s="9">
        <v>10095</v>
      </c>
      <c r="C110" s="9">
        <v>233</v>
      </c>
      <c r="D110" s="9">
        <v>10</v>
      </c>
    </row>
    <row r="111" spans="1:4">
      <c r="A111" s="4"/>
      <c r="B111" s="9">
        <f>SUM(B106:B110)</f>
        <v>36308</v>
      </c>
      <c r="C111" s="9">
        <f>SUM(C106:C110)</f>
        <v>12812</v>
      </c>
      <c r="D111" s="9">
        <f>SUM(D106:D110)</f>
        <v>20431</v>
      </c>
    </row>
    <row r="112" spans="1:4" ht="15" customHeight="1">
      <c r="A112" s="5" t="s">
        <v>96</v>
      </c>
      <c r="B112" s="17">
        <f>(B104-B111)</f>
        <v>6341</v>
      </c>
      <c r="C112" s="17">
        <f>(C104-C111)</f>
        <v>50792</v>
      </c>
      <c r="D112" s="17">
        <f>(D104-D111)</f>
        <v>36417</v>
      </c>
    </row>
    <row r="113" spans="1:4">
      <c r="A113" s="27"/>
      <c r="B113" s="2"/>
      <c r="C113" s="2"/>
      <c r="D113" s="2"/>
    </row>
    <row r="114" spans="1:4">
      <c r="B114" s="2"/>
      <c r="C114" s="2"/>
      <c r="D114" s="2"/>
    </row>
    <row r="115" spans="1:4">
      <c r="B115" s="2"/>
      <c r="C115" s="2"/>
      <c r="D115" s="2"/>
    </row>
    <row r="116" spans="1:4">
      <c r="B116" s="2"/>
      <c r="C116" s="2"/>
      <c r="D116" s="2"/>
    </row>
    <row r="117" spans="1:4">
      <c r="B117" s="2"/>
      <c r="C117" s="2"/>
      <c r="D117" s="2"/>
    </row>
    <row r="118" spans="1:4">
      <c r="B118" s="2"/>
      <c r="C118" s="2"/>
      <c r="D118" s="2"/>
    </row>
    <row r="119" spans="1:4">
      <c r="B119" s="2"/>
      <c r="C119" s="2"/>
      <c r="D119" s="2"/>
    </row>
  </sheetData>
  <mergeCells count="2">
    <mergeCell ref="H4:K4"/>
    <mergeCell ref="I59:K59"/>
  </mergeCells>
  <pageMargins left="0.5" right="0.5" top="0.5" bottom="0.5" header="0.5" footer="0.5"/>
  <pageSetup scale="58" fitToHeight="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9"/>
  <sheetViews>
    <sheetView topLeftCell="A27" zoomScale="85" workbookViewId="0">
      <selection activeCell="G41" sqref="G41"/>
    </sheetView>
  </sheetViews>
  <sheetFormatPr defaultColWidth="10.6640625" defaultRowHeight="12.6"/>
  <cols>
    <col min="1" max="1" width="51.88671875" style="1" customWidth="1"/>
    <col min="2" max="2" width="8.5546875" style="1" bestFit="1" customWidth="1"/>
    <col min="3" max="3" width="9.5546875" style="1" bestFit="1" customWidth="1"/>
    <col min="4" max="4" width="8.5546875" style="1" bestFit="1" customWidth="1"/>
    <col min="5" max="5" width="5.6640625" style="1" customWidth="1"/>
    <col min="6" max="16384" width="10.6640625" style="1"/>
  </cols>
  <sheetData>
    <row r="1" spans="1:4" ht="13.2">
      <c r="A1" s="19" t="s">
        <v>0</v>
      </c>
      <c r="B1"/>
      <c r="C1"/>
    </row>
    <row r="2" spans="1:4" ht="13.2">
      <c r="A2" s="3" t="s">
        <v>1</v>
      </c>
      <c r="B2"/>
    </row>
    <row r="4" spans="1:4" ht="13.2">
      <c r="A4"/>
    </row>
    <row r="5" spans="1:4" ht="16.2" thickBot="1">
      <c r="A5" s="20" t="s">
        <v>2</v>
      </c>
      <c r="C5" s="1" t="s">
        <v>3</v>
      </c>
    </row>
    <row r="6" spans="1:4" ht="13.2" thickBot="1">
      <c r="B6" s="13">
        <v>29983</v>
      </c>
      <c r="C6" s="13">
        <v>29619</v>
      </c>
      <c r="D6" s="13">
        <v>29248</v>
      </c>
    </row>
    <row r="7" spans="1:4">
      <c r="A7" s="4" t="s">
        <v>4</v>
      </c>
      <c r="B7" s="9">
        <v>700729</v>
      </c>
      <c r="C7" s="9">
        <v>432779</v>
      </c>
      <c r="D7" s="9">
        <v>256184</v>
      </c>
    </row>
    <row r="8" spans="1:4">
      <c r="A8" s="4" t="s">
        <v>5</v>
      </c>
      <c r="B8" s="15">
        <v>519272</v>
      </c>
      <c r="C8" s="15">
        <v>318460</v>
      </c>
      <c r="D8" s="15">
        <v>186170</v>
      </c>
    </row>
    <row r="9" spans="1:4">
      <c r="A9" s="4" t="s">
        <v>6</v>
      </c>
      <c r="B9" s="16">
        <f>(B7-B8)</f>
        <v>181457</v>
      </c>
      <c r="C9" s="16">
        <f>(C7-C8)</f>
        <v>114319</v>
      </c>
      <c r="D9" s="16">
        <f>(D7-D8)</f>
        <v>70014</v>
      </c>
    </row>
    <row r="10" spans="1:4">
      <c r="A10" s="4" t="s">
        <v>7</v>
      </c>
      <c r="B10" s="9"/>
      <c r="C10" s="9"/>
      <c r="D10" s="9"/>
    </row>
    <row r="11" spans="1:4">
      <c r="A11" s="4" t="s">
        <v>8</v>
      </c>
      <c r="B11" s="9">
        <v>134354</v>
      </c>
      <c r="C11" s="9">
        <v>74447</v>
      </c>
      <c r="D11" s="9">
        <v>43514</v>
      </c>
    </row>
    <row r="12" spans="1:4">
      <c r="A12" s="4" t="s">
        <v>9</v>
      </c>
      <c r="B12" s="9">
        <v>7521</v>
      </c>
      <c r="C12" s="9">
        <v>1917</v>
      </c>
      <c r="D12" s="9">
        <v>2456</v>
      </c>
    </row>
    <row r="13" spans="1:4">
      <c r="A13" s="4" t="s">
        <v>10</v>
      </c>
      <c r="B13" s="16">
        <v>20555</v>
      </c>
      <c r="C13" s="16">
        <v>12817</v>
      </c>
      <c r="D13" s="16">
        <v>7376</v>
      </c>
    </row>
    <row r="14" spans="1:4">
      <c r="A14" s="4" t="s">
        <v>11</v>
      </c>
      <c r="B14" s="16">
        <f>SUM(B11:B13)</f>
        <v>162430</v>
      </c>
      <c r="C14" s="16">
        <f>SUM(C11:C13)</f>
        <v>89181</v>
      </c>
      <c r="D14" s="16">
        <f>SUM(D11:D13)</f>
        <v>53346</v>
      </c>
    </row>
    <row r="15" spans="1:4">
      <c r="A15" s="4" t="s">
        <v>12</v>
      </c>
      <c r="B15" s="9">
        <f>(B9-B14)</f>
        <v>19027</v>
      </c>
      <c r="C15" s="9">
        <f>(C9-C14)</f>
        <v>25138</v>
      </c>
      <c r="D15" s="9">
        <f>(D9-D14)</f>
        <v>16668</v>
      </c>
    </row>
    <row r="16" spans="1:4">
      <c r="A16" s="4" t="s">
        <v>13</v>
      </c>
      <c r="B16" s="9"/>
      <c r="C16" s="9"/>
      <c r="D16" s="9"/>
    </row>
    <row r="17" spans="1:7">
      <c r="A17" s="4" t="s">
        <v>14</v>
      </c>
      <c r="B17" s="9">
        <v>1317</v>
      </c>
      <c r="C17" s="29" t="s">
        <v>15</v>
      </c>
      <c r="D17" s="29" t="s">
        <v>15</v>
      </c>
    </row>
    <row r="18" spans="1:7">
      <c r="A18" s="4" t="s">
        <v>16</v>
      </c>
      <c r="B18" s="9">
        <v>1481</v>
      </c>
      <c r="C18" s="9">
        <v>5236</v>
      </c>
      <c r="D18" s="9">
        <v>2422</v>
      </c>
    </row>
    <row r="19" spans="1:7">
      <c r="A19" s="4" t="s">
        <v>17</v>
      </c>
      <c r="B19" s="16">
        <v>-10206</v>
      </c>
      <c r="C19" s="16">
        <v>-4122</v>
      </c>
      <c r="D19" s="16">
        <v>-104</v>
      </c>
    </row>
    <row r="20" spans="1:7">
      <c r="A20" s="4"/>
      <c r="B20" s="16">
        <f>SUM(B17:B19)</f>
        <v>-7408</v>
      </c>
      <c r="C20" s="16">
        <f>SUM(C17:C19)</f>
        <v>1114</v>
      </c>
      <c r="D20" s="16">
        <f>SUM(D17:D19)</f>
        <v>2318</v>
      </c>
    </row>
    <row r="21" spans="1:7">
      <c r="A21" s="4" t="s">
        <v>18</v>
      </c>
      <c r="B21" s="9">
        <f>SUM(B15+B20)</f>
        <v>11619</v>
      </c>
      <c r="C21" s="9">
        <f>SUM(C15+C20)</f>
        <v>26252</v>
      </c>
      <c r="D21" s="9">
        <f>SUM(D15+D20)</f>
        <v>18986</v>
      </c>
    </row>
    <row r="22" spans="1:7">
      <c r="A22" s="4" t="s">
        <v>19</v>
      </c>
      <c r="B22" s="16">
        <v>3400</v>
      </c>
      <c r="C22" s="16">
        <v>12130</v>
      </c>
      <c r="D22" s="16">
        <v>8725</v>
      </c>
    </row>
    <row r="23" spans="1:7">
      <c r="A23" s="5" t="s">
        <v>20</v>
      </c>
      <c r="B23" s="17">
        <f>(B21-B22)</f>
        <v>8219</v>
      </c>
      <c r="C23" s="17">
        <f>(C21-C22)</f>
        <v>14122</v>
      </c>
      <c r="D23" s="17">
        <f>(D21-D22)</f>
        <v>10261</v>
      </c>
    </row>
    <row r="24" spans="1:7" ht="21.75" customHeight="1">
      <c r="A24" s="6" t="s">
        <v>21</v>
      </c>
      <c r="B24" s="18">
        <v>0.33</v>
      </c>
      <c r="C24" s="18">
        <v>0.56000000000000005</v>
      </c>
      <c r="D24" s="18">
        <v>0.41</v>
      </c>
    </row>
    <row r="25" spans="1:7" ht="21.75" customHeight="1">
      <c r="A25" s="6" t="s">
        <v>22</v>
      </c>
      <c r="B25" s="31">
        <v>25247</v>
      </c>
      <c r="C25" s="31">
        <v>25302</v>
      </c>
      <c r="D25" s="31">
        <v>24834</v>
      </c>
    </row>
    <row r="27" spans="1:7" ht="16.2" thickBot="1">
      <c r="A27" s="20" t="s">
        <v>23</v>
      </c>
    </row>
    <row r="28" spans="1:7" ht="13.8" thickBot="1">
      <c r="A28" s="22" t="s">
        <v>24</v>
      </c>
      <c r="C28" s="13">
        <v>29983</v>
      </c>
      <c r="D28" s="13">
        <v>29619</v>
      </c>
      <c r="E28"/>
      <c r="F28" s="13">
        <v>29983</v>
      </c>
      <c r="G28" s="13">
        <v>29619</v>
      </c>
    </row>
    <row r="29" spans="1:7">
      <c r="A29" s="4" t="s">
        <v>25</v>
      </c>
      <c r="B29" s="4"/>
      <c r="C29" s="4"/>
      <c r="D29" s="4"/>
      <c r="F29" s="1" t="s">
        <v>140</v>
      </c>
      <c r="G29" s="1" t="s">
        <v>140</v>
      </c>
    </row>
    <row r="30" spans="1:7">
      <c r="A30" s="4" t="s">
        <v>26</v>
      </c>
      <c r="B30" s="4"/>
      <c r="C30" s="9">
        <v>9671</v>
      </c>
      <c r="D30" s="9">
        <v>52062</v>
      </c>
    </row>
    <row r="31" spans="1:7">
      <c r="A31" s="4" t="s">
        <v>27</v>
      </c>
      <c r="B31" s="4"/>
      <c r="C31" s="9">
        <v>21505</v>
      </c>
      <c r="D31" s="9">
        <v>9365</v>
      </c>
      <c r="F31" s="36">
        <f>C31/B$7</f>
        <v>3.0689467682941621E-2</v>
      </c>
      <c r="G31" s="36">
        <f>D31/C$7</f>
        <v>2.1639220017607139E-2</v>
      </c>
    </row>
    <row r="32" spans="1:7">
      <c r="A32" s="4" t="s">
        <v>28</v>
      </c>
      <c r="B32" s="4"/>
      <c r="C32" s="9">
        <v>3659</v>
      </c>
      <c r="D32" s="29" t="s">
        <v>15</v>
      </c>
      <c r="F32" s="36">
        <f t="shared" ref="F32:G34" si="0">C32/B$7</f>
        <v>5.2217048245470077E-3</v>
      </c>
      <c r="G32" s="36"/>
    </row>
    <row r="33" spans="1:7">
      <c r="A33" s="4" t="s">
        <v>29</v>
      </c>
      <c r="B33" s="4"/>
      <c r="C33" s="9">
        <v>152700</v>
      </c>
      <c r="D33" s="9">
        <v>84046</v>
      </c>
      <c r="F33" s="36">
        <f t="shared" si="0"/>
        <v>0.21791591328459362</v>
      </c>
      <c r="G33" s="36">
        <f t="shared" si="0"/>
        <v>0.19420073524824449</v>
      </c>
    </row>
    <row r="34" spans="1:7">
      <c r="A34" s="4" t="s">
        <v>30</v>
      </c>
      <c r="B34" s="4"/>
      <c r="C34" s="16">
        <v>2526</v>
      </c>
      <c r="D34" s="16">
        <v>1939</v>
      </c>
      <c r="F34" s="36">
        <f t="shared" si="0"/>
        <v>3.6048172688728452E-3</v>
      </c>
      <c r="G34" s="36">
        <f t="shared" si="0"/>
        <v>4.4803467820758404E-3</v>
      </c>
    </row>
    <row r="35" spans="1:7">
      <c r="A35" s="5" t="s">
        <v>31</v>
      </c>
      <c r="B35" s="5"/>
      <c r="C35" s="17">
        <f>SUM(C30:C34)</f>
        <v>190061</v>
      </c>
      <c r="D35" s="17">
        <f>SUM(D30:D34)</f>
        <v>147412</v>
      </c>
    </row>
    <row r="36" spans="1:7">
      <c r="A36" s="4" t="s">
        <v>32</v>
      </c>
      <c r="B36" s="4"/>
      <c r="C36" s="9"/>
      <c r="D36" s="9"/>
    </row>
    <row r="37" spans="1:7">
      <c r="A37" s="4" t="s">
        <v>33</v>
      </c>
      <c r="B37" s="4"/>
      <c r="C37" s="9">
        <v>44396</v>
      </c>
      <c r="D37" s="9">
        <v>30044</v>
      </c>
    </row>
    <row r="38" spans="1:7">
      <c r="A38" s="4" t="s">
        <v>34</v>
      </c>
      <c r="B38" s="4"/>
      <c r="C38" s="9">
        <v>38005</v>
      </c>
      <c r="D38" s="9">
        <v>3728</v>
      </c>
    </row>
    <row r="39" spans="1:7">
      <c r="A39" s="4" t="s">
        <v>35</v>
      </c>
      <c r="B39" s="4"/>
      <c r="C39" s="9">
        <v>34786</v>
      </c>
      <c r="D39" s="9">
        <v>18162</v>
      </c>
    </row>
    <row r="40" spans="1:7">
      <c r="A40" s="4" t="s">
        <v>36</v>
      </c>
      <c r="B40" s="4"/>
      <c r="C40" s="9">
        <v>23748</v>
      </c>
      <c r="D40" s="9">
        <v>11743</v>
      </c>
    </row>
    <row r="41" spans="1:7">
      <c r="A41" s="4" t="s">
        <v>37</v>
      </c>
      <c r="B41" s="4"/>
      <c r="C41" s="16">
        <v>27694</v>
      </c>
      <c r="D41" s="16">
        <v>14039</v>
      </c>
    </row>
    <row r="42" spans="1:7">
      <c r="A42" s="4"/>
      <c r="B42" s="4"/>
      <c r="C42" s="9">
        <f>SUM(C37:C41)</f>
        <v>168629</v>
      </c>
      <c r="D42" s="9">
        <f>SUM(D37:D41)</f>
        <v>77716</v>
      </c>
    </row>
    <row r="43" spans="1:7">
      <c r="A43" s="4" t="s">
        <v>38</v>
      </c>
      <c r="B43" s="4"/>
      <c r="C43" s="16">
        <v>7813</v>
      </c>
      <c r="D43" s="16">
        <v>4139</v>
      </c>
    </row>
    <row r="44" spans="1:7">
      <c r="A44" s="5" t="s">
        <v>39</v>
      </c>
      <c r="B44" s="5"/>
      <c r="C44" s="17">
        <f>C42-C43</f>
        <v>160816</v>
      </c>
      <c r="D44" s="17">
        <f>D42-D43</f>
        <v>73577</v>
      </c>
    </row>
    <row r="45" spans="1:7" ht="14.1" customHeight="1">
      <c r="A45" s="26" t="s">
        <v>40</v>
      </c>
      <c r="B45" s="27"/>
      <c r="C45"/>
      <c r="D45"/>
    </row>
    <row r="46" spans="1:7">
      <c r="A46" s="6" t="s">
        <v>41</v>
      </c>
      <c r="B46" s="5"/>
      <c r="C46" s="11">
        <v>24561</v>
      </c>
      <c r="D46" s="11">
        <v>25198</v>
      </c>
    </row>
    <row r="47" spans="1:7">
      <c r="A47" s="4" t="s">
        <v>42</v>
      </c>
      <c r="B47" s="4"/>
      <c r="C47" s="16">
        <v>4755</v>
      </c>
      <c r="D47" s="16">
        <v>3177</v>
      </c>
    </row>
    <row r="48" spans="1:7">
      <c r="A48" s="4"/>
      <c r="B48" s="4"/>
      <c r="C48" s="9"/>
      <c r="D48" s="9"/>
    </row>
    <row r="49" spans="1:7">
      <c r="A49" s="21"/>
      <c r="B49" s="21"/>
      <c r="C49" s="17">
        <f>C35+C44+C46+C47</f>
        <v>380193</v>
      </c>
      <c r="D49" s="17">
        <f>D35+D44+D46+D47</f>
        <v>249364</v>
      </c>
    </row>
    <row r="50" spans="1:7" ht="13.2" thickBot="1">
      <c r="A50" s="4"/>
      <c r="B50" s="4"/>
      <c r="C50" s="9"/>
      <c r="D50" s="9"/>
    </row>
    <row r="51" spans="1:7">
      <c r="A51" s="23" t="s">
        <v>43</v>
      </c>
      <c r="B51" s="24"/>
      <c r="C51" s="25">
        <v>29983</v>
      </c>
      <c r="D51" s="25">
        <v>29619</v>
      </c>
    </row>
    <row r="52" spans="1:7">
      <c r="A52" s="4" t="s">
        <v>44</v>
      </c>
      <c r="B52" s="4"/>
      <c r="C52" s="10"/>
      <c r="D52" s="10"/>
    </row>
    <row r="53" spans="1:7">
      <c r="A53" s="4" t="s">
        <v>45</v>
      </c>
      <c r="B53" s="4"/>
      <c r="C53" s="9">
        <v>53881</v>
      </c>
      <c r="D53" s="9">
        <v>32356</v>
      </c>
      <c r="F53" s="36">
        <f t="shared" ref="F53:G55" si="1">C53/B$7</f>
        <v>7.6892778806071968E-2</v>
      </c>
      <c r="G53" s="36">
        <f t="shared" si="1"/>
        <v>7.4763331862220672E-2</v>
      </c>
    </row>
    <row r="54" spans="1:7">
      <c r="A54" s="4" t="s">
        <v>46</v>
      </c>
      <c r="B54" s="4"/>
      <c r="C54" s="9">
        <v>5397</v>
      </c>
      <c r="D54" s="9">
        <v>3819</v>
      </c>
      <c r="F54" s="36">
        <f t="shared" si="1"/>
        <v>7.7019789390763045E-3</v>
      </c>
      <c r="G54" s="36">
        <f t="shared" si="1"/>
        <v>8.8243653227166752E-3</v>
      </c>
    </row>
    <row r="55" spans="1:7">
      <c r="A55" s="4" t="s">
        <v>47</v>
      </c>
      <c r="B55" s="4"/>
      <c r="C55" s="9">
        <v>13950</v>
      </c>
      <c r="D55" s="9">
        <v>10214</v>
      </c>
      <c r="F55" s="36">
        <f t="shared" si="1"/>
        <v>1.9907838836411795E-2</v>
      </c>
      <c r="G55" s="36">
        <f t="shared" si="1"/>
        <v>2.360096030537526E-2</v>
      </c>
    </row>
    <row r="56" spans="1:7">
      <c r="A56" s="4" t="s">
        <v>48</v>
      </c>
      <c r="B56" s="4"/>
      <c r="C56" s="30" t="s">
        <v>15</v>
      </c>
      <c r="D56" s="9">
        <v>626</v>
      </c>
      <c r="F56" s="36"/>
    </row>
    <row r="57" spans="1:7">
      <c r="A57" s="4" t="s">
        <v>49</v>
      </c>
      <c r="B57" s="4"/>
      <c r="C57" s="16">
        <v>10382</v>
      </c>
      <c r="D57" s="16">
        <v>287</v>
      </c>
    </row>
    <row r="58" spans="1:7">
      <c r="A58" s="5" t="s">
        <v>50</v>
      </c>
      <c r="B58" s="5"/>
      <c r="C58" s="17">
        <f>SUM(C53:C57)</f>
        <v>83610</v>
      </c>
      <c r="D58" s="17">
        <f>SUM(D53:D57)</f>
        <v>47302</v>
      </c>
    </row>
    <row r="59" spans="1:7">
      <c r="A59" s="4" t="s">
        <v>51</v>
      </c>
      <c r="B59" s="4"/>
      <c r="C59" s="14"/>
      <c r="D59" s="14"/>
    </row>
    <row r="60" spans="1:7">
      <c r="A60" s="4" t="s">
        <v>52</v>
      </c>
      <c r="B60" s="4"/>
      <c r="C60" s="9">
        <v>100250</v>
      </c>
      <c r="D60" s="9">
        <v>100250</v>
      </c>
    </row>
    <row r="61" spans="1:7">
      <c r="A61" s="4" t="s">
        <v>53</v>
      </c>
      <c r="B61" s="4"/>
      <c r="C61" s="16">
        <v>99693</v>
      </c>
      <c r="D61" s="16">
        <v>17692</v>
      </c>
    </row>
    <row r="62" spans="1:7">
      <c r="A62" s="5"/>
      <c r="B62" s="5"/>
      <c r="C62" s="17">
        <f>SUM(C60:C61)</f>
        <v>199943</v>
      </c>
      <c r="D62" s="17">
        <f>SUM(D60:D61)</f>
        <v>117942</v>
      </c>
    </row>
    <row r="63" spans="1:7">
      <c r="A63" s="5" t="s">
        <v>54</v>
      </c>
      <c r="B63" s="5"/>
      <c r="C63" s="11">
        <v>861</v>
      </c>
      <c r="D63" s="11">
        <v>1320</v>
      </c>
    </row>
    <row r="64" spans="1:7">
      <c r="A64" s="5" t="s">
        <v>55</v>
      </c>
      <c r="B64" s="5"/>
      <c r="C64" s="11">
        <v>6687</v>
      </c>
      <c r="D64" s="11">
        <v>2586</v>
      </c>
    </row>
    <row r="65" spans="1:4" ht="15.9" customHeight="1">
      <c r="A65" s="4" t="s">
        <v>56</v>
      </c>
      <c r="B65" s="4"/>
      <c r="C65" s="10"/>
      <c r="D65" s="10"/>
    </row>
    <row r="66" spans="1:4" ht="21.9" customHeight="1">
      <c r="A66" s="7" t="s">
        <v>57</v>
      </c>
      <c r="B66" s="4"/>
      <c r="C66" s="9">
        <v>1258</v>
      </c>
      <c r="D66" s="9">
        <v>1253</v>
      </c>
    </row>
    <row r="67" spans="1:4">
      <c r="A67" s="4" t="s">
        <v>58</v>
      </c>
      <c r="B67" s="4"/>
      <c r="C67" s="9">
        <v>48900</v>
      </c>
      <c r="D67" s="9">
        <v>48246</v>
      </c>
    </row>
    <row r="68" spans="1:4">
      <c r="A68" s="4" t="s">
        <v>59</v>
      </c>
      <c r="B68" s="4"/>
      <c r="C68" s="15">
        <v>38934</v>
      </c>
      <c r="D68" s="15">
        <v>30715</v>
      </c>
    </row>
    <row r="69" spans="1:4">
      <c r="A69" s="5" t="s">
        <v>60</v>
      </c>
      <c r="B69" s="5"/>
      <c r="C69" s="17">
        <v>89092</v>
      </c>
      <c r="D69" s="17">
        <v>80214</v>
      </c>
    </row>
    <row r="70" spans="1:4">
      <c r="A70" s="4" t="s">
        <v>61</v>
      </c>
      <c r="B70" s="4"/>
      <c r="C70" s="9"/>
      <c r="D70" s="9"/>
    </row>
    <row r="71" spans="1:4">
      <c r="A71" s="5"/>
      <c r="B71" s="5"/>
      <c r="C71" s="17">
        <f>SUM(C58+C62+C63+C64+C69)</f>
        <v>380193</v>
      </c>
      <c r="D71" s="17">
        <f>SUM(D58+D62+D63+D64+D69)</f>
        <v>249364</v>
      </c>
    </row>
    <row r="72" spans="1:4">
      <c r="A72" s="27"/>
      <c r="B72" s="27"/>
      <c r="C72" s="28"/>
      <c r="D72" s="28"/>
    </row>
    <row r="73" spans="1:4" ht="15.6">
      <c r="A73" s="20" t="s">
        <v>62</v>
      </c>
      <c r="C73" s="2"/>
      <c r="D73" s="2"/>
    </row>
    <row r="74" spans="1:4" ht="16.2" thickBot="1">
      <c r="A74" s="20"/>
      <c r="C74" s="2"/>
      <c r="D74" s="2"/>
    </row>
    <row r="75" spans="1:4" ht="13.2" thickBot="1">
      <c r="A75" s="1" t="s">
        <v>63</v>
      </c>
      <c r="B75" s="13">
        <v>29983</v>
      </c>
      <c r="C75" s="13">
        <v>29619</v>
      </c>
      <c r="D75" s="13">
        <v>29248</v>
      </c>
    </row>
    <row r="76" spans="1:4">
      <c r="A76" s="4" t="s">
        <v>64</v>
      </c>
      <c r="B76" s="9">
        <v>8219</v>
      </c>
      <c r="C76" s="9">
        <v>14122</v>
      </c>
      <c r="D76" s="9">
        <v>10261</v>
      </c>
    </row>
    <row r="77" spans="1:4">
      <c r="A77" s="4" t="s">
        <v>65</v>
      </c>
      <c r="B77" s="10"/>
      <c r="C77" s="10"/>
      <c r="D77" s="10"/>
    </row>
    <row r="78" spans="1:4">
      <c r="A78" s="4" t="s">
        <v>66</v>
      </c>
      <c r="B78" s="9">
        <v>4376</v>
      </c>
      <c r="C78" s="9">
        <v>2275</v>
      </c>
      <c r="D78" s="9">
        <v>903</v>
      </c>
    </row>
    <row r="79" spans="1:4">
      <c r="A79" s="4" t="s">
        <v>67</v>
      </c>
      <c r="B79" s="9">
        <v>3612</v>
      </c>
      <c r="C79" s="9">
        <v>1508</v>
      </c>
      <c r="D79" s="9">
        <v>713</v>
      </c>
    </row>
    <row r="80" spans="1:4">
      <c r="A80" s="4" t="s">
        <v>68</v>
      </c>
      <c r="B80" s="9">
        <v>637</v>
      </c>
      <c r="C80" s="9">
        <v>93</v>
      </c>
      <c r="D80" s="29" t="s">
        <v>15</v>
      </c>
    </row>
    <row r="81" spans="1:4">
      <c r="A81" s="4" t="s">
        <v>69</v>
      </c>
      <c r="B81" s="9">
        <v>-1317</v>
      </c>
      <c r="C81" s="29" t="s">
        <v>15</v>
      </c>
      <c r="D81" s="29" t="s">
        <v>15</v>
      </c>
    </row>
    <row r="82" spans="1:4">
      <c r="A82" s="4" t="s">
        <v>70</v>
      </c>
      <c r="B82" s="16">
        <v>180</v>
      </c>
      <c r="C82" s="16">
        <v>77</v>
      </c>
      <c r="D82" s="16">
        <v>59</v>
      </c>
    </row>
    <row r="83" spans="1:4">
      <c r="A83" s="4" t="s">
        <v>71</v>
      </c>
      <c r="B83" s="9">
        <v>15707</v>
      </c>
      <c r="C83" s="9">
        <v>18075</v>
      </c>
      <c r="D83" s="9">
        <v>11936</v>
      </c>
    </row>
    <row r="84" spans="1:4">
      <c r="A84" s="4" t="s">
        <v>72</v>
      </c>
      <c r="B84" s="9">
        <v>9469</v>
      </c>
      <c r="C84" s="9">
        <v>864</v>
      </c>
      <c r="D84" s="9">
        <v>3</v>
      </c>
    </row>
    <row r="85" spans="1:4">
      <c r="A85" s="4" t="s">
        <v>73</v>
      </c>
      <c r="B85" s="9">
        <v>92400</v>
      </c>
      <c r="C85" s="9">
        <v>120350</v>
      </c>
      <c r="D85" s="9">
        <v>4200</v>
      </c>
    </row>
    <row r="86" spans="1:4">
      <c r="A86" s="4" t="s">
        <v>74</v>
      </c>
      <c r="B86" s="9">
        <v>659</v>
      </c>
      <c r="C86" s="9">
        <v>814</v>
      </c>
      <c r="D86" s="9">
        <v>36663</v>
      </c>
    </row>
    <row r="87" spans="1:4">
      <c r="A87" s="5"/>
      <c r="B87" s="17">
        <f>SUM(B83:B86)</f>
        <v>118235</v>
      </c>
      <c r="C87" s="17">
        <f>SUM(C83:C86)</f>
        <v>140103</v>
      </c>
      <c r="D87" s="17">
        <f>SUM(D83:D86)</f>
        <v>52802</v>
      </c>
    </row>
    <row r="88" spans="1:4">
      <c r="A88" s="1" t="s">
        <v>75</v>
      </c>
      <c r="B88" s="9"/>
      <c r="C88" s="9"/>
      <c r="D88" s="9"/>
    </row>
    <row r="89" spans="1:4" ht="15" customHeight="1">
      <c r="A89" s="4" t="s">
        <v>76</v>
      </c>
      <c r="B89" s="9">
        <v>99767</v>
      </c>
      <c r="C89" s="9">
        <v>50769</v>
      </c>
      <c r="D89" s="9">
        <v>16081</v>
      </c>
    </row>
    <row r="90" spans="1:4">
      <c r="A90" s="4" t="s">
        <v>77</v>
      </c>
      <c r="B90" s="9">
        <v>10399</v>
      </c>
      <c r="C90" s="9">
        <v>6792</v>
      </c>
      <c r="D90" s="9">
        <v>52</v>
      </c>
    </row>
    <row r="91" spans="1:4" ht="21.75" customHeight="1">
      <c r="A91" s="8" t="s">
        <v>78</v>
      </c>
      <c r="B91" s="9"/>
      <c r="C91" s="9"/>
      <c r="D91" s="9"/>
    </row>
    <row r="92" spans="1:4">
      <c r="A92" s="4" t="s">
        <v>79</v>
      </c>
      <c r="B92" s="29" t="s">
        <v>15</v>
      </c>
      <c r="C92" s="9">
        <v>4815</v>
      </c>
      <c r="D92" s="29" t="s">
        <v>15</v>
      </c>
    </row>
    <row r="93" spans="1:4">
      <c r="A93" s="4" t="s">
        <v>80</v>
      </c>
      <c r="B93" s="29" t="s">
        <v>15</v>
      </c>
      <c r="C93" s="9">
        <v>25291</v>
      </c>
      <c r="D93" s="29" t="s">
        <v>15</v>
      </c>
    </row>
    <row r="94" spans="1:4">
      <c r="A94" s="4" t="s">
        <v>81</v>
      </c>
      <c r="B94" s="29" t="s">
        <v>15</v>
      </c>
      <c r="C94" s="9">
        <v>-913</v>
      </c>
      <c r="D94" s="29" t="s">
        <v>15</v>
      </c>
    </row>
    <row r="95" spans="1:4">
      <c r="A95" s="4" t="s">
        <v>82</v>
      </c>
      <c r="B95" s="9">
        <v>1728</v>
      </c>
      <c r="C95" s="9">
        <v>2554</v>
      </c>
      <c r="D95" s="9">
        <v>252</v>
      </c>
    </row>
    <row r="96" spans="1:4">
      <c r="A96" s="4" t="s">
        <v>83</v>
      </c>
      <c r="B96" s="9">
        <v>6341</v>
      </c>
      <c r="C96" s="9">
        <v>50792</v>
      </c>
      <c r="D96" s="9">
        <v>36417</v>
      </c>
    </row>
    <row r="97" spans="1:4">
      <c r="A97" s="5"/>
      <c r="B97" s="17">
        <f>SUM(B89:B96)</f>
        <v>118235</v>
      </c>
      <c r="C97" s="17">
        <f>SUM(C89:C96)</f>
        <v>140100</v>
      </c>
      <c r="D97" s="17">
        <f>SUM(D89:D96)</f>
        <v>52802</v>
      </c>
    </row>
    <row r="98" spans="1:4">
      <c r="A98" s="1" t="s">
        <v>84</v>
      </c>
      <c r="B98" s="12"/>
      <c r="C98" s="12"/>
      <c r="D98" s="12"/>
    </row>
    <row r="99" spans="1:4">
      <c r="A99" s="4" t="s">
        <v>85</v>
      </c>
      <c r="B99" s="9"/>
      <c r="C99" s="9"/>
      <c r="D99" s="9"/>
    </row>
    <row r="100" spans="1:4">
      <c r="A100" s="4" t="s">
        <v>86</v>
      </c>
      <c r="B100" s="9">
        <v>-42391</v>
      </c>
      <c r="C100" s="9">
        <v>29894</v>
      </c>
      <c r="D100" s="9">
        <v>13917</v>
      </c>
    </row>
    <row r="101" spans="1:4">
      <c r="A101" s="4" t="s">
        <v>87</v>
      </c>
      <c r="B101" s="9">
        <v>15799</v>
      </c>
      <c r="C101" s="9">
        <v>7170</v>
      </c>
      <c r="D101" s="9">
        <v>1567</v>
      </c>
    </row>
    <row r="102" spans="1:4">
      <c r="A102" s="4" t="s">
        <v>88</v>
      </c>
      <c r="B102" s="9">
        <v>68654</v>
      </c>
      <c r="C102" s="9">
        <v>25334</v>
      </c>
      <c r="D102" s="9">
        <v>41137</v>
      </c>
    </row>
    <row r="103" spans="1:4">
      <c r="A103" s="4" t="s">
        <v>89</v>
      </c>
      <c r="B103" s="16">
        <v>587</v>
      </c>
      <c r="C103" s="16">
        <v>1206</v>
      </c>
      <c r="D103" s="16">
        <v>227</v>
      </c>
    </row>
    <row r="104" spans="1:4">
      <c r="A104" s="4"/>
      <c r="B104" s="9">
        <f>SUM(B100:B103)</f>
        <v>42649</v>
      </c>
      <c r="C104" s="9">
        <f>SUM(C100:C103)</f>
        <v>63604</v>
      </c>
      <c r="D104" s="9">
        <f>SUM(D100:D103)</f>
        <v>56848</v>
      </c>
    </row>
    <row r="105" spans="1:4">
      <c r="A105" s="4" t="s">
        <v>90</v>
      </c>
      <c r="B105" s="9"/>
      <c r="C105" s="9"/>
      <c r="D105" s="9"/>
    </row>
    <row r="106" spans="1:4">
      <c r="A106" s="4" t="s">
        <v>91</v>
      </c>
      <c r="B106" s="9">
        <v>21525</v>
      </c>
      <c r="C106" s="9">
        <v>10505</v>
      </c>
      <c r="D106" s="9">
        <v>17150</v>
      </c>
    </row>
    <row r="107" spans="1:4">
      <c r="A107" s="4" t="s">
        <v>92</v>
      </c>
      <c r="B107" s="9">
        <v>1578</v>
      </c>
      <c r="C107" s="9">
        <v>-93</v>
      </c>
      <c r="D107" s="9">
        <v>2524</v>
      </c>
    </row>
    <row r="108" spans="1:4">
      <c r="A108" s="4" t="s">
        <v>93</v>
      </c>
      <c r="B108" s="9">
        <v>3736</v>
      </c>
      <c r="C108" s="9">
        <v>2824</v>
      </c>
      <c r="D108" s="9">
        <v>341</v>
      </c>
    </row>
    <row r="109" spans="1:4">
      <c r="A109" s="4" t="s">
        <v>94</v>
      </c>
      <c r="B109" s="9">
        <v>-626</v>
      </c>
      <c r="C109" s="9">
        <v>-657</v>
      </c>
      <c r="D109" s="9">
        <v>406</v>
      </c>
    </row>
    <row r="110" spans="1:4">
      <c r="A110" s="4" t="s">
        <v>95</v>
      </c>
      <c r="B110" s="9">
        <v>10095</v>
      </c>
      <c r="C110" s="9">
        <v>233</v>
      </c>
      <c r="D110" s="9">
        <v>10</v>
      </c>
    </row>
    <row r="111" spans="1:4">
      <c r="A111" s="4"/>
      <c r="B111" s="9">
        <f>SUM(B106:B110)</f>
        <v>36308</v>
      </c>
      <c r="C111" s="9">
        <f>SUM(C106:C110)</f>
        <v>12812</v>
      </c>
      <c r="D111" s="9">
        <f>SUM(D106:D110)</f>
        <v>20431</v>
      </c>
    </row>
    <row r="112" spans="1:4" ht="15" customHeight="1">
      <c r="A112" s="5" t="s">
        <v>96</v>
      </c>
      <c r="B112" s="17">
        <f>(B104-B111)</f>
        <v>6341</v>
      </c>
      <c r="C112" s="17">
        <f>(C104-C111)</f>
        <v>50792</v>
      </c>
      <c r="D112" s="17">
        <f>(D104-D111)</f>
        <v>36417</v>
      </c>
    </row>
    <row r="113" spans="1:4">
      <c r="A113" s="27"/>
      <c r="B113" s="2"/>
      <c r="C113" s="2"/>
      <c r="D113" s="2"/>
    </row>
    <row r="114" spans="1:4">
      <c r="B114" s="2"/>
      <c r="C114" s="2"/>
      <c r="D114" s="2"/>
    </row>
    <row r="115" spans="1:4">
      <c r="B115" s="2"/>
      <c r="C115" s="2"/>
      <c r="D115" s="2"/>
    </row>
    <row r="116" spans="1:4">
      <c r="B116" s="2"/>
      <c r="C116" s="2"/>
      <c r="D116" s="2"/>
    </row>
    <row r="117" spans="1:4">
      <c r="B117" s="2"/>
      <c r="C117" s="2"/>
      <c r="D117" s="2"/>
    </row>
    <row r="118" spans="1:4">
      <c r="B118" s="2"/>
      <c r="C118" s="2"/>
      <c r="D118" s="2"/>
    </row>
    <row r="119" spans="1:4">
      <c r="B119" s="2"/>
      <c r="C119" s="2"/>
      <c r="D119" s="2"/>
    </row>
  </sheetData>
  <pageMargins left="0.5" right="0.5" top="0.5" bottom="0.5" header="0.5" footer="0.5"/>
  <pageSetup scale="98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homedepot</vt:lpstr>
      <vt:lpstr>Balance Sheet Proforma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Catherine Tasker</dc:creator>
  <cp:lastModifiedBy>Havlíček Jan</cp:lastModifiedBy>
  <cp:lastPrinted>2001-02-05T02:02:36Z</cp:lastPrinted>
  <dcterms:created xsi:type="dcterms:W3CDTF">2001-01-31T02:31:24Z</dcterms:created>
  <dcterms:modified xsi:type="dcterms:W3CDTF">2023-09-10T14:55:27Z</dcterms:modified>
</cp:coreProperties>
</file>