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0" yWindow="456" windowWidth="13740" windowHeight="8196"/>
  </bookViews>
  <sheets>
    <sheet name="Sheet1" sheetId="1" r:id="rId1"/>
    <sheet name="Sheet2" sheetId="2" r:id="rId2"/>
  </sheets>
  <definedNames>
    <definedName name="_xlnm.Print_Area" localSheetId="0">Sheet1!$A$24:$AA$56</definedName>
  </definedNames>
  <calcPr calcId="92512"/>
</workbook>
</file>

<file path=xl/calcChain.xml><?xml version="1.0" encoding="utf-8"?>
<calcChain xmlns="http://schemas.openxmlformats.org/spreadsheetml/2006/main">
  <c r="B7" i="1" l="1"/>
  <c r="F7" i="1"/>
  <c r="H7" i="1"/>
  <c r="J7" i="1"/>
  <c r="K7" i="1"/>
  <c r="N7" i="1"/>
  <c r="B8" i="1"/>
  <c r="F8" i="1"/>
  <c r="H8" i="1"/>
  <c r="J8" i="1"/>
  <c r="K8" i="1"/>
  <c r="N8" i="1"/>
  <c r="B9" i="1"/>
  <c r="F9" i="1"/>
  <c r="H9" i="1"/>
  <c r="J9" i="1"/>
  <c r="K9" i="1"/>
  <c r="N9" i="1"/>
  <c r="B10" i="1"/>
  <c r="F10" i="1"/>
  <c r="H10" i="1"/>
  <c r="J10" i="1"/>
  <c r="K10" i="1"/>
  <c r="N10" i="1"/>
  <c r="B11" i="1"/>
  <c r="F11" i="1"/>
  <c r="G11" i="1"/>
  <c r="H11" i="1"/>
  <c r="J11" i="1"/>
  <c r="K11" i="1"/>
  <c r="N11" i="1"/>
  <c r="B12" i="1"/>
  <c r="F12" i="1"/>
  <c r="H12" i="1"/>
  <c r="J12" i="1"/>
  <c r="K12" i="1"/>
  <c r="N12" i="1"/>
  <c r="B13" i="1"/>
  <c r="D13" i="1"/>
  <c r="F13" i="1"/>
  <c r="G13" i="1"/>
  <c r="H13" i="1"/>
  <c r="J13" i="1"/>
  <c r="K13" i="1"/>
  <c r="B14" i="1"/>
  <c r="D14" i="1"/>
  <c r="F14" i="1"/>
  <c r="G14" i="1"/>
  <c r="H14" i="1"/>
  <c r="J14" i="1"/>
  <c r="K14" i="1"/>
  <c r="B15" i="1"/>
  <c r="D15" i="1"/>
  <c r="G15" i="1"/>
  <c r="H15" i="1"/>
  <c r="J15" i="1"/>
  <c r="K15" i="1"/>
  <c r="B16" i="1"/>
  <c r="D16" i="1"/>
  <c r="G16" i="1"/>
  <c r="H16" i="1"/>
  <c r="J16" i="1"/>
  <c r="K16" i="1"/>
  <c r="B17" i="1"/>
  <c r="D17" i="1"/>
  <c r="G17" i="1"/>
  <c r="H17" i="1"/>
  <c r="J17" i="1"/>
  <c r="K17" i="1"/>
  <c r="B18" i="1"/>
  <c r="D18" i="1"/>
  <c r="G18" i="1"/>
  <c r="H18" i="1"/>
  <c r="J18" i="1"/>
  <c r="K18" i="1"/>
  <c r="B19" i="1"/>
  <c r="D19" i="1"/>
  <c r="G19" i="1"/>
  <c r="H19" i="1"/>
  <c r="J19" i="1"/>
  <c r="K19" i="1"/>
  <c r="D21" i="1"/>
  <c r="E21" i="1"/>
  <c r="H21" i="1"/>
  <c r="J21" i="1"/>
  <c r="K21" i="1"/>
  <c r="B30" i="1"/>
  <c r="F30" i="1"/>
  <c r="H30" i="1"/>
  <c r="O30" i="1"/>
  <c r="R30" i="1"/>
  <c r="V30" i="1"/>
  <c r="W30" i="1"/>
  <c r="X30" i="1"/>
  <c r="Y30" i="1"/>
  <c r="Z30" i="1"/>
  <c r="AA30" i="1"/>
  <c r="B31" i="1"/>
  <c r="D31" i="1"/>
  <c r="F31" i="1"/>
  <c r="H31" i="1"/>
  <c r="O31" i="1"/>
  <c r="R31" i="1"/>
  <c r="V31" i="1"/>
  <c r="W31" i="1"/>
  <c r="X31" i="1"/>
  <c r="Y31" i="1"/>
  <c r="Z31" i="1"/>
  <c r="AA31" i="1"/>
  <c r="B32" i="1"/>
  <c r="D32" i="1"/>
  <c r="F32" i="1"/>
  <c r="H32" i="1"/>
  <c r="O32" i="1"/>
  <c r="R32" i="1"/>
  <c r="V32" i="1"/>
  <c r="W32" i="1"/>
  <c r="X32" i="1"/>
  <c r="Y32" i="1"/>
  <c r="Z32" i="1"/>
  <c r="AA32" i="1"/>
  <c r="B33" i="1"/>
  <c r="D33" i="1"/>
  <c r="F33" i="1"/>
  <c r="H33" i="1"/>
  <c r="O33" i="1"/>
  <c r="R33" i="1"/>
  <c r="V33" i="1"/>
  <c r="W33" i="1"/>
  <c r="X33" i="1"/>
  <c r="Y33" i="1"/>
  <c r="Z33" i="1"/>
  <c r="AA33" i="1"/>
  <c r="B34" i="1"/>
  <c r="D34" i="1"/>
  <c r="F34" i="1"/>
  <c r="H34" i="1"/>
  <c r="O34" i="1"/>
  <c r="R34" i="1"/>
  <c r="V34" i="1"/>
  <c r="W34" i="1"/>
  <c r="X34" i="1"/>
  <c r="Y34" i="1"/>
  <c r="Z34" i="1"/>
  <c r="AA34" i="1"/>
  <c r="B35" i="1"/>
  <c r="D35" i="1"/>
  <c r="F35" i="1"/>
  <c r="H35" i="1"/>
  <c r="O35" i="1"/>
  <c r="R35" i="1"/>
  <c r="V35" i="1"/>
  <c r="W35" i="1"/>
  <c r="X35" i="1"/>
  <c r="Y35" i="1"/>
  <c r="Z35" i="1"/>
  <c r="AA35" i="1"/>
  <c r="B36" i="1"/>
  <c r="F36" i="1"/>
  <c r="H36" i="1"/>
  <c r="O36" i="1"/>
  <c r="R36" i="1"/>
  <c r="V36" i="1"/>
  <c r="W36" i="1"/>
  <c r="X36" i="1"/>
  <c r="Y36" i="1"/>
  <c r="Z36" i="1"/>
  <c r="AA36" i="1"/>
  <c r="B37" i="1"/>
  <c r="F37" i="1"/>
  <c r="H37" i="1"/>
  <c r="O37" i="1"/>
  <c r="R37" i="1"/>
  <c r="S37" i="1"/>
  <c r="V37" i="1"/>
  <c r="W37" i="1"/>
  <c r="X37" i="1"/>
  <c r="Y37" i="1"/>
  <c r="Z37" i="1"/>
  <c r="AA37" i="1"/>
  <c r="B38" i="1"/>
  <c r="F38" i="1"/>
  <c r="H38" i="1"/>
  <c r="O38" i="1"/>
  <c r="R38" i="1"/>
  <c r="S38" i="1"/>
  <c r="V38" i="1"/>
  <c r="W38" i="1"/>
  <c r="X38" i="1"/>
  <c r="Y38" i="1"/>
  <c r="Z38" i="1"/>
  <c r="AA38" i="1"/>
  <c r="B39" i="1"/>
  <c r="F39" i="1"/>
  <c r="H39" i="1"/>
  <c r="O39" i="1"/>
  <c r="R39" i="1"/>
  <c r="S39" i="1"/>
  <c r="V39" i="1"/>
  <c r="W39" i="1"/>
  <c r="X39" i="1"/>
  <c r="Y39" i="1"/>
  <c r="Z39" i="1"/>
  <c r="AA39" i="1"/>
  <c r="B40" i="1"/>
  <c r="F40" i="1"/>
  <c r="H40" i="1"/>
  <c r="O40" i="1"/>
  <c r="R40" i="1"/>
  <c r="S40" i="1"/>
  <c r="V40" i="1"/>
  <c r="W40" i="1"/>
  <c r="X40" i="1"/>
  <c r="Y40" i="1"/>
  <c r="Z40" i="1"/>
  <c r="AA40" i="1"/>
  <c r="B41" i="1"/>
  <c r="F41" i="1"/>
  <c r="H41" i="1"/>
  <c r="O41" i="1"/>
  <c r="R41" i="1"/>
  <c r="S41" i="1"/>
  <c r="V41" i="1"/>
  <c r="W41" i="1"/>
  <c r="X41" i="1"/>
  <c r="Y41" i="1"/>
  <c r="Z41" i="1"/>
  <c r="AA41" i="1"/>
  <c r="B42" i="1"/>
  <c r="F42" i="1"/>
  <c r="H42" i="1"/>
  <c r="O42" i="1"/>
  <c r="R42" i="1"/>
  <c r="S42" i="1"/>
  <c r="V42" i="1"/>
  <c r="W42" i="1"/>
  <c r="X42" i="1"/>
  <c r="Y42" i="1"/>
  <c r="Z42" i="1"/>
  <c r="AA42" i="1"/>
  <c r="O43" i="1"/>
  <c r="R43" i="1"/>
  <c r="S43" i="1"/>
  <c r="V43" i="1"/>
  <c r="W43" i="1"/>
  <c r="X43" i="1"/>
  <c r="Y43" i="1"/>
  <c r="Z43" i="1"/>
  <c r="AA43" i="1"/>
  <c r="O44" i="1"/>
  <c r="R44" i="1"/>
  <c r="S44" i="1"/>
  <c r="V44" i="1"/>
  <c r="W44" i="1"/>
  <c r="X44" i="1"/>
  <c r="Y44" i="1"/>
  <c r="Z44" i="1"/>
  <c r="AA44" i="1"/>
  <c r="O45" i="1"/>
  <c r="R45" i="1"/>
  <c r="S45" i="1"/>
  <c r="V45" i="1"/>
  <c r="W45" i="1"/>
  <c r="X45" i="1"/>
  <c r="Y45" i="1"/>
  <c r="Z45" i="1"/>
  <c r="AA45" i="1"/>
  <c r="O46" i="1"/>
  <c r="R46" i="1"/>
  <c r="S46" i="1"/>
  <c r="V46" i="1"/>
  <c r="W46" i="1"/>
  <c r="X46" i="1"/>
  <c r="Y46" i="1"/>
  <c r="Z46" i="1"/>
  <c r="AA46" i="1"/>
  <c r="O47" i="1"/>
  <c r="R47" i="1"/>
  <c r="S47" i="1"/>
  <c r="V47" i="1"/>
  <c r="W47" i="1"/>
  <c r="X47" i="1"/>
  <c r="Y47" i="1"/>
  <c r="Z47" i="1"/>
  <c r="AA47" i="1"/>
  <c r="O48" i="1"/>
  <c r="R48" i="1"/>
  <c r="S48" i="1"/>
  <c r="V48" i="1"/>
  <c r="W48" i="1"/>
  <c r="X48" i="1"/>
  <c r="Y48" i="1"/>
  <c r="Z48" i="1"/>
  <c r="AA48" i="1"/>
  <c r="O49" i="1"/>
  <c r="R49" i="1"/>
  <c r="S49" i="1"/>
  <c r="V49" i="1"/>
  <c r="W49" i="1"/>
  <c r="X49" i="1"/>
  <c r="Y49" i="1"/>
  <c r="Z49" i="1"/>
  <c r="AA49" i="1"/>
  <c r="O50" i="1"/>
  <c r="R50" i="1"/>
  <c r="S50" i="1"/>
  <c r="V50" i="1"/>
  <c r="W50" i="1"/>
  <c r="X50" i="1"/>
  <c r="Y50" i="1"/>
  <c r="Z50" i="1"/>
  <c r="AA50" i="1"/>
  <c r="O51" i="1"/>
  <c r="R51" i="1"/>
  <c r="S51" i="1"/>
  <c r="V51" i="1"/>
  <c r="W51" i="1"/>
  <c r="X51" i="1"/>
  <c r="Y51" i="1"/>
  <c r="Z51" i="1"/>
  <c r="AA51" i="1"/>
  <c r="O52" i="1"/>
  <c r="R52" i="1"/>
  <c r="S52" i="1"/>
  <c r="V52" i="1"/>
  <c r="W52" i="1"/>
  <c r="X52" i="1"/>
  <c r="Y52" i="1"/>
  <c r="Z52" i="1"/>
  <c r="AA52" i="1"/>
  <c r="O53" i="1"/>
  <c r="R53" i="1"/>
  <c r="S53" i="1"/>
  <c r="V53" i="1"/>
  <c r="W53" i="1"/>
  <c r="X53" i="1"/>
  <c r="Y53" i="1"/>
  <c r="Z53" i="1"/>
  <c r="AA53" i="1"/>
  <c r="O54" i="1"/>
  <c r="R54" i="1"/>
  <c r="S54" i="1"/>
  <c r="V54" i="1"/>
  <c r="W54" i="1"/>
  <c r="X54" i="1"/>
  <c r="Y54" i="1"/>
  <c r="Z54" i="1"/>
  <c r="AA54" i="1"/>
  <c r="F56" i="1"/>
  <c r="R56" i="1"/>
  <c r="Z56" i="1"/>
  <c r="F58" i="1"/>
  <c r="R60" i="1"/>
  <c r="E65" i="1"/>
  <c r="B66" i="1"/>
  <c r="E66" i="1"/>
  <c r="B67" i="1"/>
  <c r="E67" i="1"/>
  <c r="B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</calcChain>
</file>

<file path=xl/comments1.xml><?xml version="1.0" encoding="utf-8"?>
<comments xmlns="http://schemas.openxmlformats.org/spreadsheetml/2006/main">
  <authors>
    <author>lfascett</author>
  </authors>
  <commentList>
    <comment ref="D5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D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P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X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E37" authorId="0" shapeId="0">
      <text>
        <r>
          <rPr>
            <b/>
            <sz val="8"/>
            <color indexed="81"/>
            <rFont val="Tahoma"/>
          </rPr>
          <t xml:space="preserve">lfascett:
Cashflows updated from TAGG on 9/25
</t>
        </r>
      </text>
    </comment>
    <comment ref="Q3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Cashflows updated from TAGG on 9/25/01</t>
        </r>
      </text>
    </comment>
  </commentList>
</comments>
</file>

<file path=xl/sharedStrings.xml><?xml version="1.0" encoding="utf-8"?>
<sst xmlns="http://schemas.openxmlformats.org/spreadsheetml/2006/main" count="82" uniqueCount="29">
  <si>
    <t>Per Troy's Calculation:</t>
  </si>
  <si>
    <t>Corporate Rate for Capital</t>
  </si>
  <si>
    <t xml:space="preserve">Monthly </t>
  </si>
  <si>
    <t>Cummulative</t>
  </si>
  <si>
    <t xml:space="preserve">Financial </t>
  </si>
  <si>
    <t>Prime</t>
  </si>
  <si>
    <t xml:space="preserve">Carrying </t>
  </si>
  <si>
    <t>Corp</t>
  </si>
  <si>
    <t>Month</t>
  </si>
  <si>
    <t>Volume</t>
  </si>
  <si>
    <t>Liquidations</t>
  </si>
  <si>
    <t>WACOG</t>
  </si>
  <si>
    <t>Rate</t>
  </si>
  <si>
    <t>Cost</t>
  </si>
  <si>
    <t>P/L</t>
  </si>
  <si>
    <t>totals</t>
  </si>
  <si>
    <t>Cashflows</t>
  </si>
  <si>
    <t xml:space="preserve">Net </t>
  </si>
  <si>
    <t>Monthly Cashflow</t>
  </si>
  <si>
    <t>Operational Plan</t>
  </si>
  <si>
    <t>fuel</t>
  </si>
  <si>
    <t>Physical</t>
  </si>
  <si>
    <t>NSS 2 - Year 2</t>
  </si>
  <si>
    <t>NSS 1 - Year 3</t>
  </si>
  <si>
    <t>NSS Combined Cashflows</t>
  </si>
  <si>
    <t>s/b</t>
  </si>
  <si>
    <t>differ</t>
  </si>
  <si>
    <t>annuities</t>
  </si>
  <si>
    <t>tomorrow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</si>
</sst>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0_);[Red]\(&quot;$&quot;#,##0.000\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1" fillId="0" borderId="0" xfId="2" applyAlignment="1">
      <alignment horizontal="center"/>
    </xf>
    <xf numFmtId="0" fontId="1" fillId="0" borderId="0" xfId="2"/>
    <xf numFmtId="0" fontId="2" fillId="0" borderId="1" xfId="2" applyFont="1" applyBorder="1" applyAlignment="1">
      <alignment horizontal="left"/>
    </xf>
    <xf numFmtId="0" fontId="2" fillId="0" borderId="2" xfId="2" applyFont="1" applyBorder="1" applyAlignment="1">
      <alignment horizontal="left"/>
    </xf>
    <xf numFmtId="0" fontId="1" fillId="0" borderId="2" xfId="2" applyBorder="1"/>
    <xf numFmtId="0" fontId="1" fillId="0" borderId="2" xfId="2" applyBorder="1" applyAlignment="1">
      <alignment horizontal="center"/>
    </xf>
    <xf numFmtId="0" fontId="1" fillId="0" borderId="3" xfId="2" applyBorder="1"/>
    <xf numFmtId="0" fontId="2" fillId="0" borderId="2" xfId="2" applyFont="1" applyBorder="1"/>
    <xf numFmtId="0" fontId="2" fillId="0" borderId="4" xfId="2" applyFont="1" applyBorder="1"/>
    <xf numFmtId="0" fontId="1" fillId="0" borderId="5" xfId="2" applyBorder="1" applyAlignment="1">
      <alignment horizontal="center"/>
    </xf>
    <xf numFmtId="0" fontId="1" fillId="0" borderId="0" xfId="2" applyBorder="1" applyAlignment="1">
      <alignment horizontal="center"/>
    </xf>
    <xf numFmtId="0" fontId="1" fillId="0" borderId="0" xfId="2" applyBorder="1"/>
    <xf numFmtId="0" fontId="1" fillId="0" borderId="6" xfId="2" applyBorder="1"/>
    <xf numFmtId="0" fontId="1" fillId="0" borderId="7" xfId="2" applyBorder="1"/>
    <xf numFmtId="0" fontId="1" fillId="0" borderId="6" xfId="2" applyBorder="1" applyAlignment="1">
      <alignment horizontal="center"/>
    </xf>
    <xf numFmtId="0" fontId="1" fillId="0" borderId="7" xfId="2" applyBorder="1" applyAlignment="1">
      <alignment horizontal="center"/>
    </xf>
    <xf numFmtId="0" fontId="3" fillId="0" borderId="5" xfId="2" applyFont="1" applyBorder="1" applyAlignment="1">
      <alignment horizontal="center"/>
    </xf>
    <xf numFmtId="0" fontId="3" fillId="0" borderId="0" xfId="2" applyFont="1" applyBorder="1" applyAlignment="1">
      <alignment horizontal="center"/>
    </xf>
    <xf numFmtId="0" fontId="3" fillId="0" borderId="0" xfId="2" applyFont="1" applyBorder="1"/>
    <xf numFmtId="0" fontId="3" fillId="0" borderId="6" xfId="2" applyFont="1" applyBorder="1" applyAlignment="1">
      <alignment horizontal="center"/>
    </xf>
    <xf numFmtId="0" fontId="3" fillId="0" borderId="7" xfId="2" applyFont="1" applyBorder="1" applyAlignment="1">
      <alignment horizontal="center"/>
    </xf>
    <xf numFmtId="6" fontId="1" fillId="0" borderId="6" xfId="2" applyNumberFormat="1" applyBorder="1" applyAlignment="1">
      <alignment horizontal="center"/>
    </xf>
    <xf numFmtId="17" fontId="1" fillId="0" borderId="5" xfId="2" applyNumberFormat="1" applyBorder="1" applyAlignment="1">
      <alignment horizontal="center"/>
    </xf>
    <xf numFmtId="3" fontId="1" fillId="0" borderId="0" xfId="2" applyNumberFormat="1" applyAlignment="1">
      <alignment horizontal="center"/>
    </xf>
    <xf numFmtId="6" fontId="1" fillId="0" borderId="0" xfId="1" applyNumberFormat="1" applyBorder="1" applyAlignment="1">
      <alignment horizontal="center"/>
    </xf>
    <xf numFmtId="164" fontId="1" fillId="0" borderId="0" xfId="1" applyNumberFormat="1" applyBorder="1" applyAlignment="1">
      <alignment horizontal="center"/>
    </xf>
    <xf numFmtId="10" fontId="1" fillId="0" borderId="0" xfId="3" applyNumberFormat="1" applyBorder="1" applyAlignment="1">
      <alignment horizontal="center"/>
    </xf>
    <xf numFmtId="6" fontId="1" fillId="0" borderId="6" xfId="1" applyNumberFormat="1" applyBorder="1" applyAlignment="1">
      <alignment horizontal="center"/>
    </xf>
    <xf numFmtId="6" fontId="1" fillId="0" borderId="7" xfId="1" applyNumberFormat="1" applyBorder="1" applyAlignment="1">
      <alignment horizontal="center"/>
    </xf>
    <xf numFmtId="17" fontId="1" fillId="0" borderId="5" xfId="2" applyNumberFormat="1" applyFill="1" applyBorder="1" applyAlignment="1">
      <alignment horizontal="center"/>
    </xf>
    <xf numFmtId="3" fontId="1" fillId="0" borderId="0" xfId="2" applyNumberFormat="1" applyFill="1" applyAlignment="1">
      <alignment horizontal="center"/>
    </xf>
    <xf numFmtId="6" fontId="1" fillId="0" borderId="0" xfId="1" applyNumberFormat="1" applyFill="1" applyBorder="1" applyAlignment="1">
      <alignment horizontal="center"/>
    </xf>
    <xf numFmtId="164" fontId="1" fillId="0" borderId="0" xfId="1" applyNumberFormat="1" applyFill="1" applyBorder="1" applyAlignment="1">
      <alignment horizontal="center"/>
    </xf>
    <xf numFmtId="10" fontId="1" fillId="0" borderId="0" xfId="3" applyNumberFormat="1" applyFill="1" applyAlignment="1">
      <alignment horizontal="center"/>
    </xf>
    <xf numFmtId="6" fontId="1" fillId="0" borderId="6" xfId="1" applyNumberFormat="1" applyFill="1" applyBorder="1" applyAlignment="1">
      <alignment horizontal="center"/>
    </xf>
    <xf numFmtId="10" fontId="1" fillId="0" borderId="0" xfId="3" applyNumberFormat="1" applyFill="1" applyBorder="1" applyAlignment="1">
      <alignment horizontal="center"/>
    </xf>
    <xf numFmtId="6" fontId="1" fillId="0" borderId="7" xfId="1" applyNumberFormat="1" applyFill="1" applyBorder="1" applyAlignment="1">
      <alignment horizontal="center"/>
    </xf>
    <xf numFmtId="9" fontId="1" fillId="0" borderId="0" xfId="3"/>
    <xf numFmtId="17" fontId="1" fillId="0" borderId="0" xfId="2" applyNumberFormat="1" applyAlignment="1">
      <alignment horizontal="center"/>
    </xf>
    <xf numFmtId="3" fontId="1" fillId="0" borderId="0" xfId="2" applyNumberFormat="1" applyBorder="1" applyAlignment="1">
      <alignment horizontal="center"/>
    </xf>
    <xf numFmtId="8" fontId="1" fillId="0" borderId="0" xfId="1" applyNumberFormat="1" applyBorder="1" applyAlignment="1">
      <alignment horizontal="center"/>
    </xf>
    <xf numFmtId="3" fontId="1" fillId="0" borderId="0" xfId="2" applyNumberFormat="1" applyFill="1" applyBorder="1" applyAlignment="1">
      <alignment horizontal="center"/>
    </xf>
    <xf numFmtId="8" fontId="1" fillId="0" borderId="0" xfId="1" applyNumberFormat="1" applyFill="1" applyBorder="1" applyAlignment="1">
      <alignment horizontal="center"/>
    </xf>
    <xf numFmtId="37" fontId="1" fillId="0" borderId="0" xfId="2" applyNumberFormat="1" applyFill="1" applyBorder="1" applyAlignment="1">
      <alignment horizontal="center"/>
    </xf>
    <xf numFmtId="6" fontId="1" fillId="0" borderId="0" xfId="2" applyNumberFormat="1" applyFill="1" applyBorder="1" applyAlignment="1">
      <alignment horizontal="center"/>
    </xf>
    <xf numFmtId="6" fontId="1" fillId="0" borderId="6" xfId="2" applyNumberFormat="1" applyFill="1" applyBorder="1"/>
    <xf numFmtId="6" fontId="1" fillId="0" borderId="6" xfId="2" applyNumberFormat="1" applyFill="1" applyBorder="1" applyAlignment="1">
      <alignment horizontal="center"/>
    </xf>
    <xf numFmtId="6" fontId="1" fillId="0" borderId="7" xfId="2" applyNumberFormat="1" applyFill="1" applyBorder="1" applyAlignment="1">
      <alignment horizontal="center"/>
    </xf>
    <xf numFmtId="17" fontId="1" fillId="0" borderId="0" xfId="2" applyNumberFormat="1" applyFill="1" applyBorder="1" applyAlignment="1">
      <alignment horizontal="center"/>
    </xf>
    <xf numFmtId="17" fontId="1" fillId="0" borderId="8" xfId="2" applyNumberFormat="1" applyFill="1" applyBorder="1" applyAlignment="1">
      <alignment horizontal="center"/>
    </xf>
    <xf numFmtId="17" fontId="1" fillId="0" borderId="9" xfId="2" applyNumberFormat="1" applyFill="1" applyBorder="1" applyAlignment="1">
      <alignment horizontal="center"/>
    </xf>
    <xf numFmtId="0" fontId="1" fillId="0" borderId="9" xfId="2" applyFill="1" applyBorder="1" applyAlignment="1">
      <alignment horizontal="center"/>
    </xf>
    <xf numFmtId="10" fontId="1" fillId="0" borderId="9" xfId="3" applyNumberFormat="1" applyFill="1" applyBorder="1" applyAlignment="1">
      <alignment horizontal="center"/>
    </xf>
    <xf numFmtId="0" fontId="1" fillId="0" borderId="10" xfId="2" applyFill="1" applyBorder="1"/>
    <xf numFmtId="0" fontId="1" fillId="0" borderId="10" xfId="2" applyFill="1" applyBorder="1" applyAlignment="1">
      <alignment horizontal="center"/>
    </xf>
    <xf numFmtId="6" fontId="1" fillId="0" borderId="11" xfId="2" applyNumberFormat="1" applyFill="1" applyBorder="1" applyAlignment="1">
      <alignment horizontal="center"/>
    </xf>
    <xf numFmtId="0" fontId="0" fillId="0" borderId="0" xfId="0" applyAlignment="1">
      <alignment horizontal="center"/>
    </xf>
    <xf numFmtId="3" fontId="1" fillId="2" borderId="0" xfId="2" applyNumberFormat="1" applyFill="1" applyAlignment="1">
      <alignment horizontal="center"/>
    </xf>
    <xf numFmtId="6" fontId="1" fillId="2" borderId="0" xfId="1" applyNumberFormat="1" applyFill="1" applyBorder="1" applyAlignment="1">
      <alignment horizontal="center"/>
    </xf>
    <xf numFmtId="17" fontId="1" fillId="3" borderId="5" xfId="2" applyNumberFormat="1" applyFill="1" applyBorder="1" applyAlignment="1">
      <alignment horizontal="center"/>
    </xf>
    <xf numFmtId="3" fontId="1" fillId="3" borderId="0" xfId="2" applyNumberFormat="1" applyFill="1" applyAlignment="1">
      <alignment horizontal="center"/>
    </xf>
    <xf numFmtId="6" fontId="1" fillId="3" borderId="0" xfId="1" applyNumberFormat="1" applyFill="1" applyBorder="1" applyAlignment="1">
      <alignment horizontal="center"/>
    </xf>
    <xf numFmtId="164" fontId="1" fillId="3" borderId="0" xfId="1" applyNumberFormat="1" applyFill="1" applyBorder="1" applyAlignment="1">
      <alignment horizontal="center"/>
    </xf>
    <xf numFmtId="10" fontId="1" fillId="3" borderId="0" xfId="3" applyNumberFormat="1" applyFill="1" applyAlignment="1">
      <alignment horizontal="center"/>
    </xf>
    <xf numFmtId="6" fontId="1" fillId="3" borderId="6" xfId="1" applyNumberFormat="1" applyFill="1" applyBorder="1" applyAlignment="1">
      <alignment horizontal="center"/>
    </xf>
    <xf numFmtId="10" fontId="1" fillId="3" borderId="0" xfId="3" applyNumberFormat="1" applyFill="1" applyBorder="1" applyAlignment="1">
      <alignment horizontal="center"/>
    </xf>
    <xf numFmtId="6" fontId="1" fillId="3" borderId="7" xfId="1" applyNumberFormat="1" applyFill="1" applyBorder="1" applyAlignment="1">
      <alignment horizontal="center"/>
    </xf>
    <xf numFmtId="17" fontId="1" fillId="0" borderId="0" xfId="2" applyNumberFormat="1" applyBorder="1" applyAlignment="1">
      <alignment horizontal="center"/>
    </xf>
    <xf numFmtId="0" fontId="1" fillId="0" borderId="0" xfId="2" applyFill="1" applyBorder="1" applyAlignment="1">
      <alignment horizontal="center"/>
    </xf>
    <xf numFmtId="0" fontId="0" fillId="0" borderId="0" xfId="0" applyBorder="1"/>
    <xf numFmtId="6" fontId="1" fillId="0" borderId="0" xfId="2" applyNumberFormat="1" applyFill="1" applyBorder="1"/>
    <xf numFmtId="0" fontId="0" fillId="0" borderId="0" xfId="0" applyFill="1" applyBorder="1"/>
    <xf numFmtId="0" fontId="2" fillId="0" borderId="0" xfId="2" applyFont="1" applyBorder="1" applyAlignment="1">
      <alignment horizontal="left"/>
    </xf>
    <xf numFmtId="0" fontId="2" fillId="0" borderId="0" xfId="2" applyFont="1" applyBorder="1"/>
    <xf numFmtId="6" fontId="1" fillId="0" borderId="0" xfId="2" applyNumberForma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37" fontId="6" fillId="0" borderId="0" xfId="0" applyNumberFormat="1" applyFont="1" applyFill="1" applyBorder="1" applyAlignment="1">
      <alignment horizontal="center"/>
    </xf>
    <xf numFmtId="0" fontId="1" fillId="0" borderId="0" xfId="2" applyFill="1" applyBorder="1"/>
    <xf numFmtId="37" fontId="1" fillId="0" borderId="0" xfId="2" applyNumberFormat="1" applyFill="1" applyAlignment="1">
      <alignment horizontal="center"/>
    </xf>
    <xf numFmtId="37" fontId="1" fillId="0" borderId="0" xfId="2" applyNumberFormat="1" applyBorder="1" applyAlignment="1">
      <alignment horizontal="center"/>
    </xf>
    <xf numFmtId="6" fontId="1" fillId="4" borderId="0" xfId="1" applyNumberFormat="1" applyFill="1" applyBorder="1" applyAlignment="1">
      <alignment horizontal="center"/>
    </xf>
    <xf numFmtId="6" fontId="0" fillId="0" borderId="0" xfId="0" applyNumberFormat="1" applyAlignment="1">
      <alignment horizontal="center"/>
    </xf>
    <xf numFmtId="6" fontId="0" fillId="0" borderId="0" xfId="0" applyNumberFormat="1"/>
  </cellXfs>
  <cellStyles count="4">
    <cellStyle name="Currency" xfId="1" builtinId="4"/>
    <cellStyle name="Normal" xfId="0" builtinId="0"/>
    <cellStyle name="Normal_NSS Value Summary 3-30-01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B80"/>
  <sheetViews>
    <sheetView tabSelected="1" zoomScale="65" workbookViewId="0">
      <selection activeCell="E31" sqref="E31"/>
    </sheetView>
  </sheetViews>
  <sheetFormatPr defaultRowHeight="13.2" x14ac:dyDescent="0.25"/>
  <cols>
    <col min="1" max="1" width="18.88671875" customWidth="1"/>
    <col min="2" max="2" width="11.33203125" customWidth="1"/>
    <col min="3" max="3" width="13.5546875" bestFit="1" customWidth="1"/>
    <col min="4" max="4" width="14.109375" bestFit="1" customWidth="1"/>
    <col min="5" max="5" width="18.109375" bestFit="1" customWidth="1"/>
    <col min="6" max="6" width="18.109375" style="57" bestFit="1" customWidth="1"/>
    <col min="7" max="7" width="7" bestFit="1" customWidth="1"/>
    <col min="8" max="8" width="12" customWidth="1"/>
    <col min="9" max="9" width="32.6640625" bestFit="1" customWidth="1"/>
    <col min="10" max="10" width="12" customWidth="1"/>
    <col min="11" max="11" width="11.109375" bestFit="1" customWidth="1"/>
    <col min="12" max="12" width="7.88671875" customWidth="1"/>
    <col min="13" max="13" width="16.88671875" bestFit="1" customWidth="1"/>
    <col min="14" max="14" width="11.33203125" bestFit="1" customWidth="1"/>
    <col min="15" max="15" width="13.5546875" bestFit="1" customWidth="1"/>
    <col min="16" max="16" width="12.44140625" bestFit="1" customWidth="1"/>
    <col min="17" max="17" width="12.44140625" customWidth="1"/>
    <col min="18" max="18" width="18.109375" bestFit="1" customWidth="1"/>
    <col min="19" max="19" width="14" customWidth="1"/>
    <col min="22" max="22" width="11.33203125" bestFit="1" customWidth="1"/>
    <col min="23" max="23" width="13.5546875" bestFit="1" customWidth="1"/>
    <col min="24" max="25" width="12.44140625" bestFit="1" customWidth="1"/>
    <col min="26" max="26" width="18.109375" bestFit="1" customWidth="1"/>
    <col min="27" max="27" width="10" bestFit="1" customWidth="1"/>
  </cols>
  <sheetData>
    <row r="1" spans="1:19" ht="13.8" thickBot="1" x14ac:dyDescent="0.3">
      <c r="A1" s="1"/>
      <c r="B1" s="1"/>
      <c r="C1" s="1"/>
      <c r="D1" s="2"/>
      <c r="E1" s="2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5">
      <c r="A2" s="3" t="s">
        <v>0</v>
      </c>
      <c r="B2" s="4"/>
      <c r="C2" s="4"/>
      <c r="D2" s="5"/>
      <c r="E2" s="5"/>
      <c r="F2" s="6"/>
      <c r="G2" s="6"/>
      <c r="H2" s="7"/>
      <c r="I2" s="8" t="s">
        <v>1</v>
      </c>
      <c r="J2" s="7"/>
      <c r="K2" s="9"/>
      <c r="L2" s="2"/>
      <c r="M2" s="1" t="s">
        <v>19</v>
      </c>
      <c r="N2" s="2"/>
      <c r="O2" s="2"/>
      <c r="P2" s="2"/>
      <c r="Q2" s="2"/>
      <c r="R2" s="2"/>
      <c r="S2" s="2"/>
    </row>
    <row r="3" spans="1:19" x14ac:dyDescent="0.25">
      <c r="A3" s="10"/>
      <c r="B3" s="11"/>
      <c r="C3" s="11"/>
      <c r="D3" s="12"/>
      <c r="E3" s="12"/>
      <c r="F3" s="11"/>
      <c r="G3" s="11"/>
      <c r="H3" s="13"/>
      <c r="I3" s="11"/>
      <c r="J3" s="13"/>
      <c r="K3" s="14"/>
      <c r="L3" s="2"/>
      <c r="M3" s="1" t="s">
        <v>9</v>
      </c>
      <c r="N3" s="2"/>
      <c r="O3" s="2"/>
      <c r="P3" s="2"/>
      <c r="Q3" s="2"/>
      <c r="R3" s="2"/>
      <c r="S3" s="2"/>
    </row>
    <row r="4" spans="1:19" x14ac:dyDescent="0.25">
      <c r="A4" s="10"/>
      <c r="B4" s="11" t="s">
        <v>2</v>
      </c>
      <c r="C4" s="11" t="s">
        <v>3</v>
      </c>
      <c r="D4" s="12" t="s">
        <v>21</v>
      </c>
      <c r="E4" s="12" t="s">
        <v>4</v>
      </c>
      <c r="F4" s="11"/>
      <c r="G4" s="11" t="s">
        <v>5</v>
      </c>
      <c r="H4" s="15" t="s">
        <v>6</v>
      </c>
      <c r="I4" s="11" t="s">
        <v>7</v>
      </c>
      <c r="J4" s="15" t="s">
        <v>6</v>
      </c>
      <c r="K4" s="16"/>
      <c r="L4" s="2"/>
      <c r="M4" s="1"/>
      <c r="N4" s="2"/>
      <c r="O4" s="2"/>
      <c r="P4" s="2"/>
      <c r="Q4" s="2"/>
      <c r="R4" s="2"/>
      <c r="S4" s="2"/>
    </row>
    <row r="5" spans="1:19" x14ac:dyDescent="0.25">
      <c r="A5" s="17" t="s">
        <v>8</v>
      </c>
      <c r="B5" s="18" t="s">
        <v>9</v>
      </c>
      <c r="C5" s="18" t="s">
        <v>9</v>
      </c>
      <c r="D5" s="19" t="s">
        <v>10</v>
      </c>
      <c r="E5" s="19" t="s">
        <v>10</v>
      </c>
      <c r="F5" s="18" t="s">
        <v>11</v>
      </c>
      <c r="G5" s="18" t="s">
        <v>12</v>
      </c>
      <c r="H5" s="20" t="s">
        <v>13</v>
      </c>
      <c r="I5" s="18" t="s">
        <v>12</v>
      </c>
      <c r="J5" s="20" t="s">
        <v>13</v>
      </c>
      <c r="K5" s="21" t="s">
        <v>14</v>
      </c>
      <c r="L5" s="2"/>
      <c r="M5" s="24"/>
      <c r="N5" s="2"/>
      <c r="O5" s="2"/>
      <c r="P5" s="2"/>
      <c r="Q5" s="2"/>
      <c r="R5" s="2"/>
      <c r="S5" s="2"/>
    </row>
    <row r="6" spans="1:19" x14ac:dyDescent="0.25">
      <c r="A6" s="10"/>
      <c r="B6" s="11"/>
      <c r="C6" s="11"/>
      <c r="D6" s="12"/>
      <c r="E6" s="12"/>
      <c r="F6" s="11"/>
      <c r="G6" s="11"/>
      <c r="H6" s="13"/>
      <c r="I6" s="11"/>
      <c r="J6" s="22"/>
      <c r="K6" s="14"/>
      <c r="L6" s="2"/>
      <c r="M6" s="24"/>
      <c r="N6" s="2"/>
      <c r="O6" s="2" t="s">
        <v>20</v>
      </c>
      <c r="P6" s="2"/>
      <c r="Q6" s="2"/>
      <c r="R6" s="2"/>
      <c r="S6" s="2"/>
    </row>
    <row r="7" spans="1:19" x14ac:dyDescent="0.25">
      <c r="A7" s="23">
        <v>36951</v>
      </c>
      <c r="B7" s="24">
        <f>2391039-229584</f>
        <v>2161455</v>
      </c>
      <c r="C7" s="24">
        <v>2161455</v>
      </c>
      <c r="D7" s="25">
        <v>11019220.692391466</v>
      </c>
      <c r="E7" s="25">
        <v>0</v>
      </c>
      <c r="F7" s="26">
        <f t="shared" ref="F7:F14" si="0">+(D7-E7)/C7</f>
        <v>5.0980569534834022</v>
      </c>
      <c r="G7" s="27">
        <v>8.5000000000000006E-2</v>
      </c>
      <c r="H7" s="28">
        <f t="shared" ref="H7:H19" si="1">+D7*(G7/12)</f>
        <v>78052.813237772891</v>
      </c>
      <c r="I7" s="27">
        <v>0.09</v>
      </c>
      <c r="J7" s="28">
        <f t="shared" ref="J7:J19" si="2">+D7*(I7/12)</f>
        <v>82644.155192935999</v>
      </c>
      <c r="K7" s="29">
        <f t="shared" ref="K7:K19" si="3">+H7-J7</f>
        <v>-4591.3419551631087</v>
      </c>
      <c r="L7" s="2"/>
      <c r="M7" s="31">
        <v>2161323</v>
      </c>
      <c r="N7" s="24">
        <f t="shared" ref="N7:N12" si="4">+B7-M7</f>
        <v>132</v>
      </c>
      <c r="O7" s="24">
        <v>0</v>
      </c>
      <c r="P7" s="2"/>
      <c r="Q7" s="2"/>
      <c r="R7" s="2"/>
      <c r="S7" s="2"/>
    </row>
    <row r="8" spans="1:19" x14ac:dyDescent="0.25">
      <c r="A8" s="23">
        <v>36982</v>
      </c>
      <c r="B8" s="24">
        <f t="shared" ref="B8:B19" si="5">+C8-C7</f>
        <v>1266261</v>
      </c>
      <c r="C8" s="24">
        <v>3427716</v>
      </c>
      <c r="D8" s="25">
        <v>17663258.21985976</v>
      </c>
      <c r="E8" s="25">
        <v>280165</v>
      </c>
      <c r="F8" s="26">
        <f t="shared" si="0"/>
        <v>5.0713341536637691</v>
      </c>
      <c r="G8" s="27">
        <v>0.08</v>
      </c>
      <c r="H8" s="28">
        <f t="shared" si="1"/>
        <v>117755.05479906508</v>
      </c>
      <c r="I8" s="27">
        <v>0.09</v>
      </c>
      <c r="J8" s="28">
        <f t="shared" si="2"/>
        <v>132474.43664894821</v>
      </c>
      <c r="K8" s="29">
        <f t="shared" si="3"/>
        <v>-14719.381849883124</v>
      </c>
      <c r="L8" s="2"/>
      <c r="M8" s="24">
        <v>1288330</v>
      </c>
      <c r="N8" s="24">
        <f t="shared" si="4"/>
        <v>-22069</v>
      </c>
      <c r="O8" s="24">
        <v>21984</v>
      </c>
      <c r="P8" s="2"/>
      <c r="Q8" s="2"/>
      <c r="R8" s="2"/>
      <c r="S8" s="2"/>
    </row>
    <row r="9" spans="1:19" x14ac:dyDescent="0.25">
      <c r="A9" s="23">
        <v>37012</v>
      </c>
      <c r="B9" s="24">
        <f t="shared" si="5"/>
        <v>2031347</v>
      </c>
      <c r="C9" s="24">
        <v>5459063</v>
      </c>
      <c r="D9" s="25">
        <v>26970147.464201037</v>
      </c>
      <c r="E9" s="25">
        <v>1161561</v>
      </c>
      <c r="F9" s="26">
        <f t="shared" si="0"/>
        <v>4.7276586594074912</v>
      </c>
      <c r="G9" s="27">
        <v>7.4999999999999997E-2</v>
      </c>
      <c r="H9" s="28">
        <f t="shared" si="1"/>
        <v>168563.42165125647</v>
      </c>
      <c r="I9" s="27">
        <v>0.09</v>
      </c>
      <c r="J9" s="28">
        <f t="shared" si="2"/>
        <v>202276.10598150778</v>
      </c>
      <c r="K9" s="29">
        <f t="shared" si="3"/>
        <v>-33712.684330251301</v>
      </c>
      <c r="L9" s="2"/>
      <c r="M9" s="24">
        <v>2064533</v>
      </c>
      <c r="N9" s="24">
        <f t="shared" si="4"/>
        <v>-33186</v>
      </c>
      <c r="O9" s="24">
        <v>35106</v>
      </c>
      <c r="P9" s="2"/>
      <c r="Q9" s="2"/>
      <c r="R9" s="2"/>
      <c r="S9" s="2"/>
    </row>
    <row r="10" spans="1:19" x14ac:dyDescent="0.25">
      <c r="A10" s="23">
        <v>37043</v>
      </c>
      <c r="B10" s="24">
        <f t="shared" si="5"/>
        <v>2822006</v>
      </c>
      <c r="C10" s="24">
        <v>8281069</v>
      </c>
      <c r="D10" s="25">
        <v>37023259.770000003</v>
      </c>
      <c r="E10" s="25">
        <v>-166011</v>
      </c>
      <c r="F10" s="26">
        <f t="shared" si="0"/>
        <v>4.4908780219075588</v>
      </c>
      <c r="G10" s="27">
        <v>7.0000000000000007E-2</v>
      </c>
      <c r="H10" s="28">
        <f t="shared" si="1"/>
        <v>215969.01532500001</v>
      </c>
      <c r="I10" s="27">
        <v>0.09</v>
      </c>
      <c r="J10" s="28">
        <f t="shared" si="2"/>
        <v>277674.44827500003</v>
      </c>
      <c r="K10" s="29">
        <f t="shared" si="3"/>
        <v>-61705.432950000017</v>
      </c>
      <c r="L10" s="2"/>
      <c r="M10" s="24">
        <v>2857103</v>
      </c>
      <c r="N10" s="24">
        <f t="shared" si="4"/>
        <v>-35097</v>
      </c>
      <c r="O10" s="24">
        <v>43218</v>
      </c>
      <c r="P10" s="2"/>
      <c r="Q10" s="2"/>
      <c r="R10" s="2"/>
      <c r="S10" s="2"/>
    </row>
    <row r="11" spans="1:19" x14ac:dyDescent="0.25">
      <c r="A11" s="30">
        <v>37073</v>
      </c>
      <c r="B11" s="31">
        <f t="shared" si="5"/>
        <v>2179520</v>
      </c>
      <c r="C11" s="31">
        <v>10460589</v>
      </c>
      <c r="D11" s="32">
        <v>42719858.840000004</v>
      </c>
      <c r="E11" s="32">
        <v>-1625468</v>
      </c>
      <c r="F11" s="33">
        <f t="shared" si="0"/>
        <v>4.2392762816701817</v>
      </c>
      <c r="G11" s="34">
        <f>4%+0.02</f>
        <v>0.06</v>
      </c>
      <c r="H11" s="35">
        <f t="shared" si="1"/>
        <v>213599.29420000003</v>
      </c>
      <c r="I11" s="36">
        <v>0.09</v>
      </c>
      <c r="J11" s="35">
        <f t="shared" si="2"/>
        <v>320398.94130000001</v>
      </c>
      <c r="K11" s="37">
        <f t="shared" si="3"/>
        <v>-106799.64709999997</v>
      </c>
      <c r="L11" s="38"/>
      <c r="M11" s="24">
        <v>2222676</v>
      </c>
      <c r="N11" s="24">
        <f t="shared" si="4"/>
        <v>-43156</v>
      </c>
      <c r="O11" s="24">
        <v>33144</v>
      </c>
      <c r="P11" s="2"/>
      <c r="Q11" s="2"/>
      <c r="R11" s="2"/>
      <c r="S11" s="2"/>
    </row>
    <row r="12" spans="1:19" x14ac:dyDescent="0.25">
      <c r="A12" s="30">
        <v>37104</v>
      </c>
      <c r="B12" s="58">
        <f t="shared" si="5"/>
        <v>976685</v>
      </c>
      <c r="C12" s="31">
        <v>11437274</v>
      </c>
      <c r="D12" s="32">
        <v>45022210.229999997</v>
      </c>
      <c r="E12" s="59"/>
      <c r="F12" s="33">
        <f t="shared" si="0"/>
        <v>3.9364458899909187</v>
      </c>
      <c r="G12" s="34">
        <v>0.06</v>
      </c>
      <c r="H12" s="35">
        <f t="shared" si="1"/>
        <v>225111.05114999998</v>
      </c>
      <c r="I12" s="36">
        <v>0.09</v>
      </c>
      <c r="J12" s="35">
        <f t="shared" si="2"/>
        <v>337666.57672499999</v>
      </c>
      <c r="K12" s="37">
        <f t="shared" si="3"/>
        <v>-112555.52557500001</v>
      </c>
      <c r="L12" s="2"/>
      <c r="M12" s="58">
        <v>1085315</v>
      </c>
      <c r="N12" s="24">
        <f t="shared" si="4"/>
        <v>-108630</v>
      </c>
      <c r="O12" s="24">
        <v>12276</v>
      </c>
      <c r="P12" s="2"/>
      <c r="Q12" s="2"/>
      <c r="R12" s="2"/>
      <c r="S12" s="2"/>
    </row>
    <row r="13" spans="1:19" x14ac:dyDescent="0.25">
      <c r="A13" s="60">
        <v>37135</v>
      </c>
      <c r="B13" s="61">
        <f t="shared" si="5"/>
        <v>1887128</v>
      </c>
      <c r="C13" s="61">
        <v>13324402</v>
      </c>
      <c r="D13" s="62">
        <f>+D12+444853+2638575</f>
        <v>48105638.229999997</v>
      </c>
      <c r="E13" s="62"/>
      <c r="F13" s="63">
        <f t="shared" si="0"/>
        <v>3.610341254339219</v>
      </c>
      <c r="G13" s="64">
        <f>0.0393+0.02</f>
        <v>5.9300000000000005E-2</v>
      </c>
      <c r="H13" s="65">
        <f t="shared" si="1"/>
        <v>237722.02891991666</v>
      </c>
      <c r="I13" s="66">
        <v>0.09</v>
      </c>
      <c r="J13" s="65">
        <f t="shared" si="2"/>
        <v>360792.28672499995</v>
      </c>
      <c r="K13" s="67">
        <f t="shared" si="3"/>
        <v>-123070.2578050833</v>
      </c>
      <c r="L13" s="2"/>
      <c r="M13" s="2"/>
      <c r="N13" s="2"/>
      <c r="O13" s="2"/>
      <c r="P13" s="2"/>
      <c r="Q13" s="2"/>
      <c r="R13" s="2"/>
      <c r="S13" s="2"/>
    </row>
    <row r="14" spans="1:19" x14ac:dyDescent="0.25">
      <c r="A14" s="30">
        <v>37165</v>
      </c>
      <c r="B14" s="31">
        <f t="shared" si="5"/>
        <v>1627317</v>
      </c>
      <c r="C14" s="31">
        <v>14951719</v>
      </c>
      <c r="D14" s="32">
        <f>+D13+5439307</f>
        <v>53544945.229999997</v>
      </c>
      <c r="E14" s="32"/>
      <c r="F14" s="33">
        <f t="shared" si="0"/>
        <v>3.5811899106718097</v>
      </c>
      <c r="G14" s="34">
        <f>0.0391+0.02</f>
        <v>5.91E-2</v>
      </c>
      <c r="H14" s="35">
        <f t="shared" si="1"/>
        <v>263708.85525774996</v>
      </c>
      <c r="I14" s="36">
        <v>0.09</v>
      </c>
      <c r="J14" s="35">
        <f t="shared" si="2"/>
        <v>401587.08922499995</v>
      </c>
      <c r="K14" s="37">
        <f t="shared" si="3"/>
        <v>-137878.23396724998</v>
      </c>
      <c r="L14" s="2"/>
      <c r="M14" s="2"/>
      <c r="N14" s="2"/>
      <c r="O14" s="2"/>
      <c r="P14" s="2"/>
      <c r="Q14" s="2"/>
      <c r="R14" s="2"/>
      <c r="S14" s="2"/>
    </row>
    <row r="15" spans="1:19" x14ac:dyDescent="0.25">
      <c r="A15" s="30">
        <v>37196</v>
      </c>
      <c r="B15" s="81">
        <f t="shared" si="5"/>
        <v>-2564363</v>
      </c>
      <c r="C15" s="31">
        <v>12387356</v>
      </c>
      <c r="D15" s="32">
        <f>+D14+(B15*F14)</f>
        <v>44361474.327099904</v>
      </c>
      <c r="E15" s="32"/>
      <c r="F15" s="32"/>
      <c r="G15" s="34">
        <f>0.039+0.02</f>
        <v>5.8999999999999997E-2</v>
      </c>
      <c r="H15" s="35">
        <f t="shared" si="1"/>
        <v>218110.58210824119</v>
      </c>
      <c r="I15" s="36">
        <v>0.09</v>
      </c>
      <c r="J15" s="35">
        <f t="shared" si="2"/>
        <v>332711.05745324929</v>
      </c>
      <c r="K15" s="37">
        <f t="shared" si="3"/>
        <v>-114600.4753450081</v>
      </c>
      <c r="L15" s="2"/>
      <c r="M15" s="2"/>
      <c r="N15" s="2"/>
      <c r="O15" s="2"/>
      <c r="P15" s="2"/>
      <c r="Q15" s="2"/>
      <c r="R15" s="2"/>
      <c r="S15" s="2"/>
    </row>
    <row r="16" spans="1:19" x14ac:dyDescent="0.25">
      <c r="A16" s="30">
        <v>37226</v>
      </c>
      <c r="B16" s="81">
        <f t="shared" si="5"/>
        <v>-4920003</v>
      </c>
      <c r="C16" s="31">
        <v>7467353</v>
      </c>
      <c r="D16" s="32">
        <f>+D15+(B16*F14)</f>
        <v>26742009.223024867</v>
      </c>
      <c r="E16" s="32"/>
      <c r="F16" s="32"/>
      <c r="G16" s="34">
        <f>0.039+0.02</f>
        <v>5.8999999999999997E-2</v>
      </c>
      <c r="H16" s="35">
        <f t="shared" si="1"/>
        <v>131481.54534653891</v>
      </c>
      <c r="I16" s="36">
        <v>0.09</v>
      </c>
      <c r="J16" s="35">
        <f t="shared" si="2"/>
        <v>200565.06917268649</v>
      </c>
      <c r="K16" s="37">
        <f t="shared" si="3"/>
        <v>-69083.523826147575</v>
      </c>
      <c r="L16" s="2"/>
      <c r="M16" s="2"/>
      <c r="N16" s="2"/>
      <c r="O16" s="2"/>
      <c r="P16" s="2"/>
      <c r="Q16" s="2"/>
      <c r="R16" s="2"/>
      <c r="S16" s="2"/>
    </row>
    <row r="17" spans="1:28" x14ac:dyDescent="0.25">
      <c r="A17" s="30">
        <v>37257</v>
      </c>
      <c r="B17" s="81">
        <f t="shared" si="5"/>
        <v>-2162337</v>
      </c>
      <c r="C17" s="31">
        <v>5305016</v>
      </c>
      <c r="D17" s="32">
        <f>+D16+(B17*F14)</f>
        <v>18998269.775152519</v>
      </c>
      <c r="E17" s="32"/>
      <c r="F17" s="32"/>
      <c r="G17" s="34">
        <f>0.0391+0.02</f>
        <v>5.91E-2</v>
      </c>
      <c r="H17" s="35">
        <f t="shared" si="1"/>
        <v>93566.478642626156</v>
      </c>
      <c r="I17" s="36">
        <v>0.09</v>
      </c>
      <c r="J17" s="35">
        <f t="shared" si="2"/>
        <v>142487.02331364388</v>
      </c>
      <c r="K17" s="37">
        <f t="shared" si="3"/>
        <v>-48920.54467101772</v>
      </c>
      <c r="L17" s="2"/>
      <c r="M17" s="2"/>
      <c r="N17" s="2"/>
      <c r="O17" s="2"/>
      <c r="P17" s="2"/>
      <c r="Q17" s="2"/>
      <c r="R17" s="2"/>
      <c r="S17" s="2"/>
    </row>
    <row r="18" spans="1:28" x14ac:dyDescent="0.25">
      <c r="A18" s="30">
        <v>37288</v>
      </c>
      <c r="B18" s="81">
        <f t="shared" si="5"/>
        <v>-2002604</v>
      </c>
      <c r="C18" s="31">
        <v>3302412</v>
      </c>
      <c r="D18" s="32">
        <f>+D17+(B18*F14)</f>
        <v>11826564.535281511</v>
      </c>
      <c r="E18" s="32"/>
      <c r="F18" s="32"/>
      <c r="G18" s="34">
        <f>0.0395+0.02</f>
        <v>5.9499999999999997E-2</v>
      </c>
      <c r="H18" s="35">
        <f t="shared" si="1"/>
        <v>58640.049154104156</v>
      </c>
      <c r="I18" s="36">
        <v>0.09</v>
      </c>
      <c r="J18" s="35">
        <f t="shared" si="2"/>
        <v>88699.234014611327</v>
      </c>
      <c r="K18" s="37">
        <f t="shared" si="3"/>
        <v>-30059.184860507172</v>
      </c>
      <c r="L18" s="2"/>
      <c r="M18" s="2"/>
      <c r="N18" s="2"/>
      <c r="O18" s="2"/>
      <c r="P18" s="2"/>
      <c r="Q18" s="2"/>
      <c r="R18" s="2"/>
      <c r="S18" s="2"/>
    </row>
    <row r="19" spans="1:28" x14ac:dyDescent="0.25">
      <c r="A19" s="30">
        <v>37316</v>
      </c>
      <c r="B19" s="81">
        <f t="shared" si="5"/>
        <v>-3302412</v>
      </c>
      <c r="C19" s="31">
        <v>0</v>
      </c>
      <c r="D19" s="32">
        <f>+D18+(B19*F14)</f>
        <v>0</v>
      </c>
      <c r="E19" s="32"/>
      <c r="F19" s="32"/>
      <c r="G19" s="34">
        <f>0.0398+0.02</f>
        <v>5.9800000000000006E-2</v>
      </c>
      <c r="H19" s="35">
        <f t="shared" si="1"/>
        <v>0</v>
      </c>
      <c r="I19" s="36">
        <v>0.09</v>
      </c>
      <c r="J19" s="35">
        <f t="shared" si="2"/>
        <v>0</v>
      </c>
      <c r="K19" s="37">
        <f t="shared" si="3"/>
        <v>0</v>
      </c>
      <c r="L19" s="2"/>
      <c r="M19" s="2"/>
      <c r="N19" s="2"/>
      <c r="O19" s="2"/>
      <c r="P19" s="2"/>
      <c r="Q19" s="2"/>
      <c r="R19" s="2"/>
      <c r="S19" s="2"/>
    </row>
    <row r="20" spans="1:28" x14ac:dyDescent="0.25">
      <c r="A20" s="30"/>
      <c r="B20" s="31"/>
      <c r="C20" s="42"/>
      <c r="D20" s="45"/>
      <c r="E20" s="45"/>
      <c r="F20" s="45"/>
      <c r="G20" s="36"/>
      <c r="H20" s="46"/>
      <c r="I20" s="36"/>
      <c r="J20" s="47"/>
      <c r="K20" s="48"/>
      <c r="L20" s="2"/>
      <c r="M20" s="2"/>
      <c r="N20" s="2"/>
      <c r="O20" s="2"/>
      <c r="P20" s="2"/>
      <c r="Q20" s="2"/>
      <c r="R20" s="2"/>
      <c r="S20" s="2"/>
    </row>
    <row r="21" spans="1:28" x14ac:dyDescent="0.25">
      <c r="A21" s="30" t="s">
        <v>15</v>
      </c>
      <c r="B21" s="49"/>
      <c r="C21" s="42"/>
      <c r="D21" s="45">
        <f>SUM(D7:D20)</f>
        <v>383996856.53701109</v>
      </c>
      <c r="E21" s="45">
        <f>SUM(E7:E20)</f>
        <v>-349753</v>
      </c>
      <c r="F21" s="45"/>
      <c r="G21" s="36"/>
      <c r="H21" s="46">
        <f>SUM(H7:H20)</f>
        <v>2022280.1897922717</v>
      </c>
      <c r="I21" s="36"/>
      <c r="J21" s="47">
        <f>SUM(J7:J20)</f>
        <v>2879976.4240275826</v>
      </c>
      <c r="K21" s="48">
        <f>+H21-J21</f>
        <v>-857696.23423531093</v>
      </c>
      <c r="L21" s="2"/>
      <c r="M21" s="2"/>
      <c r="N21" s="2"/>
      <c r="O21" s="2"/>
      <c r="P21" s="2"/>
      <c r="Q21" s="2"/>
      <c r="R21" s="2"/>
      <c r="S21" s="2"/>
    </row>
    <row r="22" spans="1:28" ht="13.8" thickBot="1" x14ac:dyDescent="0.3">
      <c r="A22" s="50"/>
      <c r="B22" s="51"/>
      <c r="C22" s="51"/>
      <c r="D22" s="52"/>
      <c r="E22" s="52"/>
      <c r="F22" s="52"/>
      <c r="G22" s="53"/>
      <c r="H22" s="54"/>
      <c r="I22" s="53"/>
      <c r="J22" s="55"/>
      <c r="K22" s="56"/>
      <c r="L22" s="2"/>
      <c r="M22" s="2"/>
      <c r="N22" s="2"/>
      <c r="O22" s="2"/>
      <c r="P22" s="2"/>
      <c r="Q22" s="2"/>
      <c r="R22" s="2"/>
      <c r="S22" s="2"/>
    </row>
    <row r="23" spans="1:28" x14ac:dyDescent="0.25">
      <c r="A23" s="39"/>
      <c r="B23" s="39"/>
      <c r="C23" s="39"/>
      <c r="D23" s="12"/>
      <c r="E23" s="12"/>
      <c r="F23" s="1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28" x14ac:dyDescent="0.25">
      <c r="A24" s="73" t="s">
        <v>16</v>
      </c>
      <c r="B24" s="39"/>
      <c r="C24" s="39"/>
      <c r="D24" s="2"/>
      <c r="E24" s="2"/>
      <c r="F24" s="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28" x14ac:dyDescent="0.25">
      <c r="A25" t="s">
        <v>22</v>
      </c>
      <c r="B25" s="73"/>
      <c r="C25" s="73"/>
      <c r="D25" s="12"/>
      <c r="E25" s="12"/>
      <c r="F25" s="11"/>
      <c r="G25" s="11"/>
      <c r="H25" s="12"/>
      <c r="I25" s="74"/>
      <c r="J25" s="12"/>
      <c r="K25" s="74"/>
      <c r="L25" s="2"/>
      <c r="M25" t="s">
        <v>23</v>
      </c>
      <c r="U25" t="s">
        <v>24</v>
      </c>
    </row>
    <row r="26" spans="1:28" x14ac:dyDescent="0.25">
      <c r="A26" s="11"/>
      <c r="B26" s="11"/>
      <c r="C26" s="11"/>
      <c r="D26" s="12"/>
      <c r="E26" s="12"/>
      <c r="F26" s="11"/>
      <c r="G26" s="11"/>
      <c r="H26" s="12"/>
      <c r="I26" s="11" t="s">
        <v>28</v>
      </c>
      <c r="J26" s="12"/>
      <c r="K26" s="12"/>
      <c r="L26" s="2"/>
    </row>
    <row r="27" spans="1:28" x14ac:dyDescent="0.25">
      <c r="A27" s="11"/>
      <c r="B27" s="11" t="s">
        <v>2</v>
      </c>
      <c r="C27" s="11" t="s">
        <v>3</v>
      </c>
      <c r="D27" s="12" t="s">
        <v>21</v>
      </c>
      <c r="E27" s="12" t="s">
        <v>4</v>
      </c>
      <c r="F27" s="11" t="s">
        <v>17</v>
      </c>
      <c r="G27" s="11"/>
      <c r="H27" s="11"/>
      <c r="I27" s="11"/>
      <c r="J27" s="11"/>
      <c r="K27" s="11"/>
      <c r="L27" s="2"/>
      <c r="N27" s="11" t="s">
        <v>2</v>
      </c>
      <c r="O27" s="11" t="s">
        <v>3</v>
      </c>
      <c r="P27" s="12" t="s">
        <v>21</v>
      </c>
      <c r="Q27" s="12" t="s">
        <v>4</v>
      </c>
      <c r="R27" s="11" t="s">
        <v>17</v>
      </c>
      <c r="S27" s="11"/>
      <c r="V27" s="11" t="s">
        <v>2</v>
      </c>
      <c r="W27" s="11" t="s">
        <v>3</v>
      </c>
      <c r="X27" s="12" t="s">
        <v>21</v>
      </c>
      <c r="Y27" s="12" t="s">
        <v>4</v>
      </c>
      <c r="Z27" s="11" t="s">
        <v>17</v>
      </c>
    </row>
    <row r="28" spans="1:28" x14ac:dyDescent="0.25">
      <c r="A28" s="18" t="s">
        <v>8</v>
      </c>
      <c r="B28" s="18" t="s">
        <v>9</v>
      </c>
      <c r="C28" s="18" t="s">
        <v>9</v>
      </c>
      <c r="D28" s="19" t="s">
        <v>10</v>
      </c>
      <c r="E28" s="19" t="s">
        <v>10</v>
      </c>
      <c r="F28" s="18" t="s">
        <v>18</v>
      </c>
      <c r="G28" s="18"/>
      <c r="H28" s="18" t="s">
        <v>11</v>
      </c>
      <c r="I28" s="18"/>
      <c r="J28" s="18"/>
      <c r="K28" s="18"/>
      <c r="L28" s="2"/>
      <c r="M28" s="18" t="s">
        <v>8</v>
      </c>
      <c r="N28" s="18" t="s">
        <v>9</v>
      </c>
      <c r="O28" s="18" t="s">
        <v>9</v>
      </c>
      <c r="P28" s="19" t="s">
        <v>10</v>
      </c>
      <c r="Q28" s="19" t="s">
        <v>10</v>
      </c>
      <c r="R28" s="18" t="s">
        <v>18</v>
      </c>
      <c r="S28" s="18" t="s">
        <v>11</v>
      </c>
      <c r="T28" s="11"/>
      <c r="U28" s="18" t="s">
        <v>8</v>
      </c>
      <c r="V28" s="18" t="s">
        <v>9</v>
      </c>
      <c r="W28" s="18" t="s">
        <v>9</v>
      </c>
      <c r="X28" s="19" t="s">
        <v>10</v>
      </c>
      <c r="Y28" s="19" t="s">
        <v>10</v>
      </c>
      <c r="Z28" s="18" t="s">
        <v>18</v>
      </c>
      <c r="AA28" s="18" t="s">
        <v>11</v>
      </c>
      <c r="AB28" s="11"/>
    </row>
    <row r="29" spans="1:28" x14ac:dyDescent="0.25">
      <c r="A29" s="11"/>
      <c r="B29" s="11"/>
      <c r="C29" s="11"/>
      <c r="D29" s="12"/>
      <c r="E29" s="12"/>
      <c r="F29" s="11"/>
      <c r="G29" s="11"/>
      <c r="H29" s="12"/>
      <c r="I29" s="11"/>
      <c r="J29" s="75"/>
      <c r="K29" s="12"/>
      <c r="L29" s="2"/>
      <c r="T29" s="18"/>
      <c r="AA29" s="18"/>
      <c r="AB29" s="18"/>
    </row>
    <row r="30" spans="1:28" x14ac:dyDescent="0.25">
      <c r="A30" s="68">
        <v>36951</v>
      </c>
      <c r="B30" s="31">
        <f>2391039-229584</f>
        <v>2161455</v>
      </c>
      <c r="C30" s="31">
        <v>2161455</v>
      </c>
      <c r="D30" s="25">
        <v>11019220.692391466</v>
      </c>
      <c r="E30" s="59">
        <v>0</v>
      </c>
      <c r="F30" s="25">
        <f t="shared" ref="F30:F42" si="6">+D30-E30</f>
        <v>11019220.692391466</v>
      </c>
      <c r="G30" s="27"/>
      <c r="H30" s="26">
        <f t="shared" ref="H30:H42" si="7">+F30/B30</f>
        <v>5.0980569534834022</v>
      </c>
      <c r="I30" s="27"/>
      <c r="J30" s="25"/>
      <c r="K30" s="25"/>
      <c r="L30" s="2"/>
      <c r="M30" s="49">
        <v>36951</v>
      </c>
      <c r="N30">
        <v>0</v>
      </c>
      <c r="O30" s="42">
        <f>+N30</f>
        <v>0</v>
      </c>
      <c r="P30" s="25">
        <v>0</v>
      </c>
      <c r="Q30" s="25">
        <v>0</v>
      </c>
      <c r="R30" s="25">
        <f t="shared" ref="R30:R37" si="8">+P30-Q30</f>
        <v>0</v>
      </c>
      <c r="S30" s="26"/>
      <c r="U30" s="49">
        <v>36951</v>
      </c>
      <c r="V30" s="82">
        <f t="shared" ref="V30:V40" si="9">+B30+N30</f>
        <v>2161455</v>
      </c>
      <c r="W30" s="82">
        <f>+V30</f>
        <v>2161455</v>
      </c>
      <c r="X30" s="25">
        <f t="shared" ref="X30:Z35" si="10">+D30+P30</f>
        <v>11019220.692391466</v>
      </c>
      <c r="Y30" s="25">
        <f t="shared" si="10"/>
        <v>0</v>
      </c>
      <c r="Z30" s="25">
        <f t="shared" si="10"/>
        <v>11019220.692391466</v>
      </c>
      <c r="AA30" s="26">
        <f>+Z30/V30</f>
        <v>5.0980569534834022</v>
      </c>
      <c r="AB30" s="26"/>
    </row>
    <row r="31" spans="1:28" x14ac:dyDescent="0.25">
      <c r="A31" s="68">
        <v>36982</v>
      </c>
      <c r="B31" s="31">
        <f t="shared" ref="B31:B42" si="11">+C31-C30</f>
        <v>1266261</v>
      </c>
      <c r="C31" s="31">
        <v>3427716</v>
      </c>
      <c r="D31" s="25">
        <f>+D8-D7</f>
        <v>6644037.5274682939</v>
      </c>
      <c r="E31" s="59">
        <v>280165</v>
      </c>
      <c r="F31" s="25">
        <f t="shared" si="6"/>
        <v>6363872.5274682939</v>
      </c>
      <c r="G31" s="27"/>
      <c r="H31" s="26">
        <f t="shared" si="7"/>
        <v>5.0257194428860199</v>
      </c>
      <c r="I31" s="27"/>
      <c r="J31" s="25"/>
      <c r="K31" s="25"/>
      <c r="L31" s="2"/>
      <c r="M31" s="49">
        <v>36982</v>
      </c>
      <c r="N31">
        <v>0</v>
      </c>
      <c r="O31" s="42">
        <f>+O30+N31</f>
        <v>0</v>
      </c>
      <c r="P31" s="25">
        <v>0</v>
      </c>
      <c r="Q31" s="25">
        <v>0</v>
      </c>
      <c r="R31" s="25">
        <f t="shared" si="8"/>
        <v>0</v>
      </c>
      <c r="S31" s="26"/>
      <c r="U31" s="49">
        <v>36982</v>
      </c>
      <c r="V31" s="82">
        <f t="shared" si="9"/>
        <v>1266261</v>
      </c>
      <c r="W31" s="82">
        <f>+W30+V31</f>
        <v>3427716</v>
      </c>
      <c r="X31" s="25">
        <f t="shared" si="10"/>
        <v>6644037.5274682939</v>
      </c>
      <c r="Y31" s="25">
        <f t="shared" si="10"/>
        <v>280165</v>
      </c>
      <c r="Z31" s="25">
        <f t="shared" si="10"/>
        <v>6363872.5274682939</v>
      </c>
      <c r="AA31" s="26">
        <f t="shared" ref="AA31:AA54" si="12">+Z31/V31</f>
        <v>5.0257194428860199</v>
      </c>
      <c r="AB31" s="26"/>
    </row>
    <row r="32" spans="1:28" x14ac:dyDescent="0.25">
      <c r="A32" s="68">
        <v>37012</v>
      </c>
      <c r="B32" s="31">
        <f t="shared" si="11"/>
        <v>2031347</v>
      </c>
      <c r="C32" s="31">
        <v>5459063</v>
      </c>
      <c r="D32" s="25">
        <f>+D9-D8</f>
        <v>9306889.2443412766</v>
      </c>
      <c r="E32" s="59">
        <v>1161561</v>
      </c>
      <c r="F32" s="25">
        <f t="shared" si="6"/>
        <v>8145328.2443412766</v>
      </c>
      <c r="G32" s="27"/>
      <c r="H32" s="26">
        <f t="shared" si="7"/>
        <v>4.0098162669112059</v>
      </c>
      <c r="I32" s="27"/>
      <c r="J32" s="25"/>
      <c r="K32" s="25"/>
      <c r="L32" s="2"/>
      <c r="M32" s="49">
        <v>37012</v>
      </c>
      <c r="N32">
        <v>0</v>
      </c>
      <c r="O32" s="42">
        <f t="shared" ref="O32:O43" si="13">+O31+N32</f>
        <v>0</v>
      </c>
      <c r="P32" s="25">
        <v>0</v>
      </c>
      <c r="Q32" s="25">
        <v>0</v>
      </c>
      <c r="R32" s="25">
        <f t="shared" si="8"/>
        <v>0</v>
      </c>
      <c r="S32" s="26"/>
      <c r="U32" s="49">
        <v>37012</v>
      </c>
      <c r="V32" s="82">
        <f t="shared" si="9"/>
        <v>2031347</v>
      </c>
      <c r="W32" s="82">
        <f t="shared" ref="W32:W54" si="14">+W31+V32</f>
        <v>5459063</v>
      </c>
      <c r="X32" s="25">
        <f t="shared" si="10"/>
        <v>9306889.2443412766</v>
      </c>
      <c r="Y32" s="25">
        <f t="shared" si="10"/>
        <v>1161561</v>
      </c>
      <c r="Z32" s="25">
        <f t="shared" si="10"/>
        <v>8145328.2443412766</v>
      </c>
      <c r="AA32" s="26">
        <f t="shared" si="12"/>
        <v>4.0098162669112059</v>
      </c>
      <c r="AB32" s="26"/>
    </row>
    <row r="33" spans="1:28" x14ac:dyDescent="0.25">
      <c r="A33" s="68">
        <v>37043</v>
      </c>
      <c r="B33" s="31">
        <f t="shared" si="11"/>
        <v>2822006</v>
      </c>
      <c r="C33" s="31">
        <v>8281069</v>
      </c>
      <c r="D33" s="25">
        <f>+D10-D9</f>
        <v>10053112.305798966</v>
      </c>
      <c r="E33" s="59">
        <v>-166011</v>
      </c>
      <c r="F33" s="25">
        <f t="shared" si="6"/>
        <v>10219123.305798966</v>
      </c>
      <c r="G33" s="27"/>
      <c r="H33" s="26">
        <f t="shared" si="7"/>
        <v>3.6212266401272593</v>
      </c>
      <c r="I33" s="27"/>
      <c r="J33" s="25"/>
      <c r="K33" s="25"/>
      <c r="L33" s="2"/>
      <c r="M33" s="49">
        <v>37043</v>
      </c>
      <c r="N33">
        <v>0</v>
      </c>
      <c r="O33" s="42">
        <f t="shared" si="13"/>
        <v>0</v>
      </c>
      <c r="P33" s="25">
        <v>0</v>
      </c>
      <c r="Q33" s="25">
        <v>0</v>
      </c>
      <c r="R33" s="25">
        <f t="shared" si="8"/>
        <v>0</v>
      </c>
      <c r="S33" s="26"/>
      <c r="U33" s="49">
        <v>37043</v>
      </c>
      <c r="V33" s="82">
        <f t="shared" si="9"/>
        <v>2822006</v>
      </c>
      <c r="W33" s="82">
        <f t="shared" si="14"/>
        <v>8281069</v>
      </c>
      <c r="X33" s="25">
        <f t="shared" si="10"/>
        <v>10053112.305798966</v>
      </c>
      <c r="Y33" s="25">
        <f t="shared" si="10"/>
        <v>-166011</v>
      </c>
      <c r="Z33" s="25">
        <f t="shared" si="10"/>
        <v>10219123.305798966</v>
      </c>
      <c r="AA33" s="26">
        <f t="shared" si="12"/>
        <v>3.6212266401272593</v>
      </c>
      <c r="AB33" s="26"/>
    </row>
    <row r="34" spans="1:28" x14ac:dyDescent="0.25">
      <c r="A34" s="49">
        <v>37073</v>
      </c>
      <c r="B34" s="31">
        <f t="shared" si="11"/>
        <v>2179520</v>
      </c>
      <c r="C34" s="31">
        <v>10460589</v>
      </c>
      <c r="D34" s="32">
        <f>+D11-D10</f>
        <v>5696599.0700000003</v>
      </c>
      <c r="E34" s="59">
        <v>-1625468</v>
      </c>
      <c r="F34" s="32">
        <f t="shared" si="6"/>
        <v>7322067.0700000003</v>
      </c>
      <c r="G34" s="36"/>
      <c r="H34" s="33">
        <f t="shared" si="7"/>
        <v>3.3594860657392456</v>
      </c>
      <c r="I34" s="32"/>
      <c r="J34" s="32"/>
      <c r="K34" s="32"/>
      <c r="L34" s="2"/>
      <c r="M34" s="49">
        <v>37073</v>
      </c>
      <c r="N34">
        <v>0</v>
      </c>
      <c r="O34" s="42">
        <f t="shared" si="13"/>
        <v>0</v>
      </c>
      <c r="P34" s="32">
        <v>0</v>
      </c>
      <c r="Q34" s="32">
        <v>0</v>
      </c>
      <c r="R34" s="25">
        <f t="shared" si="8"/>
        <v>0</v>
      </c>
      <c r="S34" s="33"/>
      <c r="U34" s="49">
        <v>37073</v>
      </c>
      <c r="V34" s="82">
        <f t="shared" si="9"/>
        <v>2179520</v>
      </c>
      <c r="W34" s="82">
        <f t="shared" si="14"/>
        <v>10460589</v>
      </c>
      <c r="X34" s="25">
        <f t="shared" si="10"/>
        <v>5696599.0700000003</v>
      </c>
      <c r="Y34" s="25">
        <f t="shared" si="10"/>
        <v>-1625468</v>
      </c>
      <c r="Z34" s="25">
        <f t="shared" si="10"/>
        <v>7322067.0700000003</v>
      </c>
      <c r="AA34" s="26">
        <f t="shared" si="12"/>
        <v>3.3594860657392456</v>
      </c>
      <c r="AB34" s="33"/>
    </row>
    <row r="35" spans="1:28" x14ac:dyDescent="0.25">
      <c r="A35" s="49">
        <v>37104</v>
      </c>
      <c r="B35" s="31">
        <f t="shared" si="11"/>
        <v>976685</v>
      </c>
      <c r="C35" s="31">
        <v>11437274</v>
      </c>
      <c r="D35" s="32">
        <f>+D12-D11</f>
        <v>2302351.3899999931</v>
      </c>
      <c r="E35" s="59">
        <v>-118846</v>
      </c>
      <c r="F35" s="32">
        <f t="shared" si="6"/>
        <v>2421197.3899999931</v>
      </c>
      <c r="G35" s="36"/>
      <c r="H35" s="33">
        <f t="shared" si="7"/>
        <v>2.4789951622068456</v>
      </c>
      <c r="I35" s="36"/>
      <c r="J35" s="32"/>
      <c r="K35" s="32"/>
      <c r="L35" s="2"/>
      <c r="M35" s="49">
        <v>37104</v>
      </c>
      <c r="N35">
        <v>0</v>
      </c>
      <c r="O35" s="42">
        <f t="shared" si="13"/>
        <v>0</v>
      </c>
      <c r="P35" s="32">
        <v>0</v>
      </c>
      <c r="Q35" s="32">
        <v>0</v>
      </c>
      <c r="R35" s="25">
        <f t="shared" si="8"/>
        <v>0</v>
      </c>
      <c r="S35" s="33"/>
      <c r="U35" s="49">
        <v>37104</v>
      </c>
      <c r="V35" s="82">
        <f t="shared" si="9"/>
        <v>976685</v>
      </c>
      <c r="W35" s="82">
        <f t="shared" si="14"/>
        <v>11437274</v>
      </c>
      <c r="X35" s="25">
        <f t="shared" si="10"/>
        <v>2302351.3899999931</v>
      </c>
      <c r="Y35" s="25">
        <f t="shared" si="10"/>
        <v>-118846</v>
      </c>
      <c r="Z35" s="25">
        <f t="shared" si="10"/>
        <v>2421197.3899999931</v>
      </c>
      <c r="AA35" s="26">
        <f t="shared" si="12"/>
        <v>2.4789951622068456</v>
      </c>
      <c r="AB35" s="33"/>
    </row>
    <row r="36" spans="1:28" x14ac:dyDescent="0.25">
      <c r="A36" s="49">
        <v>37135</v>
      </c>
      <c r="B36" s="31">
        <f t="shared" si="11"/>
        <v>1887128</v>
      </c>
      <c r="C36" s="31">
        <v>13324402</v>
      </c>
      <c r="D36" s="32"/>
      <c r="E36" s="32">
        <v>-3742835</v>
      </c>
      <c r="F36" s="32">
        <f t="shared" si="6"/>
        <v>3742835</v>
      </c>
      <c r="G36" s="36"/>
      <c r="H36" s="33">
        <f t="shared" si="7"/>
        <v>1.9833498310660431</v>
      </c>
      <c r="I36" s="36"/>
      <c r="J36" s="32"/>
      <c r="K36" s="32"/>
      <c r="L36" s="2"/>
      <c r="M36" s="49">
        <v>37135</v>
      </c>
      <c r="N36">
        <v>0</v>
      </c>
      <c r="O36" s="42">
        <f t="shared" si="13"/>
        <v>0</v>
      </c>
      <c r="P36" s="32">
        <v>0</v>
      </c>
      <c r="Q36" s="32">
        <v>0</v>
      </c>
      <c r="R36" s="25">
        <f t="shared" si="8"/>
        <v>0</v>
      </c>
      <c r="S36" s="33"/>
      <c r="U36" s="49">
        <v>37135</v>
      </c>
      <c r="V36" s="82">
        <f t="shared" si="9"/>
        <v>1887128</v>
      </c>
      <c r="W36" s="82">
        <f t="shared" si="14"/>
        <v>13324402</v>
      </c>
      <c r="X36" s="25">
        <f t="shared" ref="X36:Z40" si="15">+D36+P36</f>
        <v>0</v>
      </c>
      <c r="Y36" s="25">
        <f t="shared" si="15"/>
        <v>-3742835</v>
      </c>
      <c r="Z36" s="25">
        <f t="shared" si="15"/>
        <v>3742835</v>
      </c>
      <c r="AA36" s="26">
        <f t="shared" si="12"/>
        <v>1.9833498310660431</v>
      </c>
      <c r="AB36" s="33"/>
    </row>
    <row r="37" spans="1:28" x14ac:dyDescent="0.25">
      <c r="A37" s="49">
        <v>37165</v>
      </c>
      <c r="B37" s="31">
        <f t="shared" si="11"/>
        <v>1627317</v>
      </c>
      <c r="C37" s="31">
        <v>14951719</v>
      </c>
      <c r="D37" s="32"/>
      <c r="E37" s="83">
        <v>-4647960</v>
      </c>
      <c r="F37" s="32">
        <f t="shared" si="6"/>
        <v>4647960</v>
      </c>
      <c r="G37" s="36"/>
      <c r="H37" s="33">
        <f t="shared" si="7"/>
        <v>2.8562105600814101</v>
      </c>
      <c r="I37" s="32"/>
      <c r="J37" s="32"/>
      <c r="K37" s="32"/>
      <c r="L37" s="2"/>
      <c r="M37" s="49">
        <v>37165</v>
      </c>
      <c r="N37">
        <v>0</v>
      </c>
      <c r="O37" s="42">
        <f t="shared" si="13"/>
        <v>0</v>
      </c>
      <c r="P37" s="32">
        <v>0</v>
      </c>
      <c r="Q37" s="83">
        <v>26769</v>
      </c>
      <c r="R37" s="25">
        <f t="shared" si="8"/>
        <v>-26769</v>
      </c>
      <c r="S37" s="33" t="e">
        <f>+R37/N37</f>
        <v>#DIV/0!</v>
      </c>
      <c r="U37" s="49">
        <v>37165</v>
      </c>
      <c r="V37" s="82">
        <f t="shared" si="9"/>
        <v>1627317</v>
      </c>
      <c r="W37" s="82">
        <f t="shared" si="14"/>
        <v>14951719</v>
      </c>
      <c r="X37" s="25">
        <f t="shared" si="15"/>
        <v>0</v>
      </c>
      <c r="Y37" s="25">
        <f t="shared" si="15"/>
        <v>-4621191</v>
      </c>
      <c r="Z37" s="25">
        <f t="shared" si="15"/>
        <v>4621191</v>
      </c>
      <c r="AA37" s="26">
        <f t="shared" si="12"/>
        <v>2.8397607841619057</v>
      </c>
      <c r="AB37" s="33"/>
    </row>
    <row r="38" spans="1:28" x14ac:dyDescent="0.25">
      <c r="A38" s="49">
        <v>37196</v>
      </c>
      <c r="B38" s="81">
        <f t="shared" si="11"/>
        <v>-2564363</v>
      </c>
      <c r="C38" s="31">
        <v>12387356</v>
      </c>
      <c r="D38" s="32"/>
      <c r="E38" s="83">
        <v>5442416</v>
      </c>
      <c r="F38" s="32">
        <f t="shared" si="6"/>
        <v>-5442416</v>
      </c>
      <c r="G38" s="36"/>
      <c r="H38" s="33">
        <f t="shared" si="7"/>
        <v>2.122326675279592</v>
      </c>
      <c r="I38" s="32"/>
      <c r="J38" s="32"/>
      <c r="K38" s="32"/>
      <c r="L38" s="32"/>
      <c r="M38" s="49">
        <v>37196</v>
      </c>
      <c r="N38" s="42">
        <v>2750000</v>
      </c>
      <c r="O38" s="42">
        <f t="shared" si="13"/>
        <v>2750000</v>
      </c>
      <c r="P38" s="32"/>
      <c r="Q38" s="83">
        <v>-7403194</v>
      </c>
      <c r="R38" s="25">
        <f t="shared" ref="R38:R54" si="16">+P38-Q38</f>
        <v>7403194</v>
      </c>
      <c r="S38" s="33">
        <f t="shared" ref="S38:S54" si="17">+R38/N38</f>
        <v>2.6920705454545453</v>
      </c>
      <c r="T38" s="36"/>
      <c r="U38" s="49">
        <v>37196</v>
      </c>
      <c r="V38" s="82">
        <f t="shared" si="9"/>
        <v>185637</v>
      </c>
      <c r="W38" s="82">
        <f t="shared" si="14"/>
        <v>15137356</v>
      </c>
      <c r="X38" s="25">
        <f t="shared" si="15"/>
        <v>0</v>
      </c>
      <c r="Y38" s="25">
        <f t="shared" si="15"/>
        <v>-1960778</v>
      </c>
      <c r="Z38" s="25">
        <f t="shared" si="15"/>
        <v>1960778</v>
      </c>
      <c r="AA38" s="26">
        <f>+Z38/V38</f>
        <v>10.562430980892819</v>
      </c>
      <c r="AB38" s="33"/>
    </row>
    <row r="39" spans="1:28" x14ac:dyDescent="0.25">
      <c r="A39" s="49">
        <v>37226</v>
      </c>
      <c r="B39" s="81">
        <f t="shared" si="11"/>
        <v>-4920003</v>
      </c>
      <c r="C39" s="31">
        <v>7467353</v>
      </c>
      <c r="D39" s="32"/>
      <c r="E39" s="83">
        <v>15696427</v>
      </c>
      <c r="F39" s="32">
        <f t="shared" si="6"/>
        <v>-15696427</v>
      </c>
      <c r="G39" s="36"/>
      <c r="H39" s="33">
        <f t="shared" si="7"/>
        <v>3.1903287457345044</v>
      </c>
      <c r="I39" s="32"/>
      <c r="J39" s="32"/>
      <c r="K39" s="32"/>
      <c r="L39" s="32"/>
      <c r="M39" s="49">
        <v>37226</v>
      </c>
      <c r="N39" s="42">
        <v>1000000</v>
      </c>
      <c r="O39" s="42">
        <f t="shared" si="13"/>
        <v>3750000</v>
      </c>
      <c r="P39" s="32"/>
      <c r="Q39" s="83">
        <v>-2898915</v>
      </c>
      <c r="R39" s="25">
        <f t="shared" si="16"/>
        <v>2898915</v>
      </c>
      <c r="S39" s="33">
        <f t="shared" si="17"/>
        <v>2.8989150000000001</v>
      </c>
      <c r="T39" s="36"/>
      <c r="U39" s="49">
        <v>37226</v>
      </c>
      <c r="V39" s="82">
        <f t="shared" si="9"/>
        <v>-3920003</v>
      </c>
      <c r="W39" s="82">
        <f t="shared" si="14"/>
        <v>11217353</v>
      </c>
      <c r="X39" s="25">
        <f t="shared" si="15"/>
        <v>0</v>
      </c>
      <c r="Y39" s="25">
        <f t="shared" si="15"/>
        <v>12797512</v>
      </c>
      <c r="Z39" s="25">
        <f t="shared" si="15"/>
        <v>-12797512</v>
      </c>
      <c r="AA39" s="26">
        <f t="shared" si="12"/>
        <v>3.2646689301003087</v>
      </c>
      <c r="AB39" s="33"/>
    </row>
    <row r="40" spans="1:28" x14ac:dyDescent="0.25">
      <c r="A40" s="49">
        <v>37257</v>
      </c>
      <c r="B40" s="81">
        <f t="shared" si="11"/>
        <v>-2162337</v>
      </c>
      <c r="C40" s="31">
        <v>5305016</v>
      </c>
      <c r="D40" s="32"/>
      <c r="E40" s="83">
        <v>8143603</v>
      </c>
      <c r="F40" s="32">
        <f t="shared" si="6"/>
        <v>-8143603</v>
      </c>
      <c r="G40" s="36"/>
      <c r="H40" s="33">
        <f t="shared" si="7"/>
        <v>3.7661118502805069</v>
      </c>
      <c r="I40" s="32"/>
      <c r="J40" s="32"/>
      <c r="K40" s="32"/>
      <c r="L40" s="32"/>
      <c r="M40" s="49">
        <v>37257</v>
      </c>
      <c r="N40" s="42"/>
      <c r="O40" s="42">
        <f>+O39+N40</f>
        <v>3750000</v>
      </c>
      <c r="P40" s="32"/>
      <c r="Q40" s="83">
        <v>396</v>
      </c>
      <c r="R40" s="25">
        <f t="shared" si="16"/>
        <v>-396</v>
      </c>
      <c r="S40" s="33" t="e">
        <f t="shared" si="17"/>
        <v>#DIV/0!</v>
      </c>
      <c r="T40" s="36"/>
      <c r="U40" s="49">
        <v>37257</v>
      </c>
      <c r="V40" s="82">
        <f t="shared" si="9"/>
        <v>-2162337</v>
      </c>
      <c r="W40" s="82">
        <f t="shared" si="14"/>
        <v>9055016</v>
      </c>
      <c r="X40" s="25">
        <f t="shared" si="15"/>
        <v>0</v>
      </c>
      <c r="Y40" s="25">
        <f t="shared" si="15"/>
        <v>8143999</v>
      </c>
      <c r="Z40" s="25">
        <f t="shared" si="15"/>
        <v>-8143999</v>
      </c>
      <c r="AA40" s="26">
        <f t="shared" si="12"/>
        <v>3.7662949854717374</v>
      </c>
      <c r="AB40" s="33"/>
    </row>
    <row r="41" spans="1:28" x14ac:dyDescent="0.25">
      <c r="A41" s="49">
        <v>37288</v>
      </c>
      <c r="B41" s="81">
        <f t="shared" si="11"/>
        <v>-2002604</v>
      </c>
      <c r="C41" s="31">
        <v>3302412</v>
      </c>
      <c r="D41" s="32"/>
      <c r="E41" s="83">
        <v>12654526</v>
      </c>
      <c r="F41" s="32">
        <f t="shared" si="6"/>
        <v>-12654526</v>
      </c>
      <c r="G41" s="36"/>
      <c r="H41" s="33">
        <f t="shared" si="7"/>
        <v>6.3190356156284517</v>
      </c>
      <c r="I41" s="32"/>
      <c r="J41" s="32"/>
      <c r="K41" s="32"/>
      <c r="L41" s="32"/>
      <c r="M41" s="49">
        <v>37288</v>
      </c>
      <c r="N41" s="42"/>
      <c r="O41" s="42">
        <f t="shared" si="13"/>
        <v>3750000</v>
      </c>
      <c r="P41" s="32"/>
      <c r="Q41" s="83">
        <v>18</v>
      </c>
      <c r="R41" s="25">
        <f t="shared" si="16"/>
        <v>-18</v>
      </c>
      <c r="S41" s="33" t="e">
        <f t="shared" si="17"/>
        <v>#DIV/0!</v>
      </c>
      <c r="T41" s="36"/>
      <c r="U41" s="49">
        <v>37288</v>
      </c>
      <c r="V41" s="82">
        <f t="shared" ref="V41:V54" si="18">+B41+N41</f>
        <v>-2002604</v>
      </c>
      <c r="W41" s="82">
        <f t="shared" si="14"/>
        <v>7052412</v>
      </c>
      <c r="X41" s="25">
        <f t="shared" ref="X41:X54" si="19">+D41+P41</f>
        <v>0</v>
      </c>
      <c r="Y41" s="25">
        <f t="shared" ref="Y41:Y54" si="20">+E41+Q41</f>
        <v>12654544</v>
      </c>
      <c r="Z41" s="25">
        <f t="shared" ref="Z41:Z54" si="21">+F41+R41</f>
        <v>-12654544</v>
      </c>
      <c r="AA41" s="26">
        <f t="shared" si="12"/>
        <v>6.3190446039256889</v>
      </c>
      <c r="AB41" s="33"/>
    </row>
    <row r="42" spans="1:28" x14ac:dyDescent="0.25">
      <c r="A42" s="49">
        <v>37316</v>
      </c>
      <c r="B42" s="81">
        <f t="shared" si="11"/>
        <v>-3302412</v>
      </c>
      <c r="C42" s="31">
        <v>0</v>
      </c>
      <c r="D42" s="32"/>
      <c r="E42" s="83">
        <v>18471386</v>
      </c>
      <c r="F42" s="32">
        <f t="shared" si="6"/>
        <v>-18471386</v>
      </c>
      <c r="G42" s="36"/>
      <c r="H42" s="33">
        <f t="shared" si="7"/>
        <v>5.5933015020536505</v>
      </c>
      <c r="I42" s="32"/>
      <c r="J42" s="32"/>
      <c r="K42" s="32"/>
      <c r="L42" s="32"/>
      <c r="M42" s="49">
        <v>37316</v>
      </c>
      <c r="N42" s="42"/>
      <c r="O42" s="42">
        <f t="shared" si="13"/>
        <v>3750000</v>
      </c>
      <c r="P42" s="32"/>
      <c r="Q42" s="83">
        <v>37</v>
      </c>
      <c r="R42" s="25">
        <f t="shared" si="16"/>
        <v>-37</v>
      </c>
      <c r="S42" s="33" t="e">
        <f t="shared" si="17"/>
        <v>#DIV/0!</v>
      </c>
      <c r="T42" s="36"/>
      <c r="U42" s="49">
        <v>37316</v>
      </c>
      <c r="V42" s="82">
        <f t="shared" si="18"/>
        <v>-3302412</v>
      </c>
      <c r="W42" s="82">
        <f t="shared" si="14"/>
        <v>3750000</v>
      </c>
      <c r="X42" s="25">
        <f t="shared" si="19"/>
        <v>0</v>
      </c>
      <c r="Y42" s="25">
        <f t="shared" si="20"/>
        <v>18471423</v>
      </c>
      <c r="Z42" s="25">
        <f t="shared" si="21"/>
        <v>-18471423</v>
      </c>
      <c r="AA42" s="26">
        <f t="shared" si="12"/>
        <v>5.5933127059858068</v>
      </c>
      <c r="AB42" s="33"/>
    </row>
    <row r="43" spans="1:28" x14ac:dyDescent="0.25">
      <c r="A43" s="49">
        <v>37347</v>
      </c>
      <c r="B43" s="81">
        <v>0</v>
      </c>
      <c r="C43" s="31">
        <v>0</v>
      </c>
      <c r="D43" s="32"/>
      <c r="E43" s="32"/>
      <c r="F43" s="32"/>
      <c r="G43" s="36"/>
      <c r="H43" s="33"/>
      <c r="I43" s="36"/>
      <c r="J43" s="32"/>
      <c r="K43" s="32"/>
      <c r="L43" s="32"/>
      <c r="M43" s="49">
        <v>37347</v>
      </c>
      <c r="N43" s="42">
        <v>2000000</v>
      </c>
      <c r="O43" s="42">
        <f t="shared" si="13"/>
        <v>5750000</v>
      </c>
      <c r="P43" s="32"/>
      <c r="Q43" s="83">
        <v>-6586478</v>
      </c>
      <c r="R43" s="25">
        <f t="shared" si="16"/>
        <v>6586478</v>
      </c>
      <c r="S43" s="26">
        <f t="shared" si="17"/>
        <v>3.2932389999999998</v>
      </c>
      <c r="T43" s="36"/>
      <c r="U43" s="49">
        <v>37347</v>
      </c>
      <c r="V43" s="82">
        <f t="shared" si="18"/>
        <v>2000000</v>
      </c>
      <c r="W43" s="82">
        <f t="shared" si="14"/>
        <v>5750000</v>
      </c>
      <c r="X43" s="25">
        <f t="shared" si="19"/>
        <v>0</v>
      </c>
      <c r="Y43" s="25">
        <f t="shared" si="20"/>
        <v>-6586478</v>
      </c>
      <c r="Z43" s="25">
        <f t="shared" si="21"/>
        <v>6586478</v>
      </c>
      <c r="AA43" s="26">
        <f t="shared" si="12"/>
        <v>3.2932389999999998</v>
      </c>
      <c r="AB43" s="33"/>
    </row>
    <row r="44" spans="1:28" x14ac:dyDescent="0.25">
      <c r="A44" s="49">
        <v>37377</v>
      </c>
      <c r="B44" s="81">
        <v>0</v>
      </c>
      <c r="C44" s="31">
        <v>0</v>
      </c>
      <c r="D44" s="32"/>
      <c r="E44" s="32"/>
      <c r="F44" s="32"/>
      <c r="G44" s="36"/>
      <c r="H44" s="33"/>
      <c r="I44" s="76"/>
      <c r="J44" s="76"/>
      <c r="K44" s="76"/>
      <c r="L44" s="32"/>
      <c r="M44" s="49">
        <v>37377</v>
      </c>
      <c r="N44" s="42">
        <v>2000000</v>
      </c>
      <c r="O44" s="42">
        <f>+O43+N44</f>
        <v>7750000</v>
      </c>
      <c r="P44" s="76"/>
      <c r="Q44" s="83">
        <v>-6587442</v>
      </c>
      <c r="R44" s="25">
        <f t="shared" si="16"/>
        <v>6587442</v>
      </c>
      <c r="S44" s="26">
        <f t="shared" si="17"/>
        <v>3.2937210000000001</v>
      </c>
      <c r="T44" s="36"/>
      <c r="U44" s="49">
        <v>37377</v>
      </c>
      <c r="V44" s="82">
        <f t="shared" si="18"/>
        <v>2000000</v>
      </c>
      <c r="W44" s="82">
        <f t="shared" si="14"/>
        <v>7750000</v>
      </c>
      <c r="X44" s="25">
        <f t="shared" si="19"/>
        <v>0</v>
      </c>
      <c r="Y44" s="25">
        <f t="shared" si="20"/>
        <v>-6587442</v>
      </c>
      <c r="Z44" s="25">
        <f t="shared" si="21"/>
        <v>6587442</v>
      </c>
      <c r="AA44" s="26">
        <f t="shared" si="12"/>
        <v>3.2937210000000001</v>
      </c>
      <c r="AB44" s="76"/>
    </row>
    <row r="45" spans="1:28" x14ac:dyDescent="0.25">
      <c r="A45" s="49">
        <v>37408</v>
      </c>
      <c r="B45" s="81">
        <v>0</v>
      </c>
      <c r="C45" s="31">
        <v>0</v>
      </c>
      <c r="D45" s="32"/>
      <c r="E45" s="32"/>
      <c r="F45" s="32"/>
      <c r="G45" s="36"/>
      <c r="H45" s="33"/>
      <c r="I45" s="76"/>
      <c r="J45" s="76"/>
      <c r="K45" s="76"/>
      <c r="L45" s="32"/>
      <c r="M45" s="49">
        <v>37408</v>
      </c>
      <c r="N45" s="44"/>
      <c r="O45" s="42">
        <f>+O44+N45</f>
        <v>7750000</v>
      </c>
      <c r="P45" s="76"/>
      <c r="Q45" s="83"/>
      <c r="R45" s="25">
        <f t="shared" si="16"/>
        <v>0</v>
      </c>
      <c r="S45" s="26" t="e">
        <f t="shared" si="17"/>
        <v>#DIV/0!</v>
      </c>
      <c r="T45" s="36"/>
      <c r="U45" s="49">
        <v>37408</v>
      </c>
      <c r="V45" s="82">
        <f t="shared" si="18"/>
        <v>0</v>
      </c>
      <c r="W45" s="82">
        <f t="shared" si="14"/>
        <v>7750000</v>
      </c>
      <c r="X45" s="25">
        <f t="shared" si="19"/>
        <v>0</v>
      </c>
      <c r="Y45" s="25">
        <f t="shared" si="20"/>
        <v>0</v>
      </c>
      <c r="Z45" s="25">
        <f t="shared" si="21"/>
        <v>0</v>
      </c>
      <c r="AA45" s="26" t="e">
        <f t="shared" si="12"/>
        <v>#DIV/0!</v>
      </c>
      <c r="AB45" s="76"/>
    </row>
    <row r="46" spans="1:28" x14ac:dyDescent="0.25">
      <c r="A46" s="49">
        <v>37438</v>
      </c>
      <c r="B46" s="81">
        <v>0</v>
      </c>
      <c r="C46" s="31">
        <v>0</v>
      </c>
      <c r="D46" s="32"/>
      <c r="E46" s="32"/>
      <c r="F46" s="32"/>
      <c r="G46" s="36"/>
      <c r="H46" s="33"/>
      <c r="I46" s="72"/>
      <c r="J46" s="72"/>
      <c r="K46" s="72"/>
      <c r="L46" s="32"/>
      <c r="M46" s="49">
        <v>37438</v>
      </c>
      <c r="N46" s="44"/>
      <c r="O46" s="42">
        <f t="shared" ref="O46:O53" si="22">+O45+N46</f>
        <v>7750000</v>
      </c>
      <c r="P46" s="72"/>
      <c r="Q46" s="83"/>
      <c r="R46" s="25">
        <f t="shared" si="16"/>
        <v>0</v>
      </c>
      <c r="S46" s="26" t="e">
        <f t="shared" si="17"/>
        <v>#DIV/0!</v>
      </c>
      <c r="T46" s="36"/>
      <c r="U46" s="49">
        <v>37438</v>
      </c>
      <c r="V46" s="82">
        <f t="shared" si="18"/>
        <v>0</v>
      </c>
      <c r="W46" s="82">
        <f t="shared" si="14"/>
        <v>7750000</v>
      </c>
      <c r="X46" s="25">
        <f t="shared" si="19"/>
        <v>0</v>
      </c>
      <c r="Y46" s="25">
        <f t="shared" si="20"/>
        <v>0</v>
      </c>
      <c r="Z46" s="25">
        <f t="shared" si="21"/>
        <v>0</v>
      </c>
      <c r="AA46" s="26" t="e">
        <f t="shared" si="12"/>
        <v>#DIV/0!</v>
      </c>
      <c r="AB46" s="72"/>
    </row>
    <row r="47" spans="1:28" x14ac:dyDescent="0.25">
      <c r="A47" s="49">
        <v>37469</v>
      </c>
      <c r="B47" s="81">
        <v>0</v>
      </c>
      <c r="C47" s="31">
        <v>0</v>
      </c>
      <c r="D47" s="32"/>
      <c r="E47" s="32"/>
      <c r="F47" s="32"/>
      <c r="G47" s="36"/>
      <c r="H47" s="33"/>
      <c r="I47" s="72"/>
      <c r="J47" s="72"/>
      <c r="K47" s="72"/>
      <c r="L47" s="32"/>
      <c r="M47" s="49">
        <v>37469</v>
      </c>
      <c r="N47" s="44"/>
      <c r="O47" s="42">
        <f t="shared" si="22"/>
        <v>7750000</v>
      </c>
      <c r="P47" s="72"/>
      <c r="Q47" s="83"/>
      <c r="R47" s="25">
        <f t="shared" si="16"/>
        <v>0</v>
      </c>
      <c r="S47" s="33" t="e">
        <f t="shared" si="17"/>
        <v>#DIV/0!</v>
      </c>
      <c r="T47" s="36"/>
      <c r="U47" s="49">
        <v>37469</v>
      </c>
      <c r="V47" s="82">
        <f t="shared" si="18"/>
        <v>0</v>
      </c>
      <c r="W47" s="82">
        <f t="shared" si="14"/>
        <v>7750000</v>
      </c>
      <c r="X47" s="25">
        <f t="shared" si="19"/>
        <v>0</v>
      </c>
      <c r="Y47" s="25">
        <f t="shared" si="20"/>
        <v>0</v>
      </c>
      <c r="Z47" s="25">
        <f t="shared" si="21"/>
        <v>0</v>
      </c>
      <c r="AA47" s="26" t="e">
        <f t="shared" si="12"/>
        <v>#DIV/0!</v>
      </c>
      <c r="AB47" s="72"/>
    </row>
    <row r="48" spans="1:28" x14ac:dyDescent="0.25">
      <c r="A48" s="49">
        <v>37500</v>
      </c>
      <c r="B48" s="81">
        <v>0</v>
      </c>
      <c r="C48" s="31">
        <v>0</v>
      </c>
      <c r="D48" s="32"/>
      <c r="E48" s="32"/>
      <c r="F48" s="32"/>
      <c r="G48" s="36"/>
      <c r="H48" s="33"/>
      <c r="I48" s="72"/>
      <c r="J48" s="78"/>
      <c r="K48" s="72"/>
      <c r="L48" s="32"/>
      <c r="M48" s="49">
        <v>37500</v>
      </c>
      <c r="N48" s="44">
        <v>-1000000</v>
      </c>
      <c r="O48" s="42">
        <f t="shared" si="22"/>
        <v>6750000</v>
      </c>
      <c r="P48" s="72"/>
      <c r="Q48" s="83">
        <v>2984198</v>
      </c>
      <c r="R48" s="25">
        <f t="shared" si="16"/>
        <v>-2984198</v>
      </c>
      <c r="S48" s="33">
        <f t="shared" si="17"/>
        <v>2.9841980000000001</v>
      </c>
      <c r="T48" s="36"/>
      <c r="U48" s="49">
        <v>37500</v>
      </c>
      <c r="V48" s="82">
        <f t="shared" si="18"/>
        <v>-1000000</v>
      </c>
      <c r="W48" s="82">
        <f t="shared" si="14"/>
        <v>6750000</v>
      </c>
      <c r="X48" s="25">
        <f t="shared" si="19"/>
        <v>0</v>
      </c>
      <c r="Y48" s="25">
        <f t="shared" si="20"/>
        <v>2984198</v>
      </c>
      <c r="Z48" s="25">
        <f t="shared" si="21"/>
        <v>-2984198</v>
      </c>
      <c r="AA48" s="26">
        <f t="shared" si="12"/>
        <v>2.9841980000000001</v>
      </c>
      <c r="AB48" s="72"/>
    </row>
    <row r="49" spans="1:28" x14ac:dyDescent="0.25">
      <c r="A49" s="49">
        <v>37530</v>
      </c>
      <c r="B49" s="81">
        <v>0</v>
      </c>
      <c r="C49" s="31">
        <v>0</v>
      </c>
      <c r="D49" s="32"/>
      <c r="E49" s="32"/>
      <c r="F49" s="32"/>
      <c r="G49" s="36"/>
      <c r="H49" s="33"/>
      <c r="I49" s="72"/>
      <c r="J49" s="78"/>
      <c r="K49" s="72"/>
      <c r="L49" s="32"/>
      <c r="M49" s="49">
        <v>37530</v>
      </c>
      <c r="N49" s="44">
        <v>-2750000</v>
      </c>
      <c r="O49" s="42">
        <f t="shared" si="22"/>
        <v>4000000</v>
      </c>
      <c r="P49" s="72"/>
      <c r="Q49" s="83">
        <v>8421793</v>
      </c>
      <c r="R49" s="25">
        <f t="shared" si="16"/>
        <v>-8421793</v>
      </c>
      <c r="S49" s="33">
        <f t="shared" si="17"/>
        <v>3.0624701818181816</v>
      </c>
      <c r="T49" s="36"/>
      <c r="U49" s="49">
        <v>37530</v>
      </c>
      <c r="V49" s="82">
        <f t="shared" si="18"/>
        <v>-2750000</v>
      </c>
      <c r="W49" s="82">
        <f t="shared" si="14"/>
        <v>4000000</v>
      </c>
      <c r="X49" s="25">
        <f t="shared" si="19"/>
        <v>0</v>
      </c>
      <c r="Y49" s="25">
        <f t="shared" si="20"/>
        <v>8421793</v>
      </c>
      <c r="Z49" s="25">
        <f t="shared" si="21"/>
        <v>-8421793</v>
      </c>
      <c r="AA49" s="26">
        <f t="shared" si="12"/>
        <v>3.0624701818181816</v>
      </c>
      <c r="AB49" s="72"/>
    </row>
    <row r="50" spans="1:28" x14ac:dyDescent="0.25">
      <c r="A50" s="49">
        <v>37561</v>
      </c>
      <c r="B50" s="81">
        <v>0</v>
      </c>
      <c r="C50" s="31">
        <v>0</v>
      </c>
      <c r="D50" s="32"/>
      <c r="E50" s="32"/>
      <c r="F50" s="32"/>
      <c r="G50" s="36"/>
      <c r="H50" s="33"/>
      <c r="I50" s="72"/>
      <c r="J50" s="78"/>
      <c r="K50" s="72"/>
      <c r="L50" s="32"/>
      <c r="M50" s="49">
        <v>37561</v>
      </c>
      <c r="N50" s="44"/>
      <c r="O50" s="42">
        <f t="shared" si="22"/>
        <v>4000000</v>
      </c>
      <c r="P50" s="72"/>
      <c r="Q50" s="83"/>
      <c r="R50" s="25">
        <f t="shared" si="16"/>
        <v>0</v>
      </c>
      <c r="S50" s="33" t="e">
        <f t="shared" si="17"/>
        <v>#DIV/0!</v>
      </c>
      <c r="T50" s="36"/>
      <c r="U50" s="49">
        <v>37561</v>
      </c>
      <c r="V50" s="82">
        <f t="shared" si="18"/>
        <v>0</v>
      </c>
      <c r="W50" s="82">
        <f t="shared" si="14"/>
        <v>4000000</v>
      </c>
      <c r="X50" s="25">
        <f t="shared" si="19"/>
        <v>0</v>
      </c>
      <c r="Y50" s="25">
        <f t="shared" si="20"/>
        <v>0</v>
      </c>
      <c r="Z50" s="25">
        <f t="shared" si="21"/>
        <v>0</v>
      </c>
      <c r="AA50" s="26" t="e">
        <f t="shared" si="12"/>
        <v>#DIV/0!</v>
      </c>
      <c r="AB50" s="72"/>
    </row>
    <row r="51" spans="1:28" x14ac:dyDescent="0.25">
      <c r="A51" s="49">
        <v>37591</v>
      </c>
      <c r="B51" s="81">
        <v>0</v>
      </c>
      <c r="C51" s="31">
        <v>0</v>
      </c>
      <c r="D51" s="32"/>
      <c r="E51" s="32"/>
      <c r="F51" s="32"/>
      <c r="G51" s="36"/>
      <c r="H51" s="33"/>
      <c r="I51" s="72"/>
      <c r="J51" s="78"/>
      <c r="K51" s="72"/>
      <c r="L51" s="32"/>
      <c r="M51" s="49">
        <v>37591</v>
      </c>
      <c r="N51" s="44"/>
      <c r="O51" s="42">
        <f t="shared" si="22"/>
        <v>4000000</v>
      </c>
      <c r="P51" s="72"/>
      <c r="Q51" s="83"/>
      <c r="R51" s="25">
        <f t="shared" si="16"/>
        <v>0</v>
      </c>
      <c r="S51" s="33" t="e">
        <f t="shared" si="17"/>
        <v>#DIV/0!</v>
      </c>
      <c r="T51" s="36"/>
      <c r="U51" s="49">
        <v>37591</v>
      </c>
      <c r="V51" s="82">
        <f t="shared" si="18"/>
        <v>0</v>
      </c>
      <c r="W51" s="82">
        <f t="shared" si="14"/>
        <v>4000000</v>
      </c>
      <c r="X51" s="25">
        <f t="shared" si="19"/>
        <v>0</v>
      </c>
      <c r="Y51" s="25">
        <f t="shared" si="20"/>
        <v>0</v>
      </c>
      <c r="Z51" s="25">
        <f t="shared" si="21"/>
        <v>0</v>
      </c>
      <c r="AA51" s="26" t="e">
        <f t="shared" si="12"/>
        <v>#DIV/0!</v>
      </c>
      <c r="AB51" s="72"/>
    </row>
    <row r="52" spans="1:28" x14ac:dyDescent="0.25">
      <c r="A52" s="49">
        <v>37622</v>
      </c>
      <c r="B52" s="81">
        <v>0</v>
      </c>
      <c r="C52" s="31">
        <v>0</v>
      </c>
      <c r="D52" s="32"/>
      <c r="E52" s="32"/>
      <c r="F52" s="32"/>
      <c r="G52" s="36"/>
      <c r="H52" s="33"/>
      <c r="I52" s="72"/>
      <c r="J52" s="78"/>
      <c r="K52" s="72"/>
      <c r="L52" s="32"/>
      <c r="M52" s="49">
        <v>37622</v>
      </c>
      <c r="N52" s="44"/>
      <c r="O52" s="42">
        <f t="shared" si="22"/>
        <v>4000000</v>
      </c>
      <c r="P52" s="72"/>
      <c r="Q52" s="83"/>
      <c r="R52" s="25">
        <f t="shared" si="16"/>
        <v>0</v>
      </c>
      <c r="S52" s="33" t="e">
        <f t="shared" si="17"/>
        <v>#DIV/0!</v>
      </c>
      <c r="T52" s="36"/>
      <c r="U52" s="49">
        <v>37622</v>
      </c>
      <c r="V52" s="82">
        <f t="shared" si="18"/>
        <v>0</v>
      </c>
      <c r="W52" s="82">
        <f t="shared" si="14"/>
        <v>4000000</v>
      </c>
      <c r="X52" s="25">
        <f t="shared" si="19"/>
        <v>0</v>
      </c>
      <c r="Y52" s="25">
        <f t="shared" si="20"/>
        <v>0</v>
      </c>
      <c r="Z52" s="25">
        <f t="shared" si="21"/>
        <v>0</v>
      </c>
      <c r="AA52" s="26" t="e">
        <f t="shared" si="12"/>
        <v>#DIV/0!</v>
      </c>
      <c r="AB52" s="72"/>
    </row>
    <row r="53" spans="1:28" x14ac:dyDescent="0.25">
      <c r="A53" s="49">
        <v>37653</v>
      </c>
      <c r="B53" s="81">
        <v>0</v>
      </c>
      <c r="C53" s="31">
        <v>0</v>
      </c>
      <c r="D53" s="32"/>
      <c r="E53" s="32"/>
      <c r="F53" s="32"/>
      <c r="G53" s="36"/>
      <c r="H53" s="33"/>
      <c r="I53" s="76"/>
      <c r="J53" s="79"/>
      <c r="K53" s="72"/>
      <c r="L53" s="32"/>
      <c r="M53" s="49">
        <v>37653</v>
      </c>
      <c r="N53" s="44"/>
      <c r="O53" s="42">
        <f t="shared" si="22"/>
        <v>4000000</v>
      </c>
      <c r="P53" s="76"/>
      <c r="Q53" s="83"/>
      <c r="R53" s="25">
        <f t="shared" si="16"/>
        <v>0</v>
      </c>
      <c r="S53" s="33" t="e">
        <f t="shared" si="17"/>
        <v>#DIV/0!</v>
      </c>
      <c r="T53" s="36"/>
      <c r="U53" s="49">
        <v>37653</v>
      </c>
      <c r="V53" s="82">
        <f t="shared" si="18"/>
        <v>0</v>
      </c>
      <c r="W53" s="82">
        <f t="shared" si="14"/>
        <v>4000000</v>
      </c>
      <c r="X53" s="25">
        <f t="shared" si="19"/>
        <v>0</v>
      </c>
      <c r="Y53" s="25">
        <f t="shared" si="20"/>
        <v>0</v>
      </c>
      <c r="Z53" s="25">
        <f t="shared" si="21"/>
        <v>0</v>
      </c>
      <c r="AA53" s="26" t="e">
        <f t="shared" si="12"/>
        <v>#DIV/0!</v>
      </c>
      <c r="AB53" s="76"/>
    </row>
    <row r="54" spans="1:28" x14ac:dyDescent="0.25">
      <c r="A54" s="49">
        <v>37681</v>
      </c>
      <c r="B54" s="81">
        <v>0</v>
      </c>
      <c r="C54" s="31">
        <v>0</v>
      </c>
      <c r="D54" s="32"/>
      <c r="E54" s="32"/>
      <c r="F54" s="32"/>
      <c r="G54" s="36"/>
      <c r="H54" s="33"/>
      <c r="I54" s="76"/>
      <c r="J54" s="79"/>
      <c r="K54" s="72"/>
      <c r="L54" s="32"/>
      <c r="M54" s="49">
        <v>37681</v>
      </c>
      <c r="N54" s="44">
        <v>-4000000</v>
      </c>
      <c r="O54" s="42">
        <f>+O53+N54</f>
        <v>0</v>
      </c>
      <c r="P54" s="76"/>
      <c r="Q54" s="83">
        <v>13885811</v>
      </c>
      <c r="R54" s="25">
        <f t="shared" si="16"/>
        <v>-13885811</v>
      </c>
      <c r="S54" s="33">
        <f t="shared" si="17"/>
        <v>3.4714527500000001</v>
      </c>
      <c r="T54" s="36"/>
      <c r="U54" s="49">
        <v>37681</v>
      </c>
      <c r="V54" s="82">
        <f t="shared" si="18"/>
        <v>-4000000</v>
      </c>
      <c r="W54" s="82">
        <f t="shared" si="14"/>
        <v>0</v>
      </c>
      <c r="X54" s="25">
        <f t="shared" si="19"/>
        <v>0</v>
      </c>
      <c r="Y54" s="25">
        <f t="shared" si="20"/>
        <v>13885811</v>
      </c>
      <c r="Z54" s="25">
        <f t="shared" si="21"/>
        <v>-13885811</v>
      </c>
      <c r="AA54" s="26">
        <f t="shared" si="12"/>
        <v>3.4714527500000001</v>
      </c>
      <c r="AB54" s="76"/>
    </row>
    <row r="55" spans="1:28" x14ac:dyDescent="0.25">
      <c r="A55" s="76"/>
      <c r="B55" s="76"/>
      <c r="C55" s="76"/>
      <c r="D55" s="76"/>
      <c r="E55" s="76"/>
      <c r="F55" s="77"/>
      <c r="G55" s="76"/>
      <c r="H55" s="76"/>
      <c r="I55" s="76"/>
      <c r="J55" s="79"/>
      <c r="K55" s="72"/>
      <c r="M55" s="49"/>
      <c r="N55" s="44"/>
      <c r="O55" s="42"/>
      <c r="P55" s="32"/>
      <c r="Q55" s="32"/>
      <c r="R55" s="32"/>
      <c r="S55" s="32"/>
      <c r="T55" s="36"/>
      <c r="U55" s="49"/>
      <c r="V55" s="44"/>
      <c r="W55" s="42"/>
      <c r="X55" s="32"/>
      <c r="Y55" s="32"/>
      <c r="AA55" s="36"/>
      <c r="AB55" s="33"/>
    </row>
    <row r="56" spans="1:28" x14ac:dyDescent="0.25">
      <c r="A56" s="49" t="s">
        <v>15</v>
      </c>
      <c r="B56" s="49"/>
      <c r="C56" s="42"/>
      <c r="D56" s="45"/>
      <c r="E56" s="45"/>
      <c r="F56" s="32">
        <f>SUM(F30:F54)</f>
        <v>-6526753.7700000033</v>
      </c>
      <c r="G56" s="36"/>
      <c r="H56" s="71"/>
      <c r="I56" s="36"/>
      <c r="J56" s="45"/>
      <c r="K56" s="45"/>
      <c r="M56" s="49" t="s">
        <v>15</v>
      </c>
      <c r="N56" s="49"/>
      <c r="O56" s="42"/>
      <c r="P56" s="45"/>
      <c r="Q56" s="45"/>
      <c r="R56" s="32">
        <f>SUM(R30:R54)</f>
        <v>-1842993</v>
      </c>
      <c r="S56" s="32"/>
      <c r="T56" s="36"/>
      <c r="U56" s="49" t="s">
        <v>15</v>
      </c>
      <c r="V56" s="49"/>
      <c r="W56" s="42"/>
      <c r="X56" s="45"/>
      <c r="Y56" s="45"/>
      <c r="Z56" s="32">
        <f>SUM(Z30:Z54)</f>
        <v>-8369746.7700000033</v>
      </c>
      <c r="AA56" s="36"/>
      <c r="AB56" s="71"/>
    </row>
    <row r="57" spans="1:28" x14ac:dyDescent="0.25">
      <c r="A57" s="49"/>
      <c r="B57" s="49"/>
      <c r="C57" s="49"/>
      <c r="D57" s="69"/>
      <c r="E57" s="69" t="s">
        <v>25</v>
      </c>
      <c r="F57" s="32">
        <v>-3587750</v>
      </c>
      <c r="G57" s="36"/>
      <c r="H57" s="80"/>
      <c r="I57" s="36"/>
      <c r="J57" s="69"/>
      <c r="K57" s="45"/>
    </row>
    <row r="58" spans="1:28" x14ac:dyDescent="0.25">
      <c r="E58" s="57" t="s">
        <v>26</v>
      </c>
      <c r="F58" s="84">
        <f>+F56-F57</f>
        <v>-2939003.7700000033</v>
      </c>
      <c r="J58" s="70"/>
      <c r="K58" s="70"/>
      <c r="Q58" t="s">
        <v>27</v>
      </c>
      <c r="R58" s="32">
        <v>-1675595</v>
      </c>
    </row>
    <row r="59" spans="1:28" ht="13.8" thickBot="1" x14ac:dyDescent="0.3">
      <c r="J59" s="70"/>
      <c r="K59" s="70"/>
    </row>
    <row r="60" spans="1:28" x14ac:dyDescent="0.25">
      <c r="A60" s="3" t="s">
        <v>16</v>
      </c>
      <c r="B60" s="4"/>
      <c r="C60" s="4"/>
      <c r="D60" s="5"/>
      <c r="E60" s="5"/>
      <c r="F60" s="9"/>
      <c r="J60" s="70"/>
      <c r="K60" s="70"/>
      <c r="R60" s="85">
        <f>+R56-R58</f>
        <v>-167398</v>
      </c>
    </row>
    <row r="61" spans="1:28" x14ac:dyDescent="0.25">
      <c r="A61" s="10"/>
      <c r="B61" s="11"/>
      <c r="C61" s="11"/>
      <c r="D61" s="12"/>
      <c r="E61" s="12"/>
      <c r="F61" s="14"/>
    </row>
    <row r="62" spans="1:28" x14ac:dyDescent="0.25">
      <c r="A62" s="10"/>
      <c r="B62" s="11" t="s">
        <v>2</v>
      </c>
      <c r="C62" s="11" t="s">
        <v>3</v>
      </c>
      <c r="D62" s="12"/>
      <c r="E62" s="11" t="s">
        <v>17</v>
      </c>
      <c r="F62" s="16"/>
    </row>
    <row r="63" spans="1:28" x14ac:dyDescent="0.25">
      <c r="A63" s="17" t="s">
        <v>8</v>
      </c>
      <c r="B63" s="18" t="s">
        <v>9</v>
      </c>
      <c r="C63" s="18" t="s">
        <v>9</v>
      </c>
      <c r="D63" s="18" t="s">
        <v>11</v>
      </c>
      <c r="E63" s="18" t="s">
        <v>18</v>
      </c>
      <c r="F63" s="21"/>
    </row>
    <row r="64" spans="1:28" x14ac:dyDescent="0.25">
      <c r="A64" s="10"/>
      <c r="B64" s="11"/>
      <c r="C64" s="11"/>
      <c r="D64" s="12"/>
      <c r="E64" s="12"/>
      <c r="F64" s="14"/>
    </row>
    <row r="65" spans="1:6" x14ac:dyDescent="0.25">
      <c r="A65" s="23">
        <v>36951</v>
      </c>
      <c r="B65" s="40">
        <v>2161455</v>
      </c>
      <c r="C65" s="40">
        <v>2161455</v>
      </c>
      <c r="D65" s="41">
        <v>2.8</v>
      </c>
      <c r="E65" s="25">
        <f t="shared" ref="E65:E77" si="23">+B65*D65</f>
        <v>6052074</v>
      </c>
      <c r="F65" s="29"/>
    </row>
    <row r="66" spans="1:6" x14ac:dyDescent="0.25">
      <c r="A66" s="23">
        <v>36982</v>
      </c>
      <c r="B66" s="40">
        <f>+C66-C65</f>
        <v>1266261</v>
      </c>
      <c r="C66" s="40">
        <v>3427716</v>
      </c>
      <c r="D66" s="41">
        <v>2.8</v>
      </c>
      <c r="E66" s="25">
        <f t="shared" si="23"/>
        <v>3545530.8</v>
      </c>
      <c r="F66" s="29"/>
    </row>
    <row r="67" spans="1:6" x14ac:dyDescent="0.25">
      <c r="A67" s="23">
        <v>37012</v>
      </c>
      <c r="B67" s="40">
        <f>+C67-C66</f>
        <v>2029288</v>
      </c>
      <c r="C67" s="40">
        <v>5457004</v>
      </c>
      <c r="D67" s="41">
        <v>2.8</v>
      </c>
      <c r="E67" s="25">
        <f t="shared" si="23"/>
        <v>5682006.3999999994</v>
      </c>
      <c r="F67" s="29"/>
    </row>
    <row r="68" spans="1:6" x14ac:dyDescent="0.25">
      <c r="A68" s="23">
        <v>37043</v>
      </c>
      <c r="B68" s="40">
        <f>+C68-C67</f>
        <v>2813887</v>
      </c>
      <c r="C68" s="40">
        <v>8270891</v>
      </c>
      <c r="D68" s="41">
        <v>2.8</v>
      </c>
      <c r="E68" s="25">
        <f t="shared" si="23"/>
        <v>7878883.5999999996</v>
      </c>
      <c r="F68" s="29"/>
    </row>
    <row r="69" spans="1:6" x14ac:dyDescent="0.25">
      <c r="A69" s="30">
        <v>37073</v>
      </c>
      <c r="B69" s="42">
        <v>2222676</v>
      </c>
      <c r="C69" s="42">
        <f t="shared" ref="C69:C77" si="24">+C68+B69</f>
        <v>10493567</v>
      </c>
      <c r="D69" s="43">
        <v>2.8</v>
      </c>
      <c r="E69" s="25">
        <f t="shared" si="23"/>
        <v>6223492.7999999998</v>
      </c>
      <c r="F69" s="37"/>
    </row>
    <row r="70" spans="1:6" x14ac:dyDescent="0.25">
      <c r="A70" s="30">
        <v>37104</v>
      </c>
      <c r="B70" s="42">
        <v>1697448</v>
      </c>
      <c r="C70" s="42">
        <f t="shared" si="24"/>
        <v>12191015</v>
      </c>
      <c r="D70" s="43">
        <v>2.8</v>
      </c>
      <c r="E70" s="25">
        <f t="shared" si="23"/>
        <v>4752854.3999999994</v>
      </c>
      <c r="F70" s="37"/>
    </row>
    <row r="71" spans="1:6" x14ac:dyDescent="0.25">
      <c r="A71" s="30">
        <v>37135</v>
      </c>
      <c r="B71" s="42">
        <v>1374743</v>
      </c>
      <c r="C71" s="42">
        <f t="shared" si="24"/>
        <v>13565758</v>
      </c>
      <c r="D71" s="43">
        <v>2.8</v>
      </c>
      <c r="E71" s="25">
        <f t="shared" si="23"/>
        <v>3849280.4</v>
      </c>
      <c r="F71" s="37"/>
    </row>
    <row r="72" spans="1:6" x14ac:dyDescent="0.25">
      <c r="A72" s="30">
        <v>37165</v>
      </c>
      <c r="B72" s="42">
        <v>1634953</v>
      </c>
      <c r="C72" s="42">
        <f t="shared" si="24"/>
        <v>15200711</v>
      </c>
      <c r="D72" s="43">
        <v>2.8</v>
      </c>
      <c r="E72" s="25">
        <f t="shared" si="23"/>
        <v>4577868.3999999994</v>
      </c>
      <c r="F72" s="37"/>
    </row>
    <row r="73" spans="1:6" x14ac:dyDescent="0.25">
      <c r="A73" s="30">
        <v>37196</v>
      </c>
      <c r="B73" s="44">
        <v>-2564363</v>
      </c>
      <c r="C73" s="42">
        <f t="shared" si="24"/>
        <v>12636348</v>
      </c>
      <c r="D73" s="43">
        <v>3.15</v>
      </c>
      <c r="E73" s="25">
        <f t="shared" si="23"/>
        <v>-8077743.4500000002</v>
      </c>
      <c r="F73" s="37"/>
    </row>
    <row r="74" spans="1:6" x14ac:dyDescent="0.25">
      <c r="A74" s="30">
        <v>37226</v>
      </c>
      <c r="B74" s="44">
        <v>-4920003</v>
      </c>
      <c r="C74" s="42">
        <f t="shared" si="24"/>
        <v>7716345</v>
      </c>
      <c r="D74" s="43">
        <v>3.15</v>
      </c>
      <c r="E74" s="25">
        <f t="shared" si="23"/>
        <v>-15498009.449999999</v>
      </c>
      <c r="F74" s="37"/>
    </row>
    <row r="75" spans="1:6" x14ac:dyDescent="0.25">
      <c r="A75" s="30">
        <v>37257</v>
      </c>
      <c r="B75" s="44">
        <v>-2162337</v>
      </c>
      <c r="C75" s="42">
        <f t="shared" si="24"/>
        <v>5554008</v>
      </c>
      <c r="D75" s="43">
        <v>3.15</v>
      </c>
      <c r="E75" s="25">
        <f t="shared" si="23"/>
        <v>-6811361.5499999998</v>
      </c>
      <c r="F75" s="37"/>
    </row>
    <row r="76" spans="1:6" x14ac:dyDescent="0.25">
      <c r="A76" s="30">
        <v>37288</v>
      </c>
      <c r="B76" s="44">
        <v>-2002604</v>
      </c>
      <c r="C76" s="42">
        <f t="shared" si="24"/>
        <v>3551404</v>
      </c>
      <c r="D76" s="43">
        <v>3.15</v>
      </c>
      <c r="E76" s="25">
        <f t="shared" si="23"/>
        <v>-6308202.5999999996</v>
      </c>
      <c r="F76" s="37"/>
    </row>
    <row r="77" spans="1:6" x14ac:dyDescent="0.25">
      <c r="A77" s="30">
        <v>37316</v>
      </c>
      <c r="B77" s="44">
        <v>-3469812</v>
      </c>
      <c r="C77" s="42">
        <f t="shared" si="24"/>
        <v>81592</v>
      </c>
      <c r="D77" s="43">
        <v>3.15</v>
      </c>
      <c r="E77" s="25">
        <f t="shared" si="23"/>
        <v>-10929907.799999999</v>
      </c>
      <c r="F77" s="37"/>
    </row>
    <row r="78" spans="1:6" x14ac:dyDescent="0.25">
      <c r="A78" s="30"/>
      <c r="B78" s="44"/>
      <c r="C78" s="42"/>
      <c r="D78" s="43"/>
      <c r="E78" s="25"/>
      <c r="F78" s="37"/>
    </row>
    <row r="79" spans="1:6" x14ac:dyDescent="0.25">
      <c r="A79" s="30" t="s">
        <v>15</v>
      </c>
      <c r="B79" s="49"/>
      <c r="C79" s="42"/>
      <c r="D79" s="45"/>
      <c r="E79" s="45"/>
      <c r="F79" s="48"/>
    </row>
    <row r="80" spans="1:6" ht="13.8" thickBot="1" x14ac:dyDescent="0.3">
      <c r="A80" s="50"/>
      <c r="B80" s="51"/>
      <c r="C80" s="51"/>
      <c r="D80" s="52"/>
      <c r="E80" s="52"/>
      <c r="F80" s="56"/>
    </row>
  </sheetData>
  <phoneticPr fontId="0" type="noConversion"/>
  <pageMargins left="0.32" right="0.22" top="0.63" bottom="0.62" header="0.5" footer="0.34"/>
  <pageSetup orientation="landscape" r:id="rId1"/>
  <headerFooter alignWithMargins="0">
    <oddFooter>&amp;L&amp;D&amp;C&amp;F&amp;R&amp;T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lfascett</dc:creator>
  <cp:lastModifiedBy>Havlíček Jan</cp:lastModifiedBy>
  <cp:lastPrinted>2001-09-27T17:48:29Z</cp:lastPrinted>
  <dcterms:created xsi:type="dcterms:W3CDTF">2001-09-19T16:38:09Z</dcterms:created>
  <dcterms:modified xsi:type="dcterms:W3CDTF">2023-09-10T14:57:24Z</dcterms:modified>
</cp:coreProperties>
</file>