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firstSheet="4" activeTab="7"/>
  </bookViews>
  <sheets>
    <sheet name="CABC" sheetId="1" r:id="rId1"/>
    <sheet name="eSource" sheetId="2" r:id="rId2"/>
    <sheet name="Fin Ops" sheetId="3" r:id="rId3"/>
    <sheet name="Fin Ops Detail" sheetId="14" r:id="rId4"/>
    <sheet name="HR" sheetId="13" r:id="rId5"/>
    <sheet name="HR Detail" sheetId="17" r:id="rId6"/>
    <sheet name="Legal" sheetId="12" r:id="rId7"/>
    <sheet name="Detail - Outside Legal" sheetId="16" r:id="rId8"/>
    <sheet name="Detail - Internal Legal" sheetId="15" r:id="rId9"/>
    <sheet name="PR" sheetId="11" r:id="rId10"/>
    <sheet name="Research" sheetId="10" r:id="rId11"/>
    <sheet name="Tax" sheetId="9" r:id="rId12"/>
    <sheet name="Transaction Supp" sheetId="8" r:id="rId13"/>
    <sheet name="Treasury" sheetId="7" r:id="rId14"/>
    <sheet name="Sheet6" sheetId="6" r:id="rId15"/>
    <sheet name="Sheet5" sheetId="5" r:id="rId16"/>
    <sheet name="Sheet4" sheetId="4" r:id="rId17"/>
  </sheets>
  <externalReferences>
    <externalReference r:id="rId18"/>
    <externalReference r:id="rId19"/>
    <externalReference r:id="rId20"/>
  </externalReferences>
  <calcPr calcId="92512"/>
</workbook>
</file>

<file path=xl/calcChain.xml><?xml version="1.0" encoding="utf-8"?>
<calcChain xmlns="http://schemas.openxmlformats.org/spreadsheetml/2006/main">
  <c r="C7" i="1" l="1"/>
  <c r="E7" i="1"/>
  <c r="I7" i="1"/>
  <c r="K7" i="1"/>
  <c r="C9" i="1"/>
  <c r="E9" i="1"/>
  <c r="G9" i="1"/>
  <c r="K9" i="1"/>
  <c r="M9" i="1"/>
  <c r="C10" i="1"/>
  <c r="E10" i="1"/>
  <c r="G10" i="1"/>
  <c r="K10" i="1"/>
  <c r="M10" i="1"/>
  <c r="E11" i="1"/>
  <c r="G11" i="1"/>
  <c r="K11" i="1"/>
  <c r="E12" i="1"/>
  <c r="G12" i="1"/>
  <c r="K12" i="1"/>
  <c r="M12" i="1"/>
  <c r="C13" i="1"/>
  <c r="E13" i="1"/>
  <c r="G13" i="1"/>
  <c r="I13" i="1"/>
  <c r="K13" i="1"/>
  <c r="M13" i="1"/>
  <c r="C15" i="1"/>
  <c r="E15" i="1"/>
  <c r="G15" i="1"/>
  <c r="I15" i="1"/>
  <c r="K15" i="1"/>
  <c r="M15" i="1"/>
  <c r="C7" i="15"/>
  <c r="F7" i="15"/>
  <c r="J7" i="15"/>
  <c r="L7" i="15"/>
  <c r="E9" i="15"/>
  <c r="F9" i="15"/>
  <c r="H9" i="15"/>
  <c r="J9" i="15"/>
  <c r="L9" i="15"/>
  <c r="E11" i="15"/>
  <c r="F11" i="15"/>
  <c r="G11" i="15"/>
  <c r="H11" i="15"/>
  <c r="J11" i="15"/>
  <c r="L11" i="15"/>
  <c r="F13" i="15"/>
  <c r="J13" i="15"/>
  <c r="L13" i="15"/>
  <c r="E15" i="15"/>
  <c r="F15" i="15"/>
  <c r="H15" i="15"/>
  <c r="J15" i="15"/>
  <c r="L15" i="15"/>
  <c r="E17" i="15"/>
  <c r="F17" i="15"/>
  <c r="H17" i="15"/>
  <c r="J17" i="15"/>
  <c r="L17" i="15"/>
  <c r="C19" i="15"/>
  <c r="J19" i="15"/>
  <c r="L19" i="15"/>
  <c r="D21" i="15"/>
  <c r="J21" i="15"/>
  <c r="C23" i="15"/>
  <c r="J23" i="15"/>
  <c r="L23" i="15"/>
  <c r="C25" i="15"/>
  <c r="D25" i="15"/>
  <c r="E25" i="15"/>
  <c r="F25" i="15"/>
  <c r="G25" i="15"/>
  <c r="H25" i="15"/>
  <c r="J25" i="15"/>
  <c r="L25" i="15"/>
  <c r="C28" i="15"/>
  <c r="D28" i="15"/>
  <c r="E28" i="15"/>
  <c r="F28" i="15"/>
  <c r="G28" i="15"/>
  <c r="H28" i="15"/>
  <c r="G33" i="15"/>
  <c r="C35" i="15"/>
  <c r="E35" i="15"/>
  <c r="F35" i="15"/>
  <c r="H35" i="15"/>
  <c r="J35" i="15"/>
  <c r="L35" i="15"/>
  <c r="C37" i="15"/>
  <c r="E37" i="15"/>
  <c r="F37" i="15"/>
  <c r="H37" i="15"/>
  <c r="J37" i="15"/>
  <c r="L37" i="15"/>
  <c r="C39" i="15"/>
  <c r="E39" i="15"/>
  <c r="F39" i="15"/>
  <c r="G39" i="15"/>
  <c r="H39" i="15"/>
  <c r="J39" i="15"/>
  <c r="L39" i="15"/>
  <c r="C41" i="15"/>
  <c r="E41" i="15"/>
  <c r="F41" i="15"/>
  <c r="H41" i="15"/>
  <c r="J41" i="15"/>
  <c r="L41" i="15"/>
  <c r="C43" i="15"/>
  <c r="E43" i="15"/>
  <c r="F43" i="15"/>
  <c r="H43" i="15"/>
  <c r="J43" i="15"/>
  <c r="L43" i="15"/>
  <c r="C45" i="15"/>
  <c r="E45" i="15"/>
  <c r="F45" i="15"/>
  <c r="H45" i="15"/>
  <c r="J45" i="15"/>
  <c r="L45" i="15"/>
  <c r="E47" i="15"/>
  <c r="F47" i="15"/>
  <c r="H47" i="15"/>
  <c r="J47" i="15"/>
  <c r="L47" i="15"/>
  <c r="C49" i="15"/>
  <c r="J49" i="15"/>
  <c r="L49" i="15"/>
  <c r="J51" i="15"/>
  <c r="L51" i="15"/>
  <c r="C54" i="15"/>
  <c r="E54" i="15"/>
  <c r="F54" i="15"/>
  <c r="G54" i="15"/>
  <c r="H54" i="15"/>
  <c r="J54" i="15"/>
  <c r="L54" i="15"/>
  <c r="M60" i="15"/>
  <c r="A4" i="16"/>
  <c r="N4" i="16"/>
  <c r="P4" i="16"/>
  <c r="E6" i="16"/>
  <c r="F6" i="16"/>
  <c r="G6" i="16"/>
  <c r="H6" i="16"/>
  <c r="I6" i="16"/>
  <c r="J6" i="16"/>
  <c r="K6" i="16"/>
  <c r="L6" i="16"/>
  <c r="M6" i="16"/>
  <c r="N6" i="16"/>
  <c r="P6" i="16"/>
  <c r="E7" i="16"/>
  <c r="F7" i="16"/>
  <c r="G7" i="16"/>
  <c r="H7" i="16"/>
  <c r="I7" i="16"/>
  <c r="J7" i="16"/>
  <c r="K7" i="16"/>
  <c r="L7" i="16"/>
  <c r="M7" i="16"/>
  <c r="N7" i="16"/>
  <c r="P7" i="16"/>
  <c r="E8" i="16"/>
  <c r="F8" i="16"/>
  <c r="G8" i="16"/>
  <c r="H8" i="16"/>
  <c r="I8" i="16"/>
  <c r="J8" i="16"/>
  <c r="K8" i="16"/>
  <c r="L8" i="16"/>
  <c r="M8" i="16"/>
  <c r="N8" i="16"/>
  <c r="P8" i="16"/>
  <c r="E9" i="16"/>
  <c r="F9" i="16"/>
  <c r="G9" i="16"/>
  <c r="H9" i="16"/>
  <c r="I9" i="16"/>
  <c r="J9" i="16"/>
  <c r="K9" i="16"/>
  <c r="L9" i="16"/>
  <c r="M9" i="16"/>
  <c r="N9" i="16"/>
  <c r="P9" i="16"/>
  <c r="F10" i="16"/>
  <c r="G10" i="16"/>
  <c r="H10" i="16"/>
  <c r="I10" i="16"/>
  <c r="J10" i="16"/>
  <c r="K10" i="16"/>
  <c r="L10" i="16"/>
  <c r="M10" i="16"/>
  <c r="N10" i="16"/>
  <c r="P10" i="16"/>
  <c r="E11" i="16"/>
  <c r="F11" i="16"/>
  <c r="G11" i="16"/>
  <c r="H11" i="16"/>
  <c r="I11" i="16"/>
  <c r="J11" i="16"/>
  <c r="K11" i="16"/>
  <c r="L11" i="16"/>
  <c r="M11" i="16"/>
  <c r="N11" i="16"/>
  <c r="P11" i="16"/>
  <c r="E12" i="16"/>
  <c r="F12" i="16"/>
  <c r="G12" i="16"/>
  <c r="H12" i="16"/>
  <c r="I12" i="16"/>
  <c r="J12" i="16"/>
  <c r="K12" i="16"/>
  <c r="L12" i="16"/>
  <c r="M12" i="16"/>
  <c r="N12" i="16"/>
  <c r="P12" i="16"/>
  <c r="E13" i="16"/>
  <c r="F13" i="16"/>
  <c r="G13" i="16"/>
  <c r="H13" i="16"/>
  <c r="I13" i="16"/>
  <c r="J13" i="16"/>
  <c r="K13" i="16"/>
  <c r="L13" i="16"/>
  <c r="M13" i="16"/>
  <c r="N13" i="16"/>
  <c r="P13" i="16"/>
  <c r="E14" i="16"/>
  <c r="F14" i="16"/>
  <c r="G14" i="16"/>
  <c r="H14" i="16"/>
  <c r="I14" i="16"/>
  <c r="J14" i="16"/>
  <c r="K14" i="16"/>
  <c r="L14" i="16"/>
  <c r="M14" i="16"/>
  <c r="N14" i="16"/>
  <c r="P14" i="16"/>
  <c r="E15" i="16"/>
  <c r="F15" i="16"/>
  <c r="G15" i="16"/>
  <c r="H15" i="16"/>
  <c r="I15" i="16"/>
  <c r="J15" i="16"/>
  <c r="K15" i="16"/>
  <c r="L15" i="16"/>
  <c r="M15" i="16"/>
  <c r="N15" i="16"/>
  <c r="P15" i="16"/>
  <c r="E16" i="16"/>
  <c r="F16" i="16"/>
  <c r="G16" i="16"/>
  <c r="H16" i="16"/>
  <c r="I16" i="16"/>
  <c r="J16" i="16"/>
  <c r="K16" i="16"/>
  <c r="L16" i="16"/>
  <c r="M16" i="16"/>
  <c r="N16" i="16"/>
  <c r="P16" i="16"/>
  <c r="E17" i="16"/>
  <c r="F17" i="16"/>
  <c r="G17" i="16"/>
  <c r="H17" i="16"/>
  <c r="I17" i="16"/>
  <c r="J17" i="16"/>
  <c r="K17" i="16"/>
  <c r="L17" i="16"/>
  <c r="M17" i="16"/>
  <c r="N17" i="16"/>
  <c r="P17" i="16"/>
  <c r="E18" i="16"/>
  <c r="F18" i="16"/>
  <c r="G18" i="16"/>
  <c r="H18" i="16"/>
  <c r="I18" i="16"/>
  <c r="J18" i="16"/>
  <c r="K18" i="16"/>
  <c r="L18" i="16"/>
  <c r="M18" i="16"/>
  <c r="N18" i="16"/>
  <c r="P18" i="16"/>
  <c r="E19" i="16"/>
  <c r="F19" i="16"/>
  <c r="G19" i="16"/>
  <c r="H19" i="16"/>
  <c r="I19" i="16"/>
  <c r="J19" i="16"/>
  <c r="K19" i="16"/>
  <c r="L19" i="16"/>
  <c r="M19" i="16"/>
  <c r="N19" i="16"/>
  <c r="P19" i="16"/>
  <c r="E20" i="16"/>
  <c r="F20" i="16"/>
  <c r="G20" i="16"/>
  <c r="H20" i="16"/>
  <c r="I20" i="16"/>
  <c r="J20" i="16"/>
  <c r="K20" i="16"/>
  <c r="L20" i="16"/>
  <c r="M20" i="16"/>
  <c r="N20" i="16"/>
  <c r="P20" i="16"/>
  <c r="E21" i="16"/>
  <c r="F21" i="16"/>
  <c r="G21" i="16"/>
  <c r="H21" i="16"/>
  <c r="I21" i="16"/>
  <c r="J21" i="16"/>
  <c r="K21" i="16"/>
  <c r="L21" i="16"/>
  <c r="M21" i="16"/>
  <c r="N21" i="16"/>
  <c r="P21" i="16"/>
  <c r="E22" i="16"/>
  <c r="F22" i="16"/>
  <c r="G22" i="16"/>
  <c r="H22" i="16"/>
  <c r="I22" i="16"/>
  <c r="J22" i="16"/>
  <c r="K22" i="16"/>
  <c r="L22" i="16"/>
  <c r="M22" i="16"/>
  <c r="N22" i="16"/>
  <c r="P22" i="16"/>
  <c r="E23" i="16"/>
  <c r="F23" i="16"/>
  <c r="G23" i="16"/>
  <c r="H23" i="16"/>
  <c r="I23" i="16"/>
  <c r="J23" i="16"/>
  <c r="K23" i="16"/>
  <c r="L23" i="16"/>
  <c r="M23" i="16"/>
  <c r="N23" i="16"/>
  <c r="P23" i="16"/>
  <c r="E24" i="16"/>
  <c r="F24" i="16"/>
  <c r="G24" i="16"/>
  <c r="H24" i="16"/>
  <c r="I24" i="16"/>
  <c r="J24" i="16"/>
  <c r="K24" i="16"/>
  <c r="L24" i="16"/>
  <c r="M24" i="16"/>
  <c r="N24" i="16"/>
  <c r="P24" i="16"/>
  <c r="E25" i="16"/>
  <c r="F25" i="16"/>
  <c r="G25" i="16"/>
  <c r="H25" i="16"/>
  <c r="I25" i="16"/>
  <c r="J25" i="16"/>
  <c r="K25" i="16"/>
  <c r="L25" i="16"/>
  <c r="M25" i="16"/>
  <c r="N25" i="16"/>
  <c r="P25" i="16"/>
  <c r="E26" i="16"/>
  <c r="F26" i="16"/>
  <c r="G26" i="16"/>
  <c r="H26" i="16"/>
  <c r="I26" i="16"/>
  <c r="J26" i="16"/>
  <c r="K26" i="16"/>
  <c r="L26" i="16"/>
  <c r="M26" i="16"/>
  <c r="N26" i="16"/>
  <c r="P26" i="16"/>
  <c r="E27" i="16"/>
  <c r="F27" i="16"/>
  <c r="G27" i="16"/>
  <c r="H27" i="16"/>
  <c r="I27" i="16"/>
  <c r="J27" i="16"/>
  <c r="K27" i="16"/>
  <c r="L27" i="16"/>
  <c r="M27" i="16"/>
  <c r="N27" i="16"/>
  <c r="P27" i="16"/>
  <c r="E28" i="16"/>
  <c r="F28" i="16"/>
  <c r="G28" i="16"/>
  <c r="H28" i="16"/>
  <c r="I28" i="16"/>
  <c r="J28" i="16"/>
  <c r="K28" i="16"/>
  <c r="L28" i="16"/>
  <c r="M28" i="16"/>
  <c r="N28" i="16"/>
  <c r="P28" i="16"/>
  <c r="E29" i="16"/>
  <c r="F29" i="16"/>
  <c r="G29" i="16"/>
  <c r="H29" i="16"/>
  <c r="I29" i="16"/>
  <c r="J29" i="16"/>
  <c r="K29" i="16"/>
  <c r="L29" i="16"/>
  <c r="M29" i="16"/>
  <c r="N29" i="16"/>
  <c r="P29" i="16"/>
  <c r="E30" i="16"/>
  <c r="F30" i="16"/>
  <c r="G30" i="16"/>
  <c r="H30" i="16"/>
  <c r="I30" i="16"/>
  <c r="J30" i="16"/>
  <c r="K30" i="16"/>
  <c r="L30" i="16"/>
  <c r="M30" i="16"/>
  <c r="N30" i="16"/>
  <c r="P30" i="16"/>
  <c r="E31" i="16"/>
  <c r="F31" i="16"/>
  <c r="G31" i="16"/>
  <c r="H31" i="16"/>
  <c r="I31" i="16"/>
  <c r="J31" i="16"/>
  <c r="K31" i="16"/>
  <c r="L31" i="16"/>
  <c r="M31" i="16"/>
  <c r="N31" i="16"/>
  <c r="P31" i="16"/>
  <c r="E32" i="16"/>
  <c r="F32" i="16"/>
  <c r="G32" i="16"/>
  <c r="H32" i="16"/>
  <c r="I32" i="16"/>
  <c r="J32" i="16"/>
  <c r="K32" i="16"/>
  <c r="L32" i="16"/>
  <c r="M32" i="16"/>
  <c r="N32" i="16"/>
  <c r="P32" i="16"/>
  <c r="E33" i="16"/>
  <c r="F33" i="16"/>
  <c r="G33" i="16"/>
  <c r="H33" i="16"/>
  <c r="I33" i="16"/>
  <c r="J33" i="16"/>
  <c r="K33" i="16"/>
  <c r="L33" i="16"/>
  <c r="M33" i="16"/>
  <c r="N33" i="16"/>
  <c r="P33" i="16"/>
  <c r="E34" i="16"/>
  <c r="F34" i="16"/>
  <c r="G34" i="16"/>
  <c r="H34" i="16"/>
  <c r="I34" i="16"/>
  <c r="J34" i="16"/>
  <c r="K34" i="16"/>
  <c r="L34" i="16"/>
  <c r="M34" i="16"/>
  <c r="N34" i="16"/>
  <c r="P34" i="16"/>
  <c r="E35" i="16"/>
  <c r="F35" i="16"/>
  <c r="G35" i="16"/>
  <c r="H35" i="16"/>
  <c r="I35" i="16"/>
  <c r="J35" i="16"/>
  <c r="K35" i="16"/>
  <c r="L35" i="16"/>
  <c r="M35" i="16"/>
  <c r="N35" i="16"/>
  <c r="P35" i="16"/>
  <c r="E36" i="16"/>
  <c r="F36" i="16"/>
  <c r="G36" i="16"/>
  <c r="H36" i="16"/>
  <c r="I36" i="16"/>
  <c r="J36" i="16"/>
  <c r="K36" i="16"/>
  <c r="L36" i="16"/>
  <c r="M36" i="16"/>
  <c r="N36" i="16"/>
  <c r="P36" i="16"/>
  <c r="E37" i="16"/>
  <c r="F37" i="16"/>
  <c r="G37" i="16"/>
  <c r="H37" i="16"/>
  <c r="I37" i="16"/>
  <c r="J37" i="16"/>
  <c r="K37" i="16"/>
  <c r="L37" i="16"/>
  <c r="M37" i="16"/>
  <c r="N37" i="16"/>
  <c r="P37" i="16"/>
  <c r="E38" i="16"/>
  <c r="F38" i="16"/>
  <c r="G38" i="16"/>
  <c r="H38" i="16"/>
  <c r="I38" i="16"/>
  <c r="J38" i="16"/>
  <c r="K38" i="16"/>
  <c r="L38" i="16"/>
  <c r="M38" i="16"/>
  <c r="N38" i="16"/>
  <c r="P38" i="16"/>
  <c r="E39" i="16"/>
  <c r="F39" i="16"/>
  <c r="G39" i="16"/>
  <c r="H39" i="16"/>
  <c r="I39" i="16"/>
  <c r="J39" i="16"/>
  <c r="K39" i="16"/>
  <c r="L39" i="16"/>
  <c r="M39" i="16"/>
  <c r="N39" i="16"/>
  <c r="P39" i="16"/>
  <c r="E40" i="16"/>
  <c r="F40" i="16"/>
  <c r="G40" i="16"/>
  <c r="H40" i="16"/>
  <c r="I40" i="16"/>
  <c r="J40" i="16"/>
  <c r="K40" i="16"/>
  <c r="L40" i="16"/>
  <c r="M40" i="16"/>
  <c r="N40" i="16"/>
  <c r="P40" i="16"/>
  <c r="E41" i="16"/>
  <c r="F41" i="16"/>
  <c r="G41" i="16"/>
  <c r="H41" i="16"/>
  <c r="I41" i="16"/>
  <c r="J41" i="16"/>
  <c r="K41" i="16"/>
  <c r="L41" i="16"/>
  <c r="M41" i="16"/>
  <c r="N41" i="16"/>
  <c r="P41" i="16"/>
  <c r="E42" i="16"/>
  <c r="F42" i="16"/>
  <c r="G42" i="16"/>
  <c r="H42" i="16"/>
  <c r="I42" i="16"/>
  <c r="J42" i="16"/>
  <c r="K42" i="16"/>
  <c r="L42" i="16"/>
  <c r="M42" i="16"/>
  <c r="N42" i="16"/>
  <c r="P42" i="16"/>
  <c r="E43" i="16"/>
  <c r="F43" i="16"/>
  <c r="G43" i="16"/>
  <c r="H43" i="16"/>
  <c r="I43" i="16"/>
  <c r="J43" i="16"/>
  <c r="K43" i="16"/>
  <c r="L43" i="16"/>
  <c r="M43" i="16"/>
  <c r="N43" i="16"/>
  <c r="P43" i="16"/>
  <c r="E44" i="16"/>
  <c r="F44" i="16"/>
  <c r="G44" i="16"/>
  <c r="H44" i="16"/>
  <c r="I44" i="16"/>
  <c r="J44" i="16"/>
  <c r="K44" i="16"/>
  <c r="L44" i="16"/>
  <c r="M44" i="16"/>
  <c r="N44" i="16"/>
  <c r="P44" i="16"/>
  <c r="E45" i="16"/>
  <c r="F45" i="16"/>
  <c r="G45" i="16"/>
  <c r="H45" i="16"/>
  <c r="I45" i="16"/>
  <c r="J45" i="16"/>
  <c r="K45" i="16"/>
  <c r="L45" i="16"/>
  <c r="M45" i="16"/>
  <c r="N45" i="16"/>
  <c r="P45" i="16"/>
  <c r="E46" i="16"/>
  <c r="F46" i="16"/>
  <c r="G46" i="16"/>
  <c r="H46" i="16"/>
  <c r="I46" i="16"/>
  <c r="J46" i="16"/>
  <c r="K46" i="16"/>
  <c r="L46" i="16"/>
  <c r="M46" i="16"/>
  <c r="N46" i="16"/>
  <c r="P46" i="16"/>
  <c r="E47" i="16"/>
  <c r="F47" i="16"/>
  <c r="G47" i="16"/>
  <c r="H47" i="16"/>
  <c r="I47" i="16"/>
  <c r="J47" i="16"/>
  <c r="K47" i="16"/>
  <c r="L47" i="16"/>
  <c r="M47" i="16"/>
  <c r="N47" i="16"/>
  <c r="P47" i="16"/>
  <c r="E48" i="16"/>
  <c r="F48" i="16"/>
  <c r="G48" i="16"/>
  <c r="H48" i="16"/>
  <c r="I48" i="16"/>
  <c r="J48" i="16"/>
  <c r="K48" i="16"/>
  <c r="L48" i="16"/>
  <c r="M48" i="16"/>
  <c r="N48" i="16"/>
  <c r="P48" i="16"/>
  <c r="E49" i="16"/>
  <c r="F49" i="16"/>
  <c r="G49" i="16"/>
  <c r="H49" i="16"/>
  <c r="I49" i="16"/>
  <c r="J49" i="16"/>
  <c r="K49" i="16"/>
  <c r="L49" i="16"/>
  <c r="M49" i="16"/>
  <c r="N49" i="16"/>
  <c r="P49" i="16"/>
  <c r="E50" i="16"/>
  <c r="F50" i="16"/>
  <c r="G50" i="16"/>
  <c r="H50" i="16"/>
  <c r="I50" i="16"/>
  <c r="J50" i="16"/>
  <c r="K50" i="16"/>
  <c r="L50" i="16"/>
  <c r="M50" i="16"/>
  <c r="N50" i="16"/>
  <c r="P50" i="16"/>
  <c r="E51" i="16"/>
  <c r="F51" i="16"/>
  <c r="G51" i="16"/>
  <c r="H51" i="16"/>
  <c r="I51" i="16"/>
  <c r="J51" i="16"/>
  <c r="K51" i="16"/>
  <c r="L51" i="16"/>
  <c r="M51" i="16"/>
  <c r="N51" i="16"/>
  <c r="P51" i="16"/>
  <c r="E52" i="16"/>
  <c r="F52" i="16"/>
  <c r="G52" i="16"/>
  <c r="H52" i="16"/>
  <c r="I52" i="16"/>
  <c r="J52" i="16"/>
  <c r="K52" i="16"/>
  <c r="L52" i="16"/>
  <c r="M52" i="16"/>
  <c r="N52" i="16"/>
  <c r="P52" i="16"/>
  <c r="E53" i="16"/>
  <c r="F53" i="16"/>
  <c r="G53" i="16"/>
  <c r="H53" i="16"/>
  <c r="I53" i="16"/>
  <c r="J53" i="16"/>
  <c r="K53" i="16"/>
  <c r="L53" i="16"/>
  <c r="M53" i="16"/>
  <c r="N53" i="16"/>
  <c r="P53" i="16"/>
  <c r="E54" i="16"/>
  <c r="F54" i="16"/>
  <c r="G54" i="16"/>
  <c r="H54" i="16"/>
  <c r="I54" i="16"/>
  <c r="J54" i="16"/>
  <c r="K54" i="16"/>
  <c r="L54" i="16"/>
  <c r="M54" i="16"/>
  <c r="N54" i="16"/>
  <c r="P54" i="16"/>
  <c r="E55" i="16"/>
  <c r="F55" i="16"/>
  <c r="G55" i="16"/>
  <c r="H55" i="16"/>
  <c r="I55" i="16"/>
  <c r="K55" i="16"/>
  <c r="L55" i="16"/>
  <c r="M55" i="16"/>
  <c r="N55" i="16"/>
  <c r="P55" i="16"/>
  <c r="E56" i="16"/>
  <c r="F56" i="16"/>
  <c r="G56" i="16"/>
  <c r="H56" i="16"/>
  <c r="I56" i="16"/>
  <c r="J56" i="16"/>
  <c r="K56" i="16"/>
  <c r="L56" i="16"/>
  <c r="M56" i="16"/>
  <c r="N56" i="16"/>
  <c r="P56" i="16"/>
  <c r="E57" i="16"/>
  <c r="F57" i="16"/>
  <c r="G57" i="16"/>
  <c r="H57" i="16"/>
  <c r="I57" i="16"/>
  <c r="J57" i="16"/>
  <c r="K57" i="16"/>
  <c r="L57" i="16"/>
  <c r="M57" i="16"/>
  <c r="N57" i="16"/>
  <c r="P57" i="16"/>
  <c r="E58" i="16"/>
  <c r="F58" i="16"/>
  <c r="G58" i="16"/>
  <c r="H58" i="16"/>
  <c r="I58" i="16"/>
  <c r="J58" i="16"/>
  <c r="K58" i="16"/>
  <c r="L58" i="16"/>
  <c r="M58" i="16"/>
  <c r="N58" i="16"/>
  <c r="P58" i="16"/>
  <c r="E59" i="16"/>
  <c r="G59" i="16"/>
  <c r="H59" i="16"/>
  <c r="I59" i="16"/>
  <c r="J59" i="16"/>
  <c r="K59" i="16"/>
  <c r="L59" i="16"/>
  <c r="M59" i="16"/>
  <c r="N59" i="16"/>
  <c r="P59" i="16"/>
  <c r="E60" i="16"/>
  <c r="F60" i="16"/>
  <c r="G60" i="16"/>
  <c r="H60" i="16"/>
  <c r="I60" i="16"/>
  <c r="J60" i="16"/>
  <c r="K60" i="16"/>
  <c r="L60" i="16"/>
  <c r="M60" i="16"/>
  <c r="N60" i="16"/>
  <c r="P60" i="16"/>
  <c r="E61" i="16"/>
  <c r="F61" i="16"/>
  <c r="G61" i="16"/>
  <c r="H61" i="16"/>
  <c r="I61" i="16"/>
  <c r="J61" i="16"/>
  <c r="K61" i="16"/>
  <c r="L61" i="16"/>
  <c r="M61" i="16"/>
  <c r="N61" i="16"/>
  <c r="P61" i="16"/>
  <c r="E62" i="16"/>
  <c r="F62" i="16"/>
  <c r="G62" i="16"/>
  <c r="H62" i="16"/>
  <c r="I62" i="16"/>
  <c r="J62" i="16"/>
  <c r="K62" i="16"/>
  <c r="L62" i="16"/>
  <c r="M62" i="16"/>
  <c r="N62" i="16"/>
  <c r="P62" i="16"/>
  <c r="E63" i="16"/>
  <c r="F63" i="16"/>
  <c r="G63" i="16"/>
  <c r="H63" i="16"/>
  <c r="I63" i="16"/>
  <c r="J63" i="16"/>
  <c r="K63" i="16"/>
  <c r="L63" i="16"/>
  <c r="M63" i="16"/>
  <c r="N63" i="16"/>
  <c r="P63" i="16"/>
  <c r="E64" i="16"/>
  <c r="F64" i="16"/>
  <c r="G64" i="16"/>
  <c r="H64" i="16"/>
  <c r="I64" i="16"/>
  <c r="J64" i="16"/>
  <c r="K64" i="16"/>
  <c r="L64" i="16"/>
  <c r="M64" i="16"/>
  <c r="N64" i="16"/>
  <c r="P64" i="16"/>
  <c r="E65" i="16"/>
  <c r="F65" i="16"/>
  <c r="G65" i="16"/>
  <c r="H65" i="16"/>
  <c r="I65" i="16"/>
  <c r="J65" i="16"/>
  <c r="K65" i="16"/>
  <c r="L65" i="16"/>
  <c r="M65" i="16"/>
  <c r="N65" i="16"/>
  <c r="P65" i="16"/>
  <c r="E66" i="16"/>
  <c r="F66" i="16"/>
  <c r="G66" i="16"/>
  <c r="H66" i="16"/>
  <c r="I66" i="16"/>
  <c r="J66" i="16"/>
  <c r="K66" i="16"/>
  <c r="L66" i="16"/>
  <c r="M66" i="16"/>
  <c r="N66" i="16"/>
  <c r="P66" i="16"/>
  <c r="E67" i="16"/>
  <c r="F67" i="16"/>
  <c r="G67" i="16"/>
  <c r="H67" i="16"/>
  <c r="I67" i="16"/>
  <c r="J67" i="16"/>
  <c r="K67" i="16"/>
  <c r="L67" i="16"/>
  <c r="M67" i="16"/>
  <c r="N67" i="16"/>
  <c r="P67" i="16"/>
  <c r="E68" i="16"/>
  <c r="F68" i="16"/>
  <c r="G68" i="16"/>
  <c r="H68" i="16"/>
  <c r="I68" i="16"/>
  <c r="J68" i="16"/>
  <c r="K68" i="16"/>
  <c r="L68" i="16"/>
  <c r="M68" i="16"/>
  <c r="N68" i="16"/>
  <c r="P68" i="16"/>
  <c r="E69" i="16"/>
  <c r="F69" i="16"/>
  <c r="G69" i="16"/>
  <c r="H69" i="16"/>
  <c r="I69" i="16"/>
  <c r="J69" i="16"/>
  <c r="K69" i="16"/>
  <c r="L69" i="16"/>
  <c r="M69" i="16"/>
  <c r="N69" i="16"/>
  <c r="P69" i="16"/>
  <c r="E70" i="16"/>
  <c r="F70" i="16"/>
  <c r="G70" i="16"/>
  <c r="H70" i="16"/>
  <c r="I70" i="16"/>
  <c r="J70" i="16"/>
  <c r="K70" i="16"/>
  <c r="L70" i="16"/>
  <c r="M70" i="16"/>
  <c r="N70" i="16"/>
  <c r="P70" i="16"/>
  <c r="E71" i="16"/>
  <c r="F71" i="16"/>
  <c r="G71" i="16"/>
  <c r="H71" i="16"/>
  <c r="I71" i="16"/>
  <c r="J71" i="16"/>
  <c r="K71" i="16"/>
  <c r="L71" i="16"/>
  <c r="M71" i="16"/>
  <c r="N71" i="16"/>
  <c r="P71" i="16"/>
  <c r="E72" i="16"/>
  <c r="F72" i="16"/>
  <c r="G72" i="16"/>
  <c r="H72" i="16"/>
  <c r="I72" i="16"/>
  <c r="J72" i="16"/>
  <c r="K72" i="16"/>
  <c r="L72" i="16"/>
  <c r="M72" i="16"/>
  <c r="N72" i="16"/>
  <c r="P72" i="16"/>
  <c r="D73" i="16"/>
  <c r="E73" i="16"/>
  <c r="F73" i="16"/>
  <c r="G73" i="16"/>
  <c r="H73" i="16"/>
  <c r="I73" i="16"/>
  <c r="J73" i="16"/>
  <c r="K73" i="16"/>
  <c r="L73" i="16"/>
  <c r="M73" i="16"/>
  <c r="N73" i="16"/>
  <c r="P73" i="16"/>
  <c r="D74" i="16"/>
  <c r="F74" i="16"/>
  <c r="G74" i="16"/>
  <c r="H74" i="16"/>
  <c r="I74" i="16"/>
  <c r="J74" i="16"/>
  <c r="K74" i="16"/>
  <c r="L74" i="16"/>
  <c r="N74" i="16"/>
  <c r="P74" i="16"/>
  <c r="D75" i="16"/>
  <c r="E75" i="16"/>
  <c r="F75" i="16"/>
  <c r="G75" i="16"/>
  <c r="H75" i="16"/>
  <c r="I75" i="16"/>
  <c r="J75" i="16"/>
  <c r="K75" i="16"/>
  <c r="L75" i="16"/>
  <c r="N75" i="16"/>
  <c r="P75" i="16"/>
  <c r="D76" i="16"/>
  <c r="N76" i="16"/>
  <c r="P76" i="16"/>
  <c r="D77" i="16"/>
  <c r="N77" i="16"/>
  <c r="P77" i="16"/>
  <c r="D78" i="16"/>
  <c r="N78" i="16"/>
  <c r="P78" i="16"/>
  <c r="D79" i="16"/>
  <c r="N79" i="16"/>
  <c r="P79" i="16"/>
  <c r="P80" i="16"/>
  <c r="A81" i="16"/>
  <c r="A85" i="16"/>
  <c r="C7" i="2"/>
  <c r="I7" i="2"/>
  <c r="E9" i="2"/>
  <c r="G9" i="2"/>
  <c r="K9" i="2"/>
  <c r="M9" i="2"/>
  <c r="E10" i="2"/>
  <c r="G10" i="2"/>
  <c r="K10" i="2"/>
  <c r="M10" i="2"/>
  <c r="E11" i="2"/>
  <c r="G11" i="2"/>
  <c r="K11" i="2"/>
  <c r="M11" i="2"/>
  <c r="C12" i="2"/>
  <c r="E12" i="2"/>
  <c r="G12" i="2"/>
  <c r="K12" i="2"/>
  <c r="M12" i="2"/>
  <c r="E13" i="2"/>
  <c r="G13" i="2"/>
  <c r="K13" i="2"/>
  <c r="M13" i="2"/>
  <c r="E14" i="2"/>
  <c r="G14" i="2"/>
  <c r="K14" i="2"/>
  <c r="M14" i="2"/>
  <c r="C15" i="2"/>
  <c r="E15" i="2"/>
  <c r="G15" i="2"/>
  <c r="I15" i="2"/>
  <c r="K15" i="2"/>
  <c r="M15" i="2"/>
  <c r="C17" i="2"/>
  <c r="E17" i="2"/>
  <c r="G17" i="2"/>
  <c r="I17" i="2"/>
  <c r="K17" i="2"/>
  <c r="M17" i="2"/>
  <c r="E7" i="3"/>
  <c r="K7" i="3"/>
  <c r="C9" i="3"/>
  <c r="E9" i="3"/>
  <c r="G9" i="3"/>
  <c r="K9" i="3"/>
  <c r="M9" i="3"/>
  <c r="E10" i="3"/>
  <c r="G10" i="3"/>
  <c r="K10" i="3"/>
  <c r="M10" i="3"/>
  <c r="C11" i="3"/>
  <c r="E11" i="3"/>
  <c r="G11" i="3"/>
  <c r="K11" i="3"/>
  <c r="M11" i="3"/>
  <c r="E12" i="3"/>
  <c r="G12" i="3"/>
  <c r="K12" i="3"/>
  <c r="M12" i="3"/>
  <c r="C13" i="3"/>
  <c r="E13" i="3"/>
  <c r="G13" i="3"/>
  <c r="K13" i="3"/>
  <c r="M13" i="3"/>
  <c r="E14" i="3"/>
  <c r="G14" i="3"/>
  <c r="K14" i="3"/>
  <c r="M14" i="3"/>
  <c r="E15" i="3"/>
  <c r="G15" i="3"/>
  <c r="K15" i="3"/>
  <c r="M15" i="3"/>
  <c r="E16" i="3"/>
  <c r="G16" i="3"/>
  <c r="K16" i="3"/>
  <c r="M16" i="3"/>
  <c r="E17" i="3"/>
  <c r="G17" i="3"/>
  <c r="K17" i="3"/>
  <c r="M17" i="3"/>
  <c r="E18" i="3"/>
  <c r="G18" i="3"/>
  <c r="K18" i="3"/>
  <c r="M18" i="3"/>
  <c r="E19" i="3"/>
  <c r="G19" i="3"/>
  <c r="K19" i="3"/>
  <c r="M19" i="3"/>
  <c r="C20" i="3"/>
  <c r="E20" i="3"/>
  <c r="G20" i="3"/>
  <c r="I20" i="3"/>
  <c r="K20" i="3"/>
  <c r="M20" i="3"/>
  <c r="C22" i="3"/>
  <c r="E22" i="3"/>
  <c r="G22" i="3"/>
  <c r="I22" i="3"/>
  <c r="K22" i="3"/>
  <c r="M22" i="3"/>
  <c r="O7" i="14"/>
  <c r="S7" i="14"/>
  <c r="T7" i="14"/>
  <c r="U7" i="14"/>
  <c r="W7" i="14"/>
  <c r="X7" i="14"/>
  <c r="Y7" i="14"/>
  <c r="AA7" i="14"/>
  <c r="S9" i="14"/>
  <c r="T9" i="14"/>
  <c r="U9" i="14"/>
  <c r="V9" i="14"/>
  <c r="W9" i="14"/>
  <c r="X9" i="14"/>
  <c r="Y9" i="14"/>
  <c r="Z9" i="14"/>
  <c r="AA9" i="14"/>
  <c r="AB9" i="14"/>
  <c r="AC9" i="14"/>
  <c r="I10" i="14"/>
  <c r="O10" i="14"/>
  <c r="S10" i="14"/>
  <c r="T10" i="14"/>
  <c r="U10" i="14"/>
  <c r="V10" i="14"/>
  <c r="W10" i="14"/>
  <c r="X10" i="14"/>
  <c r="Y10" i="14"/>
  <c r="Z10" i="14"/>
  <c r="AA10" i="14"/>
  <c r="AB10" i="14"/>
  <c r="AC10" i="14"/>
  <c r="G11" i="14"/>
  <c r="S11" i="14"/>
  <c r="T11" i="14"/>
  <c r="U11" i="14"/>
  <c r="V11" i="14"/>
  <c r="W11" i="14"/>
  <c r="X11" i="14"/>
  <c r="Y11" i="14"/>
  <c r="Z11" i="14"/>
  <c r="AA11" i="14"/>
  <c r="AB11" i="14"/>
  <c r="AC11" i="14"/>
  <c r="S12" i="14"/>
  <c r="T12" i="14"/>
  <c r="U12" i="14"/>
  <c r="V12" i="14"/>
  <c r="W12" i="14"/>
  <c r="X12" i="14"/>
  <c r="Y12" i="14"/>
  <c r="Z12" i="14"/>
  <c r="AA12" i="14"/>
  <c r="AB12" i="14"/>
  <c r="AC12" i="14"/>
  <c r="K13" i="14"/>
  <c r="S13" i="14"/>
  <c r="T13" i="14"/>
  <c r="U13" i="14"/>
  <c r="V13" i="14"/>
  <c r="W13" i="14"/>
  <c r="X13" i="14"/>
  <c r="Y13" i="14"/>
  <c r="Z13" i="14"/>
  <c r="AA13" i="14"/>
  <c r="AB13" i="14"/>
  <c r="AC13" i="14"/>
  <c r="S14" i="14"/>
  <c r="T14" i="14"/>
  <c r="U14" i="14"/>
  <c r="V14" i="14"/>
  <c r="W14" i="14"/>
  <c r="X14" i="14"/>
  <c r="Y14" i="14"/>
  <c r="Z14" i="14"/>
  <c r="AA14" i="14"/>
  <c r="AB14" i="14"/>
  <c r="AC14" i="14"/>
  <c r="S15" i="14"/>
  <c r="T15" i="14"/>
  <c r="U15" i="14"/>
  <c r="V15" i="14"/>
  <c r="W15" i="14"/>
  <c r="X15" i="14"/>
  <c r="Y15" i="14"/>
  <c r="Z15" i="14"/>
  <c r="AA15" i="14"/>
  <c r="AB15" i="14"/>
  <c r="AC15" i="14"/>
  <c r="S16" i="14"/>
  <c r="T16" i="14"/>
  <c r="U16" i="14"/>
  <c r="V16" i="14"/>
  <c r="W16" i="14"/>
  <c r="X16" i="14"/>
  <c r="Y16" i="14"/>
  <c r="Z16" i="14"/>
  <c r="AA16" i="14"/>
  <c r="AB16" i="14"/>
  <c r="AC16" i="14"/>
  <c r="S17" i="14"/>
  <c r="T17" i="14"/>
  <c r="U17" i="14"/>
  <c r="V17" i="14"/>
  <c r="W17" i="14"/>
  <c r="X17" i="14"/>
  <c r="Y17" i="14"/>
  <c r="Z17" i="14"/>
  <c r="AA17" i="14"/>
  <c r="AB17" i="14"/>
  <c r="AC17" i="14"/>
  <c r="S18" i="14"/>
  <c r="T18" i="14"/>
  <c r="U18" i="14"/>
  <c r="V18" i="14"/>
  <c r="W18" i="14"/>
  <c r="X18" i="14"/>
  <c r="Y18" i="14"/>
  <c r="Z18" i="14"/>
  <c r="AA18" i="14"/>
  <c r="AB18" i="14"/>
  <c r="AC18" i="14"/>
  <c r="S19" i="14"/>
  <c r="T19" i="14"/>
  <c r="U19" i="14"/>
  <c r="V19" i="14"/>
  <c r="W19" i="14"/>
  <c r="X19" i="14"/>
  <c r="Y19" i="14"/>
  <c r="Z19" i="14"/>
  <c r="AA19" i="14"/>
  <c r="AB19" i="14"/>
  <c r="AC19" i="14"/>
  <c r="C21" i="14"/>
  <c r="E21" i="14"/>
  <c r="G21" i="14"/>
  <c r="I21" i="14"/>
  <c r="K21" i="14"/>
  <c r="M21" i="14"/>
  <c r="O21" i="14"/>
  <c r="Q21" i="14"/>
  <c r="S21" i="14"/>
  <c r="V21" i="14"/>
  <c r="W21" i="14"/>
  <c r="Z21" i="14"/>
  <c r="AA21" i="14"/>
  <c r="W22" i="14"/>
  <c r="C23" i="14"/>
  <c r="E23" i="14"/>
  <c r="G23" i="14"/>
  <c r="I23" i="14"/>
  <c r="K23" i="14"/>
  <c r="M23" i="14"/>
  <c r="O23" i="14"/>
  <c r="Q23" i="14"/>
  <c r="S23" i="14"/>
  <c r="T23" i="14"/>
  <c r="U23" i="14"/>
  <c r="V23" i="14"/>
  <c r="W23" i="14"/>
  <c r="X23" i="14"/>
  <c r="Y23" i="14"/>
  <c r="Z23" i="14"/>
  <c r="AA23" i="14"/>
  <c r="AB23" i="14"/>
  <c r="AC23" i="14"/>
  <c r="B7" i="13"/>
  <c r="C7" i="13"/>
  <c r="D7" i="13"/>
  <c r="I7" i="13"/>
  <c r="J7" i="13"/>
  <c r="B8" i="13"/>
  <c r="C8" i="13"/>
  <c r="D8" i="13"/>
  <c r="I8" i="13"/>
  <c r="J8" i="13"/>
  <c r="B9" i="13"/>
  <c r="C9" i="13"/>
  <c r="D9" i="13"/>
  <c r="I9" i="13"/>
  <c r="J9" i="13"/>
  <c r="B10" i="13"/>
  <c r="C10" i="13"/>
  <c r="D10" i="13"/>
  <c r="I10" i="13"/>
  <c r="J10" i="13"/>
  <c r="B11" i="13"/>
  <c r="C11" i="13"/>
  <c r="D11" i="13"/>
  <c r="H11" i="13"/>
  <c r="I11" i="13"/>
  <c r="J11" i="13"/>
  <c r="B12" i="13"/>
  <c r="C12" i="13"/>
  <c r="D12" i="13"/>
  <c r="H12" i="13"/>
  <c r="I12" i="13"/>
  <c r="J12" i="13"/>
  <c r="B13" i="13"/>
  <c r="C13" i="13"/>
  <c r="D13" i="13"/>
  <c r="I13" i="13"/>
  <c r="J13" i="13"/>
  <c r="B14" i="13"/>
  <c r="C14" i="13"/>
  <c r="D14" i="13"/>
  <c r="I14" i="13"/>
  <c r="J14" i="13"/>
  <c r="C15" i="13"/>
  <c r="D15" i="13"/>
  <c r="H15" i="13"/>
  <c r="I15" i="13"/>
  <c r="J15" i="13"/>
  <c r="B16" i="13"/>
  <c r="C16" i="13"/>
  <c r="D16" i="13"/>
  <c r="H16" i="13"/>
  <c r="I16" i="13"/>
  <c r="J16" i="13"/>
  <c r="B17" i="13"/>
  <c r="C17" i="13"/>
  <c r="D17" i="13"/>
  <c r="H17" i="13"/>
  <c r="I17" i="13"/>
  <c r="J17" i="13"/>
  <c r="B18" i="13"/>
  <c r="C18" i="13"/>
  <c r="D18" i="13"/>
  <c r="H18" i="13"/>
  <c r="I18" i="13"/>
  <c r="J18" i="13"/>
  <c r="B19" i="13"/>
  <c r="C19" i="13"/>
  <c r="D19" i="13"/>
  <c r="I19" i="13"/>
  <c r="J19" i="13"/>
  <c r="B20" i="13"/>
  <c r="C20" i="13"/>
  <c r="D20" i="13"/>
  <c r="H20" i="13"/>
  <c r="I20" i="13"/>
  <c r="J20" i="13"/>
  <c r="B21" i="13"/>
  <c r="C21" i="13"/>
  <c r="D21" i="13"/>
  <c r="I21" i="13"/>
  <c r="J21" i="13"/>
  <c r="B22" i="13"/>
  <c r="C22" i="13"/>
  <c r="D22" i="13"/>
  <c r="I22" i="13"/>
  <c r="J22" i="13"/>
  <c r="B23" i="13"/>
  <c r="C23" i="13"/>
  <c r="D23" i="13"/>
  <c r="H23" i="13"/>
  <c r="I23" i="13"/>
  <c r="J23" i="13"/>
  <c r="B24" i="13"/>
  <c r="C24" i="13"/>
  <c r="D24" i="13"/>
  <c r="H24" i="13"/>
  <c r="I24" i="13"/>
  <c r="J24" i="13"/>
  <c r="B25" i="13"/>
  <c r="C25" i="13"/>
  <c r="D25" i="13"/>
  <c r="I25" i="13"/>
  <c r="J25" i="13"/>
  <c r="B26" i="13"/>
  <c r="C26" i="13"/>
  <c r="D26" i="13"/>
  <c r="H26" i="13"/>
  <c r="I26" i="13"/>
  <c r="J26" i="13"/>
  <c r="B27" i="13"/>
  <c r="C27" i="13"/>
  <c r="D27" i="13"/>
  <c r="H27" i="13"/>
  <c r="I27" i="13"/>
  <c r="J27" i="13"/>
  <c r="B28" i="13"/>
  <c r="C28" i="13"/>
  <c r="D28" i="13"/>
  <c r="H28" i="13"/>
  <c r="I28" i="13"/>
  <c r="J28" i="13"/>
  <c r="B29" i="13"/>
  <c r="C29" i="13"/>
  <c r="D29" i="13"/>
  <c r="I29" i="13"/>
  <c r="J29" i="13"/>
  <c r="B30" i="13"/>
  <c r="C30" i="13"/>
  <c r="D30" i="13"/>
  <c r="H30" i="13"/>
  <c r="I30" i="13"/>
  <c r="J30" i="13"/>
  <c r="B31" i="13"/>
  <c r="C31" i="13"/>
  <c r="D31" i="13"/>
  <c r="I31" i="13"/>
  <c r="J31" i="13"/>
  <c r="B32" i="13"/>
  <c r="C32" i="13"/>
  <c r="D32" i="13"/>
  <c r="I32" i="13"/>
  <c r="J32" i="13"/>
  <c r="B33" i="13"/>
  <c r="C33" i="13"/>
  <c r="D33" i="13"/>
  <c r="I33" i="13"/>
  <c r="J33" i="13"/>
  <c r="B34" i="13"/>
  <c r="C34" i="13"/>
  <c r="D34" i="13"/>
  <c r="I34" i="13"/>
  <c r="J34" i="13"/>
  <c r="B35" i="13"/>
  <c r="C35" i="13"/>
  <c r="D35" i="13"/>
  <c r="I35" i="13"/>
  <c r="J35" i="13"/>
  <c r="B36" i="13"/>
  <c r="C36" i="13"/>
  <c r="D36" i="13"/>
  <c r="I36" i="13"/>
  <c r="J36" i="13"/>
  <c r="B37" i="13"/>
  <c r="C37" i="13"/>
  <c r="D37" i="13"/>
  <c r="I37" i="13"/>
  <c r="J37" i="13"/>
  <c r="B38" i="13"/>
  <c r="C38" i="13"/>
  <c r="D38" i="13"/>
  <c r="I38" i="13"/>
  <c r="J38" i="13"/>
  <c r="C39" i="13"/>
  <c r="D39" i="13"/>
  <c r="H39" i="13"/>
  <c r="I39" i="13"/>
  <c r="J39" i="13"/>
  <c r="B40" i="13"/>
  <c r="C40" i="13"/>
  <c r="D40" i="13"/>
  <c r="H40" i="13"/>
  <c r="I40" i="13"/>
  <c r="J40" i="13"/>
  <c r="D42" i="13"/>
  <c r="J42" i="13"/>
  <c r="D43" i="13"/>
  <c r="J43" i="13"/>
  <c r="C2" i="17"/>
  <c r="D2" i="17"/>
  <c r="E2" i="17"/>
  <c r="F2" i="17"/>
  <c r="G2" i="17"/>
  <c r="H2" i="17"/>
  <c r="I2" i="17"/>
  <c r="J2" i="17"/>
  <c r="K2" i="17"/>
  <c r="L2" i="17"/>
  <c r="O2" i="17"/>
  <c r="J3" i="17"/>
  <c r="L3" i="17"/>
  <c r="O3" i="17"/>
  <c r="J4" i="17"/>
  <c r="L4" i="17"/>
  <c r="O4" i="17"/>
  <c r="C5" i="17"/>
  <c r="E5" i="17"/>
  <c r="F5" i="17"/>
  <c r="G5" i="17"/>
  <c r="H5" i="17"/>
  <c r="I5" i="17"/>
  <c r="J5" i="17"/>
  <c r="K5" i="17"/>
  <c r="L5" i="17"/>
  <c r="O5" i="17"/>
  <c r="E6" i="17"/>
  <c r="F6" i="17"/>
  <c r="G6" i="17"/>
  <c r="H6" i="17"/>
  <c r="J6" i="17"/>
  <c r="K6" i="17"/>
  <c r="L6" i="17"/>
  <c r="O6" i="17"/>
  <c r="E7" i="17"/>
  <c r="F7" i="17"/>
  <c r="G7" i="17"/>
  <c r="H7" i="17"/>
  <c r="J7" i="17"/>
  <c r="K7" i="17"/>
  <c r="L7" i="17"/>
  <c r="O7" i="17"/>
  <c r="E8" i="17"/>
  <c r="F8" i="17"/>
  <c r="G8" i="17"/>
  <c r="H8" i="17"/>
  <c r="J8" i="17"/>
  <c r="K8" i="17"/>
  <c r="L8" i="17"/>
  <c r="O8" i="17"/>
  <c r="E9" i="17"/>
  <c r="F9" i="17"/>
  <c r="G9" i="17"/>
  <c r="H9" i="17"/>
  <c r="J9" i="17"/>
  <c r="K9" i="17"/>
  <c r="L9" i="17"/>
  <c r="O9" i="17"/>
  <c r="F10" i="17"/>
  <c r="G10" i="17"/>
  <c r="H10" i="17"/>
  <c r="J10" i="17"/>
  <c r="K10" i="17"/>
  <c r="L10" i="17"/>
  <c r="O10" i="17"/>
  <c r="D11" i="17"/>
  <c r="F11" i="17"/>
  <c r="G11" i="17"/>
  <c r="H11" i="17"/>
  <c r="J11" i="17"/>
  <c r="K11" i="17"/>
  <c r="L11" i="17"/>
  <c r="O11" i="17"/>
  <c r="J12" i="17"/>
  <c r="L12" i="17"/>
  <c r="O12" i="17"/>
  <c r="J13" i="17"/>
  <c r="L13" i="17"/>
  <c r="O13" i="17"/>
  <c r="F14" i="17"/>
  <c r="H14" i="17"/>
  <c r="J14" i="17"/>
  <c r="L14" i="17"/>
  <c r="O14" i="17"/>
  <c r="H15" i="17"/>
  <c r="J15" i="17"/>
  <c r="L15" i="17"/>
  <c r="O15" i="17"/>
  <c r="F16" i="17"/>
  <c r="H16" i="17"/>
  <c r="L16" i="17"/>
  <c r="O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L18" i="17"/>
  <c r="B19" i="17"/>
  <c r="D19" i="17"/>
  <c r="J19" i="17"/>
  <c r="L19" i="17"/>
  <c r="B20" i="17"/>
  <c r="G21" i="17"/>
  <c r="J21" i="17"/>
  <c r="G22" i="17"/>
  <c r="F23" i="17"/>
  <c r="G23" i="17"/>
  <c r="J26" i="17"/>
  <c r="L26" i="17"/>
  <c r="C7" i="12"/>
  <c r="I7" i="12"/>
  <c r="C9" i="12"/>
  <c r="E9" i="12"/>
  <c r="G9" i="12"/>
  <c r="I9" i="12"/>
  <c r="K9" i="12"/>
  <c r="M9" i="12"/>
  <c r="E10" i="12"/>
  <c r="G10" i="12"/>
  <c r="I10" i="12"/>
  <c r="K10" i="12"/>
  <c r="M10" i="12"/>
  <c r="E11" i="12"/>
  <c r="G11" i="12"/>
  <c r="I11" i="12"/>
  <c r="K11" i="12"/>
  <c r="M11" i="12"/>
  <c r="E12" i="12"/>
  <c r="G12" i="12"/>
  <c r="K12" i="12"/>
  <c r="M12" i="12"/>
  <c r="C13" i="12"/>
  <c r="E13" i="12"/>
  <c r="G13" i="12"/>
  <c r="I13" i="12"/>
  <c r="K13" i="12"/>
  <c r="M13" i="12"/>
  <c r="E14" i="12"/>
  <c r="G14" i="12"/>
  <c r="K14" i="12"/>
  <c r="M14" i="12"/>
  <c r="C15" i="12"/>
  <c r="E15" i="12"/>
  <c r="G15" i="12"/>
  <c r="I15" i="12"/>
  <c r="K15" i="12"/>
  <c r="M15" i="12"/>
  <c r="C16" i="12"/>
  <c r="E16" i="12"/>
  <c r="G16" i="12"/>
  <c r="I16" i="12"/>
  <c r="K16" i="12"/>
  <c r="M16" i="12"/>
  <c r="C17" i="12"/>
  <c r="E17" i="12"/>
  <c r="G17" i="12"/>
  <c r="I17" i="12"/>
  <c r="K17" i="12"/>
  <c r="M17" i="12"/>
  <c r="C18" i="12"/>
  <c r="E18" i="12"/>
  <c r="G18" i="12"/>
  <c r="I18" i="12"/>
  <c r="K18" i="12"/>
  <c r="M18" i="12"/>
  <c r="C19" i="12"/>
  <c r="E19" i="12"/>
  <c r="G19" i="12"/>
  <c r="I19" i="12"/>
  <c r="K19" i="12"/>
  <c r="M19" i="12"/>
  <c r="E20" i="12"/>
  <c r="G20" i="12"/>
  <c r="I20" i="12"/>
  <c r="K20" i="12"/>
  <c r="M20" i="12"/>
  <c r="E21" i="12"/>
  <c r="G21" i="12"/>
  <c r="I21" i="12"/>
  <c r="K21" i="12"/>
  <c r="M21" i="12"/>
  <c r="C22" i="12"/>
  <c r="E22" i="12"/>
  <c r="G22" i="12"/>
  <c r="I22" i="12"/>
  <c r="K22" i="12"/>
  <c r="M22" i="12"/>
  <c r="C23" i="12"/>
  <c r="E23" i="12"/>
  <c r="G23" i="12"/>
  <c r="I23" i="12"/>
  <c r="K23" i="12"/>
  <c r="M23" i="12"/>
  <c r="C24" i="12"/>
  <c r="E24" i="12"/>
  <c r="G24" i="12"/>
  <c r="I24" i="12"/>
  <c r="K24" i="12"/>
  <c r="M24" i="12"/>
  <c r="E27" i="12"/>
  <c r="G27" i="12"/>
  <c r="K27" i="12"/>
  <c r="M27" i="12"/>
  <c r="C29" i="12"/>
  <c r="E29" i="12"/>
  <c r="G29" i="12"/>
  <c r="I29" i="12"/>
  <c r="K29" i="12"/>
  <c r="M29" i="12"/>
  <c r="C31" i="12"/>
  <c r="E31" i="12"/>
  <c r="G31" i="12"/>
  <c r="I31" i="12"/>
  <c r="K31" i="12"/>
  <c r="M31" i="12"/>
  <c r="K7" i="11"/>
  <c r="E9" i="11"/>
  <c r="G9" i="11"/>
  <c r="K9" i="11"/>
  <c r="M9" i="11"/>
  <c r="E10" i="11"/>
  <c r="G10" i="11"/>
  <c r="K10" i="11"/>
  <c r="M10" i="11"/>
  <c r="E11" i="11"/>
  <c r="G11" i="11"/>
  <c r="K11" i="11"/>
  <c r="M11" i="11"/>
  <c r="G12" i="11"/>
  <c r="K12" i="11"/>
  <c r="M12" i="11"/>
  <c r="E13" i="11"/>
  <c r="G13" i="11"/>
  <c r="K13" i="11"/>
  <c r="M13" i="11"/>
  <c r="C14" i="11"/>
  <c r="E14" i="11"/>
  <c r="G14" i="11"/>
  <c r="I14" i="11"/>
  <c r="K14" i="11"/>
  <c r="M14" i="11"/>
  <c r="C16" i="11"/>
  <c r="E16" i="11"/>
  <c r="G16" i="11"/>
  <c r="I16" i="11"/>
  <c r="K16" i="11"/>
  <c r="M16" i="11"/>
  <c r="E7" i="10"/>
  <c r="K7" i="10"/>
  <c r="E9" i="10"/>
  <c r="G9" i="10"/>
  <c r="K9" i="10"/>
  <c r="M9" i="10"/>
  <c r="E10" i="10"/>
  <c r="G10" i="10"/>
  <c r="K10" i="10"/>
  <c r="M10" i="10"/>
  <c r="E11" i="10"/>
  <c r="G11" i="10"/>
  <c r="K11" i="10"/>
  <c r="M11" i="10"/>
  <c r="E12" i="10"/>
  <c r="G12" i="10"/>
  <c r="K12" i="10"/>
  <c r="M12" i="10"/>
  <c r="E13" i="10"/>
  <c r="G13" i="10"/>
  <c r="K13" i="10"/>
  <c r="M13" i="10"/>
  <c r="E14" i="10"/>
  <c r="G14" i="10"/>
  <c r="K14" i="10"/>
  <c r="M14" i="10"/>
  <c r="E15" i="10"/>
  <c r="G15" i="10"/>
  <c r="I15" i="10"/>
  <c r="K15" i="10"/>
  <c r="M15" i="10"/>
  <c r="E16" i="10"/>
  <c r="G16" i="10"/>
  <c r="K16" i="10"/>
  <c r="M16" i="10"/>
  <c r="E17" i="10"/>
  <c r="G17" i="10"/>
  <c r="I17" i="10"/>
  <c r="K17" i="10"/>
  <c r="M17" i="10"/>
  <c r="E18" i="10"/>
  <c r="G18" i="10"/>
  <c r="K18" i="10"/>
  <c r="M18" i="10"/>
  <c r="C19" i="10"/>
  <c r="E19" i="10"/>
  <c r="G19" i="10"/>
  <c r="I19" i="10"/>
  <c r="K19" i="10"/>
  <c r="M19" i="10"/>
  <c r="C21" i="10"/>
  <c r="E21" i="10"/>
  <c r="G21" i="10"/>
  <c r="I21" i="10"/>
  <c r="K21" i="10"/>
  <c r="M21" i="10"/>
  <c r="E7" i="9"/>
  <c r="K7" i="9"/>
  <c r="E9" i="9"/>
  <c r="G9" i="9"/>
  <c r="K9" i="9"/>
  <c r="M9" i="9"/>
  <c r="E10" i="9"/>
  <c r="G10" i="9"/>
  <c r="K10" i="9"/>
  <c r="M10" i="9"/>
  <c r="E11" i="9"/>
  <c r="G11" i="9"/>
  <c r="K11" i="9"/>
  <c r="M11" i="9"/>
  <c r="E12" i="9"/>
  <c r="G12" i="9"/>
  <c r="K12" i="9"/>
  <c r="M12" i="9"/>
  <c r="E13" i="9"/>
  <c r="G13" i="9"/>
  <c r="K13" i="9"/>
  <c r="M13" i="9"/>
  <c r="E14" i="9"/>
  <c r="G14" i="9"/>
  <c r="K14" i="9"/>
  <c r="M14" i="9"/>
  <c r="C15" i="9"/>
  <c r="E15" i="9"/>
  <c r="G15" i="9"/>
  <c r="I15" i="9"/>
  <c r="K15" i="9"/>
  <c r="M15" i="9"/>
  <c r="C17" i="9"/>
  <c r="E17" i="9"/>
  <c r="G17" i="9"/>
  <c r="I17" i="9"/>
  <c r="K17" i="9"/>
  <c r="M17" i="9"/>
  <c r="E7" i="8"/>
  <c r="K7" i="8"/>
  <c r="E9" i="8"/>
  <c r="G9" i="8"/>
  <c r="K9" i="8"/>
  <c r="M9" i="8"/>
  <c r="E10" i="8"/>
  <c r="G10" i="8"/>
  <c r="K10" i="8"/>
  <c r="M10" i="8"/>
  <c r="E11" i="8"/>
  <c r="G11" i="8"/>
  <c r="K11" i="8"/>
  <c r="M11" i="8"/>
  <c r="E12" i="8"/>
  <c r="G12" i="8"/>
  <c r="K12" i="8"/>
  <c r="M12" i="8"/>
  <c r="E13" i="8"/>
  <c r="G13" i="8"/>
  <c r="K13" i="8"/>
  <c r="M13" i="8"/>
  <c r="E14" i="8"/>
  <c r="G14" i="8"/>
  <c r="K14" i="8"/>
  <c r="M14" i="8"/>
  <c r="C15" i="8"/>
  <c r="E15" i="8"/>
  <c r="G15" i="8"/>
  <c r="I15" i="8"/>
  <c r="K15" i="8"/>
  <c r="M15" i="8"/>
  <c r="C17" i="8"/>
  <c r="E17" i="8"/>
  <c r="G17" i="8"/>
  <c r="I17" i="8"/>
  <c r="K17" i="8"/>
  <c r="M17" i="8"/>
  <c r="C7" i="7"/>
  <c r="I7" i="7"/>
  <c r="C9" i="7"/>
  <c r="E9" i="7"/>
  <c r="G9" i="7"/>
  <c r="K9" i="7"/>
  <c r="M9" i="7"/>
  <c r="C10" i="7"/>
  <c r="E10" i="7"/>
  <c r="G10" i="7"/>
  <c r="K10" i="7"/>
  <c r="M10" i="7"/>
  <c r="C11" i="7"/>
  <c r="E11" i="7"/>
  <c r="G11" i="7"/>
  <c r="I11" i="7"/>
  <c r="K11" i="7"/>
  <c r="M11" i="7"/>
  <c r="C13" i="7"/>
  <c r="E13" i="7"/>
  <c r="G13" i="7"/>
  <c r="I13" i="7"/>
  <c r="K13" i="7"/>
  <c r="M13" i="7"/>
</calcChain>
</file>

<file path=xl/comments1.xml><?xml version="1.0" encoding="utf-8"?>
<comments xmlns="http://schemas.openxmlformats.org/spreadsheetml/2006/main">
  <authors>
    <author>kbooth</author>
  </authors>
  <commentList>
    <comment ref="B15" authorId="0" shapeId="0">
      <text>
        <r>
          <rPr>
            <b/>
            <sz val="8"/>
            <color indexed="81"/>
            <rFont val="Tahoma"/>
          </rPr>
          <t>kbooth:</t>
        </r>
        <r>
          <rPr>
            <sz val="8"/>
            <color indexed="81"/>
            <rFont val="Tahoma"/>
          </rPr>
          <t xml:space="preserve">
Based on headcount used for PEP Purposes</t>
        </r>
      </text>
    </comment>
    <comment ref="B26" authorId="0" shapeId="0">
      <text>
        <r>
          <rPr>
            <b/>
            <sz val="8"/>
            <color indexed="81"/>
            <rFont val="Tahoma"/>
          </rPr>
          <t>kbooth:</t>
        </r>
        <r>
          <rPr>
            <sz val="8"/>
            <color indexed="81"/>
            <rFont val="Tahoma"/>
          </rPr>
          <t xml:space="preserve">
Based on headcount used for PEP Purposes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C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add 1.2M per Faith
</t>
        </r>
      </text>
    </comment>
    <comment ref="C9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120484
121125
</t>
        </r>
      </text>
    </comment>
    <comment ref="C1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100055
</t>
        </r>
      </text>
    </comment>
    <comment ref="C11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150249</t>
        </r>
      </text>
    </comment>
    <comment ref="C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140052
</t>
        </r>
      </text>
    </comment>
    <comment ref="I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 APACHI for 2002
</t>
        </r>
      </text>
    </comment>
    <comment ref="C13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140167
</t>
        </r>
      </text>
    </comment>
    <comment ref="A14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is EPI</t>
        </r>
      </text>
    </comment>
    <comment ref="C14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106042</t>
        </r>
      </text>
    </comment>
    <comment ref="C15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106196
</t>
        </r>
      </text>
    </comment>
    <comment ref="C1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100663
</t>
        </r>
      </text>
    </comment>
    <comment ref="C1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102564</t>
        </r>
      </text>
    </comment>
    <comment ref="C18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103478 (Murray = 1,193,172)</t>
        </r>
      </text>
    </comment>
    <comment ref="I18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Murray in Plan and Forecast
</t>
        </r>
      </text>
    </comment>
    <comment ref="C19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104151</t>
        </r>
      </text>
    </comment>
    <comment ref="C2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105168;  not split between wholesale and retail in 2001</t>
        </r>
      </text>
    </comment>
    <comment ref="C2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140399
140402</t>
        </r>
      </text>
    </comment>
  </commentList>
</comments>
</file>

<file path=xl/sharedStrings.xml><?xml version="1.0" encoding="utf-8"?>
<sst xmlns="http://schemas.openxmlformats.org/spreadsheetml/2006/main" count="558" uniqueCount="297">
  <si>
    <t>CABC</t>
  </si>
  <si>
    <t>Analysis of I/C Billings</t>
  </si>
  <si>
    <t>2001 Forecast</t>
  </si>
  <si>
    <t>2002 Plan</t>
  </si>
  <si>
    <t>$</t>
  </si>
  <si>
    <t>%</t>
  </si>
  <si>
    <t>HC</t>
  </si>
  <si>
    <t>Total Direct Expense</t>
  </si>
  <si>
    <t xml:space="preserve">  Allocation to other business units</t>
  </si>
  <si>
    <t xml:space="preserve">     EGM</t>
  </si>
  <si>
    <t xml:space="preserve">     EIM</t>
  </si>
  <si>
    <t xml:space="preserve">     EBS</t>
  </si>
  <si>
    <t xml:space="preserve">     EES Wholesale</t>
  </si>
  <si>
    <t xml:space="preserve">     Total</t>
  </si>
  <si>
    <t>Net to ENA</t>
  </si>
  <si>
    <t>eSource</t>
  </si>
  <si>
    <t xml:space="preserve">     Enron Corp.</t>
  </si>
  <si>
    <t xml:space="preserve">     EES Retail</t>
  </si>
  <si>
    <t xml:space="preserve">     ENW</t>
  </si>
  <si>
    <t>Financial Operations</t>
  </si>
  <si>
    <t>Total Direct Expenses</t>
  </si>
  <si>
    <t xml:space="preserve">     EPI</t>
  </si>
  <si>
    <t xml:space="preserve">     EWS</t>
  </si>
  <si>
    <t xml:space="preserve">     Europe</t>
  </si>
  <si>
    <t xml:space="preserve">     EEOS</t>
  </si>
  <si>
    <t xml:space="preserve">     Xcelerator</t>
  </si>
  <si>
    <t xml:space="preserve">     ESA</t>
  </si>
  <si>
    <t>Total</t>
  </si>
  <si>
    <t>Allocations to Other Business Units</t>
  </si>
  <si>
    <t>Shared</t>
  </si>
  <si>
    <t>Faith</t>
  </si>
  <si>
    <t>Kirk</t>
  </si>
  <si>
    <t>Jody</t>
  </si>
  <si>
    <t>Mary Lynne</t>
  </si>
  <si>
    <t>Georganne &amp; Susan</t>
  </si>
  <si>
    <t>Elaine</t>
  </si>
  <si>
    <t>Hope</t>
  </si>
  <si>
    <t>FTEs</t>
  </si>
  <si>
    <t>Wes</t>
  </si>
  <si>
    <t>Total Fin Ops</t>
  </si>
  <si>
    <t>Total Gross Expense</t>
  </si>
  <si>
    <t>EPI</t>
  </si>
  <si>
    <t>ESA</t>
  </si>
  <si>
    <t>EBS</t>
  </si>
  <si>
    <t>EWS</t>
  </si>
  <si>
    <t>EES Wholesale</t>
  </si>
  <si>
    <t>EGM</t>
  </si>
  <si>
    <t>Europe</t>
  </si>
  <si>
    <t>EIM</t>
  </si>
  <si>
    <t>ENW</t>
  </si>
  <si>
    <t>EEOS</t>
  </si>
  <si>
    <t>Xcelerator</t>
  </si>
  <si>
    <t>Total Allocated to Other BU's</t>
  </si>
  <si>
    <t>Net Expense to ENA</t>
  </si>
  <si>
    <t xml:space="preserve">  CORP</t>
  </si>
  <si>
    <t xml:space="preserve">  EBS</t>
  </si>
  <si>
    <t xml:space="preserve">  ECB</t>
  </si>
  <si>
    <t xml:space="preserve">  EEOS</t>
  </si>
  <si>
    <t>b)</t>
  </si>
  <si>
    <t xml:space="preserve">  EES Wholesale</t>
  </si>
  <si>
    <t>c)</t>
  </si>
  <si>
    <t xml:space="preserve">  EES Retail</t>
  </si>
  <si>
    <t xml:space="preserve">  EFS</t>
  </si>
  <si>
    <t xml:space="preserve">  EGAS</t>
  </si>
  <si>
    <t xml:space="preserve">  EGF</t>
  </si>
  <si>
    <t xml:space="preserve">  EGM</t>
  </si>
  <si>
    <t xml:space="preserve">  EIM</t>
  </si>
  <si>
    <t xml:space="preserve">  EEDC</t>
  </si>
  <si>
    <t xml:space="preserve">  ENA</t>
  </si>
  <si>
    <t>a)</t>
  </si>
  <si>
    <t xml:space="preserve">  ENW</t>
  </si>
  <si>
    <t xml:space="preserve">  EPI</t>
  </si>
  <si>
    <t xml:space="preserve">  ETS</t>
  </si>
  <si>
    <t xml:space="preserve">  NEPCO</t>
  </si>
  <si>
    <t>Total 2001 Forecast Allocations</t>
  </si>
  <si>
    <t>Total 2002 Plan Allocations</t>
  </si>
  <si>
    <t>Other Business Units</t>
  </si>
  <si>
    <t>Net ENA</t>
  </si>
  <si>
    <t>Legal</t>
  </si>
  <si>
    <t xml:space="preserve">  Allocation to business units</t>
  </si>
  <si>
    <t xml:space="preserve">     RAC - Investment Underwriting</t>
  </si>
  <si>
    <t xml:space="preserve">     Corp</t>
  </si>
  <si>
    <t xml:space="preserve">     APACHI</t>
  </si>
  <si>
    <t xml:space="preserve">     EEDC</t>
  </si>
  <si>
    <t xml:space="preserve">     EEL</t>
  </si>
  <si>
    <t xml:space="preserve">     EI - S.A.</t>
  </si>
  <si>
    <t xml:space="preserve">     ENA</t>
  </si>
  <si>
    <t>ENA Commercial Teams</t>
  </si>
  <si>
    <t>ENA Net to Group</t>
  </si>
  <si>
    <t>Total ENA</t>
  </si>
  <si>
    <t>Public Relations</t>
  </si>
  <si>
    <t>Research</t>
  </si>
  <si>
    <t xml:space="preserve">     RAC</t>
  </si>
  <si>
    <t xml:space="preserve">     ETS</t>
  </si>
  <si>
    <t xml:space="preserve">     EIC</t>
  </si>
  <si>
    <t xml:space="preserve">     ESS</t>
  </si>
  <si>
    <t xml:space="preserve">     ECM</t>
  </si>
  <si>
    <t xml:space="preserve">     ELO</t>
  </si>
  <si>
    <t>Tax</t>
  </si>
  <si>
    <t xml:space="preserve">     EGF</t>
  </si>
  <si>
    <t>Treasury</t>
  </si>
  <si>
    <t>Cost Center</t>
  </si>
  <si>
    <t>BUs and Commercial Teams</t>
  </si>
  <si>
    <t>Old Name</t>
  </si>
  <si>
    <t>Energy Capital - 105653</t>
  </si>
  <si>
    <t>West Orig - 105654</t>
  </si>
  <si>
    <t>Litigation - 105656</t>
  </si>
  <si>
    <t>Fin'l Trdg - 105657</t>
  </si>
  <si>
    <t>EGM - 105658</t>
  </si>
  <si>
    <t>Labor &amp; Emp Law - 105660</t>
  </si>
  <si>
    <t>Power Trdg - 107061</t>
  </si>
  <si>
    <t>EIM - 107062</t>
  </si>
  <si>
    <t>RAC - Investment Underwriting</t>
  </si>
  <si>
    <t>I/C - CORP-Other G&amp;A Costs</t>
  </si>
  <si>
    <t>I/C</t>
  </si>
  <si>
    <t>I/C - EEL-ECT NA G&amp;A ALLOCATIONS</t>
  </si>
  <si>
    <t>I/C - ES-HOU - Corp. Allocations (EI - So. Am)</t>
  </si>
  <si>
    <t>I/C - EIM</t>
  </si>
  <si>
    <t>I/C - EBS</t>
  </si>
  <si>
    <t>Pulp &amp; Paper</t>
  </si>
  <si>
    <t>I/C - EES - Commodity Risk Management</t>
  </si>
  <si>
    <t>I/C - EES - IT - Executive</t>
  </si>
  <si>
    <t>NA-Company 413 Group Non Controllable</t>
  </si>
  <si>
    <t>NA-Treasury</t>
  </si>
  <si>
    <t>Group</t>
  </si>
  <si>
    <t>Bridgeline</t>
  </si>
  <si>
    <t>NA-Upstream Originations Compression</t>
  </si>
  <si>
    <t>I/C - ECM(EGF)</t>
  </si>
  <si>
    <t>NA-Generation Investments</t>
  </si>
  <si>
    <t>NA-Office of the Chair G&amp;A</t>
  </si>
  <si>
    <t>NBD</t>
  </si>
  <si>
    <t>NA-Natural Gas Derivatives</t>
  </si>
  <si>
    <t>Office of the Chairman</t>
  </si>
  <si>
    <t>NA-HPL</t>
  </si>
  <si>
    <t>NA-East Originations G&amp;A</t>
  </si>
  <si>
    <t>NA-Industrial Downstream G&amp;A</t>
  </si>
  <si>
    <t>East Orig</t>
  </si>
  <si>
    <t>NA-Gas Network Services G&amp;A</t>
  </si>
  <si>
    <t>Downstream Industrial</t>
  </si>
  <si>
    <t>NA-Upstream Originations Storage</t>
  </si>
  <si>
    <t>Assets</t>
  </si>
  <si>
    <t>NA-Enron Power Transmission G&amp;A</t>
  </si>
  <si>
    <t>NA-Gas Network Development G&amp;A</t>
  </si>
  <si>
    <t>NA-Transportation &amp; Storage G&amp;A</t>
  </si>
  <si>
    <t>NA-Gas Network Engineering G&amp;A</t>
  </si>
  <si>
    <t>NA-Gas Network Opererations</t>
  </si>
  <si>
    <t>NA-Rocky Mountain G&amp;A</t>
  </si>
  <si>
    <t>NA-Debt Trading Trading G&amp;A</t>
  </si>
  <si>
    <t>NA-Genco G&amp;A</t>
  </si>
  <si>
    <t>Credit Spread</t>
  </si>
  <si>
    <t>NA-Asset Trading G&amp;A</t>
  </si>
  <si>
    <t>Genco</t>
  </si>
  <si>
    <t>NA-Financial Gas G&amp;A</t>
  </si>
  <si>
    <t>NA-Central Gas G&amp;A</t>
  </si>
  <si>
    <t>LT Gas Trading</t>
  </si>
  <si>
    <t>NA-East Gas G&amp;A</t>
  </si>
  <si>
    <t>Short-term Gas Trading - Central</t>
  </si>
  <si>
    <t>NA-West Gas G&amp;A</t>
  </si>
  <si>
    <t xml:space="preserve">Short-term Gas Trading - East </t>
  </si>
  <si>
    <t>NA-CTG G&amp;A</t>
  </si>
  <si>
    <t>Short-term Gas Trading - West</t>
  </si>
  <si>
    <t>NA-Risk Management Houston G&amp;A</t>
  </si>
  <si>
    <t>CTG</t>
  </si>
  <si>
    <t>NA-Risk Management New York G&amp;A</t>
  </si>
  <si>
    <t>Risk Management - Houston</t>
  </si>
  <si>
    <t>NA-Energy Capital Resources</t>
  </si>
  <si>
    <t>Risk Management - New York</t>
  </si>
  <si>
    <t>NA-Upstream Originations Executive</t>
  </si>
  <si>
    <t>Financial Origination</t>
  </si>
  <si>
    <t>NA-Upstream Originations Prod E-Commerce</t>
  </si>
  <si>
    <t>SA: perf &amp; nonperf</t>
  </si>
  <si>
    <t>NA-TAC</t>
  </si>
  <si>
    <t>Upstream Origination</t>
  </si>
  <si>
    <t>NA-Assets Transportation G&amp;A</t>
  </si>
  <si>
    <t>Executive Assets</t>
  </si>
  <si>
    <t>NA-Offshore Services G&amp;A</t>
  </si>
  <si>
    <t>NA-Canada Finance G&amp;A</t>
  </si>
  <si>
    <t>NA-Canada Trading G&amp;A</t>
  </si>
  <si>
    <t>NA-Mexico G&amp;A</t>
  </si>
  <si>
    <t xml:space="preserve">NA-West Power Originations </t>
  </si>
  <si>
    <t>Canada</t>
  </si>
  <si>
    <t>NA-West Origination Development</t>
  </si>
  <si>
    <t>NA-West Power Trading G&amp;A</t>
  </si>
  <si>
    <t>Mexico</t>
  </si>
  <si>
    <t>NA-East Power Northeast Trading</t>
  </si>
  <si>
    <t>NA-Natural Gas Midwest Originations</t>
  </si>
  <si>
    <t>West Originations</t>
  </si>
  <si>
    <t>NA-East Power Generation Development</t>
  </si>
  <si>
    <t>NA-West Gas Denver</t>
  </si>
  <si>
    <t>West Power Trading</t>
  </si>
  <si>
    <t>NA-East Power Peakers</t>
  </si>
  <si>
    <t>NA-East Power Mgmt Book Trading</t>
  </si>
  <si>
    <t>NA-East Power Northeast Origination</t>
  </si>
  <si>
    <t>NA-East Power Southeast Origination</t>
  </si>
  <si>
    <t>NA-East Power Southeast Trading</t>
  </si>
  <si>
    <t>NA-East Power ERCOT Trading</t>
  </si>
  <si>
    <t>NA-Natural Gas East Region Originations</t>
  </si>
  <si>
    <t>Northeast Origination</t>
  </si>
  <si>
    <t>I/C - Enron Global Markets</t>
  </si>
  <si>
    <t>ENRON FREIGHT MARKETS</t>
  </si>
  <si>
    <t>I/C - ENW</t>
  </si>
  <si>
    <t>NA-Principal Investing G&amp;A</t>
  </si>
  <si>
    <t>NA-Restructuring</t>
  </si>
  <si>
    <t>I/C,Coal,Weather, SO2,Currency, Insurance and Equity Trdg</t>
  </si>
  <si>
    <t>NA-North Carolina Coal Plants (Alamac)</t>
  </si>
  <si>
    <t>Corp Development</t>
  </si>
  <si>
    <t>excludes 105659-HPL that will not be here in 2002, includes Murray</t>
  </si>
  <si>
    <t>External BUs =</t>
  </si>
  <si>
    <t xml:space="preserve">External CTs = </t>
  </si>
  <si>
    <t>2002 Internal legal billout to other business units (nonENA)</t>
  </si>
  <si>
    <t>L. Schuler - 105653</t>
  </si>
  <si>
    <t>L. Schuler (EBS) - 140567</t>
  </si>
  <si>
    <t>M. Haedicke - 105655</t>
  </si>
  <si>
    <t>M. Taylor - 105657</t>
  </si>
  <si>
    <t>A. Aronowitz - 105658</t>
  </si>
  <si>
    <t>Total/month</t>
  </si>
  <si>
    <t>Total/year</t>
  </si>
  <si>
    <t>Enron Capital Management - CC 106196</t>
  </si>
  <si>
    <t>Enron Global Markets - CC 120484</t>
  </si>
  <si>
    <t>Enron Industrial Markets - CC 103478</t>
  </si>
  <si>
    <t>Enron South America - CC 102564</t>
  </si>
  <si>
    <t>Enron Networks - CC 140167</t>
  </si>
  <si>
    <t>EEL - CC 100663</t>
  </si>
  <si>
    <t>Enron Principal Investments - CC 140399</t>
  </si>
  <si>
    <t>Enron Broadband Services</t>
  </si>
  <si>
    <t>Total Monthly Internal Expenses for 2002 Plan</t>
  </si>
  <si>
    <t>Flat amount of $8M/yr</t>
  </si>
  <si>
    <t>Note:  These amounts are being billed to the above business units monthly.</t>
  </si>
  <si>
    <t>a) EBS internal is 3,000,000 for the year, and 5,000,000 for external for the year for a total of 8,000,000 flat rate billed.</t>
  </si>
  <si>
    <t>Note</t>
  </si>
  <si>
    <t>2002 Plan Direct Expense and allocations to business units include Bonus Accrual.</t>
  </si>
  <si>
    <t>Bonus</t>
  </si>
  <si>
    <t>Total Fin Ops incl Bonus</t>
  </si>
  <si>
    <t xml:space="preserve">     EGF/ECM</t>
  </si>
  <si>
    <t>Human Resources Consolidated</t>
  </si>
  <si>
    <t xml:space="preserve">  APACHI</t>
  </si>
  <si>
    <t xml:space="preserve">  CALME</t>
  </si>
  <si>
    <t xml:space="preserve">  CF-MTBE</t>
  </si>
  <si>
    <t xml:space="preserve">  Citrus</t>
  </si>
  <si>
    <t xml:space="preserve">  EEL</t>
  </si>
  <si>
    <t xml:space="preserve">  EGEP</t>
  </si>
  <si>
    <t xml:space="preserve">  EIP</t>
  </si>
  <si>
    <t xml:space="preserve">  EREC</t>
  </si>
  <si>
    <t xml:space="preserve">  FGT</t>
  </si>
  <si>
    <t xml:space="preserve">  HPLP</t>
  </si>
  <si>
    <t xml:space="preserve">  India</t>
  </si>
  <si>
    <t xml:space="preserve">  NNG</t>
  </si>
  <si>
    <t xml:space="preserve">  Northern Plains</t>
  </si>
  <si>
    <t xml:space="preserve">  South America</t>
  </si>
  <si>
    <t xml:space="preserve">  TW</t>
  </si>
  <si>
    <t xml:space="preserve">  Xcelerator</t>
  </si>
  <si>
    <t xml:space="preserve">      2002 Plan Direct Expense and allocations to business units include Bonus Accrual.</t>
  </si>
  <si>
    <t>Business Unit</t>
  </si>
  <si>
    <t>Headcount</t>
  </si>
  <si>
    <t>Executive</t>
  </si>
  <si>
    <t>Generalist</t>
  </si>
  <si>
    <t>Commercial Resources/Staff</t>
  </si>
  <si>
    <t>Recruiting</t>
  </si>
  <si>
    <t>Comp.</t>
  </si>
  <si>
    <t>OD&amp;T</t>
  </si>
  <si>
    <t>MAD</t>
  </si>
  <si>
    <t>PEP</t>
  </si>
  <si>
    <t>Service Connection</t>
  </si>
  <si>
    <t>Totals</t>
  </si>
  <si>
    <t>PEP Rent Adj.</t>
  </si>
  <si>
    <t>Bonus Adj.</t>
  </si>
  <si>
    <t>Adj. Total</t>
  </si>
  <si>
    <t>EA</t>
  </si>
  <si>
    <t>EES</t>
  </si>
  <si>
    <t>CORP (S.W.)</t>
  </si>
  <si>
    <t>CORP (EPI)</t>
  </si>
  <si>
    <t>CORP (A/A)</t>
  </si>
  <si>
    <t>EGAS</t>
  </si>
  <si>
    <t>ETS-Allocated</t>
  </si>
  <si>
    <t>EEL</t>
  </si>
  <si>
    <t>Totals:</t>
  </si>
  <si>
    <t>plus ETS</t>
  </si>
  <si>
    <t>EWS/CORP/EES</t>
  </si>
  <si>
    <t xml:space="preserve"> </t>
  </si>
  <si>
    <t>ETS-Direct</t>
  </si>
  <si>
    <t>YTD Summary of external legal billout to other BUs and commercial teams</t>
  </si>
  <si>
    <t>As of 07-31-01</t>
  </si>
  <si>
    <t>Total Jan- July Actuals</t>
  </si>
  <si>
    <t>Total Aug-Dec Based on %</t>
  </si>
  <si>
    <t>I/C - EEDC (now EPI)</t>
  </si>
  <si>
    <t>I/C - EIM (J. Murray cost center)</t>
  </si>
  <si>
    <t>(estimated)</t>
  </si>
  <si>
    <t>140399/140402</t>
  </si>
  <si>
    <t>IC - EPI/Restructuring</t>
  </si>
  <si>
    <t>Notes:</t>
  </si>
  <si>
    <t>a)  EIM allocation from Murray is for 6,525,540:  5M for external and remainder for internal.</t>
  </si>
  <si>
    <t>b)  EBS allocation is for 8M.  5M for external and 3M for internal.</t>
  </si>
  <si>
    <t>c)  EPI allocations is 900k.  650k for external and 250 for internal.</t>
  </si>
  <si>
    <t>J. Murray - 107062</t>
  </si>
  <si>
    <t>Flat amount of 250k/yr</t>
  </si>
  <si>
    <t>b) Murray internal is 1,525,540 for the year and 5M for external for the year = 6,525,540 2002 Plan.</t>
  </si>
  <si>
    <t>c) EPI interanl is 250k for the year and 650k for external for the year; 900k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</si>
</sst>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&quot;$&quot;#,##0"/>
  </numFmts>
  <fonts count="1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9" fontId="1" fillId="0" borderId="0" xfId="3"/>
    <xf numFmtId="10" fontId="1" fillId="0" borderId="0" xfId="3" applyNumberFormat="1"/>
    <xf numFmtId="1" fontId="0" fillId="0" borderId="0" xfId="0" applyNumberFormat="1"/>
    <xf numFmtId="1" fontId="0" fillId="2" borderId="0" xfId="0" applyNumberFormat="1" applyFill="1" applyBorder="1"/>
    <xf numFmtId="164" fontId="0" fillId="0" borderId="0" xfId="1" applyNumberFormat="1" applyFont="1"/>
    <xf numFmtId="164" fontId="1" fillId="0" borderId="0" xfId="1" applyNumberFormat="1"/>
    <xf numFmtId="0" fontId="0" fillId="0" borderId="0" xfId="0" quotePrefix="1" applyAlignment="1">
      <alignment horizontal="left"/>
    </xf>
    <xf numFmtId="164" fontId="1" fillId="0" borderId="1" xfId="1" applyNumberFormat="1" applyBorder="1"/>
    <xf numFmtId="9" fontId="1" fillId="0" borderId="1" xfId="3" applyBorder="1"/>
    <xf numFmtId="9" fontId="1" fillId="0" borderId="0" xfId="3" applyBorder="1"/>
    <xf numFmtId="1" fontId="0" fillId="0" borderId="1" xfId="0" applyNumberFormat="1" applyBorder="1"/>
    <xf numFmtId="164" fontId="3" fillId="0" borderId="0" xfId="0" applyNumberFormat="1" applyFont="1"/>
    <xf numFmtId="9" fontId="1" fillId="0" borderId="0" xfId="3" applyFont="1"/>
    <xf numFmtId="0" fontId="0" fillId="0" borderId="0" xfId="0" quotePrefix="1" applyBorder="1" applyAlignment="1">
      <alignment horizontal="left"/>
    </xf>
    <xf numFmtId="0" fontId="0" fillId="0" borderId="0" xfId="0" applyBorder="1"/>
    <xf numFmtId="164" fontId="1" fillId="0" borderId="0" xfId="1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9" fontId="1" fillId="0" borderId="0" xfId="3" applyNumberFormat="1"/>
    <xf numFmtId="41" fontId="0" fillId="0" borderId="0" xfId="0" applyNumberFormat="1"/>
    <xf numFmtId="41" fontId="3" fillId="0" borderId="0" xfId="0" applyNumberFormat="1" applyFont="1"/>
    <xf numFmtId="9" fontId="1" fillId="0" borderId="1" xfId="3" applyNumberFormat="1" applyBorder="1"/>
    <xf numFmtId="41" fontId="0" fillId="0" borderId="1" xfId="0" applyNumberFormat="1" applyBorder="1"/>
    <xf numFmtId="0" fontId="0" fillId="0" borderId="0" xfId="0" applyAlignment="1">
      <alignment horizontal="right"/>
    </xf>
    <xf numFmtId="9" fontId="1" fillId="0" borderId="0" xfId="3" applyNumberFormat="1" applyBorder="1"/>
    <xf numFmtId="10" fontId="1" fillId="0" borderId="0" xfId="3" applyNumberFormat="1" applyBorder="1"/>
    <xf numFmtId="43" fontId="1" fillId="0" borderId="0" xfId="1"/>
    <xf numFmtId="43" fontId="1" fillId="0" borderId="0" xfId="1" applyBorder="1"/>
    <xf numFmtId="164" fontId="0" fillId="0" borderId="0" xfId="0" applyNumberFormat="1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0" xfId="0" applyFont="1"/>
    <xf numFmtId="41" fontId="5" fillId="0" borderId="0" xfId="0" applyNumberFormat="1" applyFont="1"/>
    <xf numFmtId="41" fontId="5" fillId="0" borderId="6" xfId="0" applyNumberFormat="1" applyFont="1" applyBorder="1"/>
    <xf numFmtId="10" fontId="0" fillId="0" borderId="0" xfId="0" applyNumberFormat="1" applyBorder="1"/>
    <xf numFmtId="41" fontId="0" fillId="0" borderId="7" xfId="0" applyNumberFormat="1" applyBorder="1"/>
    <xf numFmtId="164" fontId="5" fillId="0" borderId="6" xfId="1" applyNumberFormat="1" applyFont="1" applyBorder="1"/>
    <xf numFmtId="43" fontId="0" fillId="0" borderId="7" xfId="0" applyNumberFormat="1" applyBorder="1"/>
    <xf numFmtId="41" fontId="0" fillId="0" borderId="6" xfId="0" applyNumberFormat="1" applyBorder="1"/>
    <xf numFmtId="164" fontId="5" fillId="0" borderId="8" xfId="1" applyNumberFormat="1" applyFont="1" applyBorder="1"/>
    <xf numFmtId="41" fontId="0" fillId="0" borderId="8" xfId="0" applyNumberFormat="1" applyBorder="1"/>
    <xf numFmtId="164" fontId="1" fillId="0" borderId="6" xfId="1" applyNumberFormat="1" applyBorder="1"/>
    <xf numFmtId="164" fontId="5" fillId="0" borderId="0" xfId="1" applyNumberFormat="1" applyFont="1"/>
    <xf numFmtId="41" fontId="5" fillId="0" borderId="0" xfId="1" applyNumberFormat="1" applyFont="1"/>
    <xf numFmtId="164" fontId="5" fillId="0" borderId="0" xfId="0" applyNumberFormat="1" applyFont="1"/>
    <xf numFmtId="164" fontId="5" fillId="0" borderId="9" xfId="0" applyNumberFormat="1" applyFont="1" applyBorder="1"/>
    <xf numFmtId="10" fontId="0" fillId="0" borderId="10" xfId="0" applyNumberFormat="1" applyBorder="1"/>
    <xf numFmtId="43" fontId="0" fillId="0" borderId="11" xfId="0" applyNumberFormat="1" applyBorder="1"/>
    <xf numFmtId="41" fontId="5" fillId="0" borderId="9" xfId="0" applyNumberFormat="1" applyFont="1" applyBorder="1"/>
    <xf numFmtId="0" fontId="0" fillId="0" borderId="0" xfId="0" applyBorder="1" applyAlignment="1"/>
    <xf numFmtId="1" fontId="0" fillId="0" borderId="0" xfId="0" applyNumberFormat="1" applyBorder="1"/>
    <xf numFmtId="43" fontId="1" fillId="0" borderId="0" xfId="1" applyNumberFormat="1"/>
    <xf numFmtId="9" fontId="3" fillId="0" borderId="0" xfId="3" applyNumberFormat="1" applyFont="1"/>
    <xf numFmtId="164" fontId="1" fillId="0" borderId="0" xfId="1" applyNumberFormat="1" applyFont="1"/>
    <xf numFmtId="1" fontId="3" fillId="0" borderId="1" xfId="0" applyNumberFormat="1" applyFont="1" applyBorder="1"/>
    <xf numFmtId="164" fontId="1" fillId="0" borderId="0" xfId="1" applyNumberFormat="1" applyFont="1" applyBorder="1"/>
    <xf numFmtId="0" fontId="0" fillId="0" borderId="0" xfId="0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0" xfId="1" applyNumberFormat="1" applyFill="1" applyBorder="1"/>
    <xf numFmtId="164" fontId="1" fillId="0" borderId="0" xfId="1" applyNumberFormat="1" applyFont="1" applyFill="1" applyBorder="1"/>
    <xf numFmtId="1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4" fontId="0" fillId="0" borderId="0" xfId="0" applyNumberFormat="1" applyFill="1"/>
    <xf numFmtId="1" fontId="10" fillId="0" borderId="0" xfId="0" applyNumberFormat="1" applyFont="1"/>
    <xf numFmtId="164" fontId="1" fillId="0" borderId="0" xfId="3" applyNumberFormat="1"/>
    <xf numFmtId="43" fontId="0" fillId="0" borderId="0" xfId="1" applyFont="1"/>
    <xf numFmtId="9" fontId="0" fillId="0" borderId="0" xfId="3" applyFont="1"/>
    <xf numFmtId="0" fontId="11" fillId="0" borderId="0" xfId="0" applyFont="1"/>
    <xf numFmtId="43" fontId="0" fillId="0" borderId="0" xfId="0" applyNumberFormat="1" applyFill="1" applyBorder="1"/>
    <xf numFmtId="0" fontId="12" fillId="3" borderId="0" xfId="0" applyNumberFormat="1" applyFont="1" applyFill="1" applyAlignment="1">
      <alignment horizontal="center"/>
    </xf>
    <xf numFmtId="9" fontId="1" fillId="2" borderId="0" xfId="3" applyNumberFormat="1" applyFill="1"/>
    <xf numFmtId="0" fontId="12" fillId="3" borderId="0" xfId="0" applyFont="1" applyFill="1"/>
    <xf numFmtId="0" fontId="13" fillId="3" borderId="0" xfId="0" applyFont="1" applyFill="1" applyBorder="1" applyAlignment="1">
      <alignment horizontal="center"/>
    </xf>
    <xf numFmtId="43" fontId="12" fillId="3" borderId="0" xfId="1" applyFont="1" applyFill="1"/>
    <xf numFmtId="43" fontId="12" fillId="3" borderId="12" xfId="1" applyFont="1" applyFill="1" applyBorder="1"/>
    <xf numFmtId="43" fontId="12" fillId="3" borderId="13" xfId="0" applyNumberFormat="1" applyFont="1" applyFill="1" applyBorder="1"/>
    <xf numFmtId="43" fontId="12" fillId="3" borderId="0" xfId="0" applyNumberFormat="1" applyFont="1" applyFill="1" applyBorder="1"/>
    <xf numFmtId="0" fontId="12" fillId="0" borderId="0" xfId="0" applyFont="1"/>
    <xf numFmtId="0" fontId="12" fillId="0" borderId="0" xfId="0" applyNumberFormat="1" applyFont="1" applyAlignment="1">
      <alignment horizontal="center"/>
    </xf>
    <xf numFmtId="43" fontId="12" fillId="0" borderId="0" xfId="1" applyFont="1"/>
    <xf numFmtId="43" fontId="12" fillId="0" borderId="12" xfId="1" applyFont="1" applyBorder="1"/>
    <xf numFmtId="43" fontId="12" fillId="0" borderId="0" xfId="0" applyNumberFormat="1" applyFont="1" applyFill="1" applyBorder="1"/>
    <xf numFmtId="43" fontId="12" fillId="0" borderId="13" xfId="0" applyNumberFormat="1" applyFont="1" applyFill="1" applyBorder="1"/>
    <xf numFmtId="0" fontId="12" fillId="0" borderId="0" xfId="0" applyFont="1" applyAlignment="1">
      <alignment horizontal="center"/>
    </xf>
    <xf numFmtId="0" fontId="12" fillId="4" borderId="0" xfId="0" applyNumberFormat="1" applyFont="1" applyFill="1" applyAlignment="1">
      <alignment horizontal="center"/>
    </xf>
    <xf numFmtId="0" fontId="12" fillId="4" borderId="0" xfId="0" applyFont="1" applyFill="1"/>
    <xf numFmtId="0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43" fontId="12" fillId="3" borderId="14" xfId="1" applyFont="1" applyFill="1" applyBorder="1"/>
    <xf numFmtId="0" fontId="7" fillId="0" borderId="0" xfId="0" applyFont="1"/>
    <xf numFmtId="43" fontId="5" fillId="0" borderId="15" xfId="0" applyNumberFormat="1" applyFont="1" applyBorder="1"/>
    <xf numFmtId="43" fontId="5" fillId="4" borderId="16" xfId="0" applyNumberFormat="1" applyFont="1" applyFill="1" applyBorder="1"/>
    <xf numFmtId="43" fontId="5" fillId="0" borderId="17" xfId="0" applyNumberFormat="1" applyFont="1" applyBorder="1"/>
    <xf numFmtId="43" fontId="5" fillId="0" borderId="18" xfId="0" applyNumberFormat="1" applyFont="1" applyBorder="1"/>
    <xf numFmtId="43" fontId="5" fillId="0" borderId="19" xfId="0" applyNumberFormat="1" applyFont="1" applyBorder="1"/>
    <xf numFmtId="43" fontId="0" fillId="0" borderId="0" xfId="0" applyNumberFormat="1"/>
    <xf numFmtId="43" fontId="5" fillId="0" borderId="0" xfId="0" applyNumberFormat="1" applyFont="1" applyFill="1" applyBorder="1"/>
    <xf numFmtId="0" fontId="14" fillId="0" borderId="0" xfId="0" applyFont="1"/>
    <xf numFmtId="44" fontId="12" fillId="0" borderId="0" xfId="2" applyFont="1" applyAlignment="1">
      <alignment horizontal="right"/>
    </xf>
    <xf numFmtId="0" fontId="12" fillId="0" borderId="0" xfId="0" applyNumberFormat="1" applyFont="1" applyAlignment="1">
      <alignment horizontal="left"/>
    </xf>
    <xf numFmtId="43" fontId="5" fillId="0" borderId="0" xfId="1" applyFont="1"/>
    <xf numFmtId="43" fontId="1" fillId="0" borderId="0" xfId="1" applyNumberFormat="1" applyFont="1"/>
    <xf numFmtId="0" fontId="5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13" xfId="0" applyBorder="1"/>
    <xf numFmtId="43" fontId="0" fillId="0" borderId="13" xfId="0" applyNumberFormat="1" applyBorder="1"/>
    <xf numFmtId="0" fontId="5" fillId="0" borderId="0" xfId="0" applyFont="1" applyAlignment="1">
      <alignment horizontal="right"/>
    </xf>
    <xf numFmtId="0" fontId="0" fillId="0" borderId="20" xfId="0" applyBorder="1"/>
    <xf numFmtId="43" fontId="0" fillId="0" borderId="15" xfId="0" applyNumberFormat="1" applyBorder="1"/>
    <xf numFmtId="0" fontId="5" fillId="0" borderId="0" xfId="0" applyFont="1" applyBorder="1" applyAlignment="1">
      <alignment horizontal="center"/>
    </xf>
    <xf numFmtId="43" fontId="0" fillId="0" borderId="0" xfId="0" applyNumberFormat="1" applyBorder="1"/>
    <xf numFmtId="10" fontId="15" fillId="0" borderId="13" xfId="3" applyNumberFormat="1" applyFont="1" applyBorder="1"/>
    <xf numFmtId="0" fontId="1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quotePrefix="1" applyAlignment="1">
      <alignment horizontal="left" indent="1"/>
    </xf>
    <xf numFmtId="41" fontId="7" fillId="0" borderId="0" xfId="0" applyNumberFormat="1" applyFont="1"/>
    <xf numFmtId="41" fontId="10" fillId="0" borderId="0" xfId="0" applyNumberFormat="1" applyFont="1"/>
    <xf numFmtId="164" fontId="1" fillId="0" borderId="1" xfId="1" applyNumberFormat="1" applyFill="1" applyBorder="1"/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5" xfId="0" applyBorder="1"/>
    <xf numFmtId="9" fontId="7" fillId="0" borderId="0" xfId="3" applyNumberFormat="1" applyFont="1"/>
    <xf numFmtId="1" fontId="7" fillId="0" borderId="0" xfId="0" applyNumberFormat="1" applyFont="1"/>
    <xf numFmtId="164" fontId="7" fillId="0" borderId="1" xfId="1" applyNumberFormat="1" applyFont="1" applyBorder="1"/>
    <xf numFmtId="1" fontId="7" fillId="0" borderId="1" xfId="0" applyNumberFormat="1" applyFont="1" applyBorder="1"/>
    <xf numFmtId="164" fontId="3" fillId="0" borderId="0" xfId="1" applyNumberFormat="1" applyFont="1" applyBorder="1"/>
    <xf numFmtId="9" fontId="3" fillId="0" borderId="0" xfId="0" applyNumberFormat="1" applyFont="1"/>
    <xf numFmtId="164" fontId="7" fillId="0" borderId="0" xfId="1" applyNumberFormat="1" applyFont="1"/>
    <xf numFmtId="1" fontId="10" fillId="0" borderId="0" xfId="0" applyNumberFormat="1" applyFont="1" applyBorder="1"/>
    <xf numFmtId="0" fontId="0" fillId="2" borderId="0" xfId="0" applyFill="1"/>
    <xf numFmtId="164" fontId="1" fillId="2" borderId="0" xfId="1" applyNumberFormat="1" applyFill="1"/>
    <xf numFmtId="9" fontId="10" fillId="2" borderId="0" xfId="3" applyNumberFormat="1" applyFont="1" applyFill="1"/>
    <xf numFmtId="1" fontId="7" fillId="2" borderId="0" xfId="0" applyNumberFormat="1" applyFont="1" applyFill="1" applyBorder="1"/>
    <xf numFmtId="167" fontId="4" fillId="2" borderId="17" xfId="0" applyNumberFormat="1" applyFont="1" applyFill="1" applyBorder="1" applyAlignment="1">
      <alignment horizontal="center" vertical="center" wrapText="1"/>
    </xf>
    <xf numFmtId="167" fontId="4" fillId="2" borderId="19" xfId="0" applyNumberFormat="1" applyFont="1" applyFill="1" applyBorder="1" applyAlignment="1">
      <alignment horizontal="center" vertical="center" wrapText="1"/>
    </xf>
    <xf numFmtId="167" fontId="4" fillId="2" borderId="21" xfId="0" applyNumberFormat="1" applyFont="1" applyFill="1" applyBorder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 wrapText="1"/>
    </xf>
    <xf numFmtId="166" fontId="4" fillId="0" borderId="0" xfId="3" applyNumberFormat="1" applyFont="1" applyAlignment="1">
      <alignment horizontal="center" vertical="center" wrapText="1"/>
    </xf>
    <xf numFmtId="167" fontId="4" fillId="0" borderId="17" xfId="0" applyNumberFormat="1" applyFont="1" applyBorder="1"/>
    <xf numFmtId="3" fontId="16" fillId="5" borderId="17" xfId="0" applyNumberFormat="1" applyFont="1" applyFill="1" applyBorder="1"/>
    <xf numFmtId="167" fontId="0" fillId="0" borderId="17" xfId="0" applyNumberFormat="1" applyBorder="1"/>
    <xf numFmtId="167" fontId="0" fillId="0" borderId="19" xfId="0" applyNumberFormat="1" applyBorder="1"/>
    <xf numFmtId="167" fontId="0" fillId="2" borderId="22" xfId="0" applyNumberFormat="1" applyFill="1" applyBorder="1"/>
    <xf numFmtId="167" fontId="0" fillId="0" borderId="0" xfId="0" applyNumberFormat="1"/>
    <xf numFmtId="166" fontId="0" fillId="0" borderId="0" xfId="3" applyNumberFormat="1" applyFont="1"/>
    <xf numFmtId="167" fontId="17" fillId="0" borderId="17" xfId="0" applyNumberFormat="1" applyFont="1" applyBorder="1"/>
    <xf numFmtId="167" fontId="0" fillId="0" borderId="17" xfId="0" applyNumberFormat="1" applyBorder="1" applyAlignment="1">
      <alignment horizontal="right"/>
    </xf>
    <xf numFmtId="167" fontId="4" fillId="0" borderId="23" xfId="0" applyNumberFormat="1" applyFont="1" applyBorder="1"/>
    <xf numFmtId="3" fontId="16" fillId="5" borderId="23" xfId="0" applyNumberFormat="1" applyFont="1" applyFill="1" applyBorder="1"/>
    <xf numFmtId="167" fontId="0" fillId="0" borderId="23" xfId="0" applyNumberFormat="1" applyBorder="1"/>
    <xf numFmtId="167" fontId="4" fillId="2" borderId="24" xfId="0" applyNumberFormat="1" applyFont="1" applyFill="1" applyBorder="1" applyAlignment="1">
      <alignment vertical="center"/>
    </xf>
    <xf numFmtId="3" fontId="4" fillId="2" borderId="25" xfId="0" applyNumberFormat="1" applyFont="1" applyFill="1" applyBorder="1" applyAlignment="1">
      <alignment horizontal="center" vertical="center"/>
    </xf>
    <xf numFmtId="167" fontId="5" fillId="2" borderId="26" xfId="0" applyNumberFormat="1" applyFont="1" applyFill="1" applyBorder="1" applyAlignment="1">
      <alignment horizontal="center" vertical="center"/>
    </xf>
    <xf numFmtId="167" fontId="5" fillId="2" borderId="27" xfId="0" applyNumberFormat="1" applyFont="1" applyFill="1" applyBorder="1" applyAlignment="1">
      <alignment horizontal="center" vertical="center"/>
    </xf>
    <xf numFmtId="167" fontId="5" fillId="2" borderId="15" xfId="0" applyNumberFormat="1" applyFont="1" applyFill="1" applyBorder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167" fontId="4" fillId="0" borderId="0" xfId="0" applyNumberFormat="1" applyFont="1"/>
    <xf numFmtId="167" fontId="5" fillId="0" borderId="0" xfId="0" applyNumberFormat="1" applyFont="1"/>
    <xf numFmtId="167" fontId="0" fillId="0" borderId="28" xfId="0" applyNumberFormat="1" applyBorder="1"/>
    <xf numFmtId="3" fontId="4" fillId="0" borderId="0" xfId="0" applyNumberFormat="1" applyFont="1"/>
    <xf numFmtId="167" fontId="0" fillId="0" borderId="1" xfId="0" applyNumberFormat="1" applyBorder="1"/>
    <xf numFmtId="167" fontId="7" fillId="0" borderId="1" xfId="0" applyNumberFormat="1" applyFont="1" applyBorder="1"/>
    <xf numFmtId="167" fontId="4" fillId="0" borderId="24" xfId="0" applyNumberFormat="1" applyFont="1" applyBorder="1"/>
    <xf numFmtId="3" fontId="16" fillId="5" borderId="26" xfId="0" applyNumberFormat="1" applyFont="1" applyFill="1" applyBorder="1"/>
    <xf numFmtId="167" fontId="7" fillId="0" borderId="26" xfId="0" applyNumberFormat="1" applyFont="1" applyBorder="1"/>
    <xf numFmtId="167" fontId="0" fillId="0" borderId="26" xfId="0" applyNumberFormat="1" applyBorder="1"/>
    <xf numFmtId="167" fontId="0" fillId="0" borderId="27" xfId="0" applyNumberFormat="1" applyBorder="1"/>
    <xf numFmtId="167" fontId="5" fillId="0" borderId="15" xfId="0" applyNumberFormat="1" applyFont="1" applyBorder="1"/>
    <xf numFmtId="43" fontId="3" fillId="0" borderId="0" xfId="1" applyFont="1"/>
    <xf numFmtId="0" fontId="5" fillId="6" borderId="17" xfId="0" applyNumberFormat="1" applyFont="1" applyFill="1" applyBorder="1" applyAlignment="1">
      <alignment horizontal="center" wrapText="1"/>
    </xf>
    <xf numFmtId="0" fontId="5" fillId="6" borderId="17" xfId="0" applyFont="1" applyFill="1" applyBorder="1" applyAlignment="1">
      <alignment horizontal="center" wrapText="1"/>
    </xf>
    <xf numFmtId="0" fontId="5" fillId="6" borderId="19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5" fillId="6" borderId="17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Fill="1" applyBorder="1" applyAlignment="1">
      <alignment horizontal="center" wrapText="1"/>
    </xf>
    <xf numFmtId="43" fontId="18" fillId="3" borderId="13" xfId="0" applyNumberFormat="1" applyFont="1" applyFill="1" applyBorder="1"/>
    <xf numFmtId="43" fontId="18" fillId="0" borderId="13" xfId="0" applyNumberFormat="1" applyFont="1" applyFill="1" applyBorder="1"/>
    <xf numFmtId="43" fontId="18" fillId="3" borderId="0" xfId="1" applyFont="1" applyFill="1"/>
    <xf numFmtId="43" fontId="18" fillId="3" borderId="12" xfId="1" applyFont="1" applyFill="1" applyBorder="1"/>
    <xf numFmtId="43" fontId="18" fillId="3" borderId="0" xfId="0" applyNumberFormat="1" applyFont="1" applyFill="1"/>
    <xf numFmtId="0" fontId="0" fillId="0" borderId="29" xfId="0" applyFill="1" applyBorder="1" applyAlignment="1">
      <alignment horizontal="right"/>
    </xf>
    <xf numFmtId="0" fontId="0" fillId="3" borderId="4" xfId="0" applyFill="1" applyBorder="1"/>
    <xf numFmtId="43" fontId="0" fillId="3" borderId="4" xfId="0" applyNumberFormat="1" applyFill="1" applyBorder="1"/>
    <xf numFmtId="43" fontId="0" fillId="3" borderId="5" xfId="0" applyNumberFormat="1" applyFill="1" applyBorder="1"/>
    <xf numFmtId="0" fontId="0" fillId="0" borderId="9" xfId="0" applyBorder="1" applyAlignment="1">
      <alignment horizontal="right"/>
    </xf>
    <xf numFmtId="0" fontId="0" fillId="0" borderId="10" xfId="0" applyBorder="1"/>
    <xf numFmtId="43" fontId="0" fillId="0" borderId="10" xfId="0" applyNumberFormat="1" applyBorder="1"/>
    <xf numFmtId="0" fontId="0" fillId="0" borderId="10" xfId="0" applyFill="1" applyBorder="1"/>
    <xf numFmtId="43" fontId="0" fillId="0" borderId="1" xfId="0" applyNumberFormat="1" applyBorder="1"/>
    <xf numFmtId="43" fontId="0" fillId="0" borderId="13" xfId="1" applyFont="1" applyBorder="1"/>
    <xf numFmtId="43" fontId="0" fillId="0" borderId="0" xfId="1" applyFont="1" applyBorder="1"/>
    <xf numFmtId="43" fontId="0" fillId="0" borderId="15" xfId="1" applyFont="1" applyBorder="1"/>
    <xf numFmtId="43" fontId="0" fillId="0" borderId="20" xfId="1" applyFont="1" applyBorder="1"/>
    <xf numFmtId="10" fontId="0" fillId="0" borderId="13" xfId="3" applyNumberFormat="1" applyFont="1" applyBorder="1"/>
    <xf numFmtId="43" fontId="0" fillId="0" borderId="13" xfId="3" applyNumberFormat="1" applyFont="1" applyBorder="1"/>
    <xf numFmtId="10" fontId="0" fillId="0" borderId="6" xfId="3" applyNumberFormat="1" applyFont="1" applyBorder="1"/>
    <xf numFmtId="166" fontId="0" fillId="0" borderId="0" xfId="3" applyNumberFormat="1" applyFont="1" applyBorder="1"/>
    <xf numFmtId="10" fontId="0" fillId="0" borderId="13" xfId="3" applyNumberFormat="1" applyFont="1" applyBorder="1" applyAlignment="1">
      <alignment horizontal="center"/>
    </xf>
    <xf numFmtId="10" fontId="0" fillId="0" borderId="0" xfId="3" applyNumberFormat="1" applyFont="1" applyBorder="1"/>
    <xf numFmtId="166" fontId="0" fillId="0" borderId="13" xfId="3" applyNumberFormat="1" applyFont="1" applyBorder="1"/>
    <xf numFmtId="10" fontId="0" fillId="0" borderId="20" xfId="3" applyNumberFormat="1" applyFont="1" applyBorder="1"/>
    <xf numFmtId="10" fontId="0" fillId="0" borderId="15" xfId="3" applyNumberFormat="1" applyFont="1" applyBorder="1"/>
    <xf numFmtId="10" fontId="0" fillId="0" borderId="30" xfId="3" applyNumberFormat="1" applyFont="1" applyBorder="1"/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pportDetail-Presentation-Group-Rev-9.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2/2002%20Plan/Human%20Resources/Allocations%20to%20BUs%20091901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2/2002%20Plan/Legal/2001%20legal%20billout-rev-9.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da"/>
      <sheetName val="CABC"/>
      <sheetName val="CABC Explanations"/>
      <sheetName val="CABCAlloc"/>
      <sheetName val="eSource"/>
      <sheetName val="eSourceAlloc"/>
      <sheetName val="Fin Ops"/>
      <sheetName val="Fin Ops excl Wes"/>
      <sheetName val="Fin Ops Alloc yr on yr"/>
      <sheetName val="Fin_Ops Allocations"/>
      <sheetName val="Fin_Ops 2002 Plan Detail"/>
      <sheetName val="Fin_Ops 2001 Forecast Detail"/>
      <sheetName val="Fin-Ops Variance Analysis"/>
      <sheetName val="Elaine Allocations"/>
      <sheetName val="Empee Exp reduction"/>
      <sheetName val="HR"/>
      <sheetName val="HRAlloc"/>
      <sheetName val="Legal Revised "/>
      <sheetName val="LegalAlloc-old"/>
      <sheetName val="Legal - old"/>
      <sheetName val="LegalAlloc revised"/>
      <sheetName val="PR"/>
      <sheetName val="PRAlloc"/>
      <sheetName val="Research"/>
      <sheetName val="ResearchAlloc"/>
      <sheetName val="Tax"/>
      <sheetName val="TaxAlloc"/>
      <sheetName val="TechSvcs-Cons"/>
      <sheetName val="TranSup"/>
      <sheetName val="TranSup Orig 2001 Plan"/>
      <sheetName val="TranSuppAlloc"/>
      <sheetName val="Treasury"/>
      <sheetName val="TreasAlloc"/>
      <sheetName val="EnOps"/>
      <sheetName val="IT"/>
    </sheetNames>
    <sheetDataSet>
      <sheetData sheetId="0" refreshError="1"/>
      <sheetData sheetId="1">
        <row r="56">
          <cell r="K56">
            <v>8067693.4190476229</v>
          </cell>
          <cell r="M56">
            <v>6707013.091</v>
          </cell>
        </row>
      </sheetData>
      <sheetData sheetId="2" refreshError="1"/>
      <sheetData sheetId="3" refreshError="1"/>
      <sheetData sheetId="4">
        <row r="56">
          <cell r="K56">
            <v>1094015.6457142858</v>
          </cell>
          <cell r="M56">
            <v>1727215.9539999999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6">
          <cell r="P56">
            <v>53359418.428571433</v>
          </cell>
          <cell r="R56">
            <v>57269780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52">
          <cell r="K52">
            <v>2832923.4557142858</v>
          </cell>
          <cell r="M52">
            <v>3641345.6951250001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B2">
            <v>0.21235741444866921</v>
          </cell>
          <cell r="E2">
            <v>0.22660098522167488</v>
          </cell>
          <cell r="H2">
            <v>7.1667424247743361E-2</v>
          </cell>
        </row>
        <row r="3">
          <cell r="B3">
            <v>7.927756653992396E-2</v>
          </cell>
          <cell r="E3">
            <v>7.8817733990147784E-2</v>
          </cell>
          <cell r="H3">
            <v>7.4328472298327994E-2</v>
          </cell>
        </row>
        <row r="4">
          <cell r="B4">
            <v>3.4727503168567805E-2</v>
          </cell>
          <cell r="E4">
            <v>3.9408866995073892E-2</v>
          </cell>
          <cell r="H4">
            <v>3.6171112990902615E-2</v>
          </cell>
        </row>
        <row r="5">
          <cell r="B5">
            <v>3.4220532319391636E-2</v>
          </cell>
          <cell r="E5">
            <v>2.9556650246305417E-2</v>
          </cell>
          <cell r="H5">
            <v>6.5998845464755387E-2</v>
          </cell>
        </row>
        <row r="6">
          <cell r="B6">
            <v>0.24809885931558937</v>
          </cell>
          <cell r="E6">
            <v>0.30541871921182268</v>
          </cell>
          <cell r="H6">
            <v>0.35872176280619833</v>
          </cell>
        </row>
        <row r="7">
          <cell r="B7">
            <v>1.9011406844106463E-2</v>
          </cell>
          <cell r="E7">
            <v>7.3891625615763554E-2</v>
          </cell>
          <cell r="H7">
            <v>3.5172876541962411E-2</v>
          </cell>
        </row>
        <row r="8">
          <cell r="B8">
            <v>0.26140684410646386</v>
          </cell>
          <cell r="E8">
            <v>0.24630541871921183</v>
          </cell>
          <cell r="H8">
            <v>0.24234433540500466</v>
          </cell>
        </row>
        <row r="10">
          <cell r="B10">
            <v>0.1108998732572877</v>
          </cell>
          <cell r="H10">
            <v>0.11559517024510521</v>
          </cell>
        </row>
        <row r="11">
          <cell r="B11">
            <v>0</v>
          </cell>
          <cell r="H11">
            <v>0</v>
          </cell>
        </row>
        <row r="12">
          <cell r="B12">
            <v>0</v>
          </cell>
        </row>
        <row r="13">
          <cell r="B13">
            <v>0</v>
          </cell>
          <cell r="H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Summary ($)"/>
      <sheetName val="Allocations"/>
      <sheetName val="2002 Ext billout"/>
      <sheetName val="YTD Summary (%) - 105659"/>
      <sheetName val="Teams"/>
      <sheetName val="Teams (2)"/>
      <sheetName val="teams (plan $)"/>
      <sheetName val="teams (plan $-2)"/>
      <sheetName val="2001 Forecast-external legal"/>
      <sheetName val="2002 Plan-external legal"/>
      <sheetName val="2001 Plan-external legal"/>
      <sheetName val="2001 Forecast-ext legal-revised"/>
      <sheetName val="2002 Plan-extl legal revised"/>
      <sheetName val="Ext to ENA Comm Team"/>
      <sheetName val="YTD Summary ($) - 105659"/>
      <sheetName val="2001 Int Legal billout"/>
      <sheetName val="2002 Plan int legal billout"/>
      <sheetName val="YTD billout"/>
      <sheetName val="Jan ext legal"/>
      <sheetName val="Feb ext legal"/>
      <sheetName val="Mar ext legal"/>
      <sheetName val="Apr ext legal"/>
      <sheetName val="Jun ext legal"/>
      <sheetName val="May ext legal"/>
      <sheetName val="Jul ext leg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7">
          <cell r="C7">
            <v>1.3807922398961196E-2</v>
          </cell>
          <cell r="E7">
            <v>1.1835066622519215E-2</v>
          </cell>
        </row>
        <row r="9">
          <cell r="D9">
            <v>3.4129589554712974E-3</v>
          </cell>
          <cell r="E9">
            <v>2.367013324503843E-2</v>
          </cell>
          <cell r="G9">
            <v>9.4324011890966342E-2</v>
          </cell>
        </row>
        <row r="11">
          <cell r="D11">
            <v>1.706473449753757E-3</v>
          </cell>
          <cell r="E11">
            <v>4.7340283212596737E-3</v>
          </cell>
          <cell r="G11">
            <v>2.2381965668900741E-2</v>
          </cell>
        </row>
        <row r="13">
          <cell r="E13">
            <v>3.550521240944756E-3</v>
          </cell>
        </row>
        <row r="15">
          <cell r="D15">
            <v>3.4129589554712974E-3</v>
          </cell>
          <cell r="E15">
            <v>1.538558786346397E-2</v>
          </cell>
          <cell r="G15">
            <v>1.5987126402508306E-3</v>
          </cell>
        </row>
        <row r="17">
          <cell r="D17">
            <v>1.706473449753757E-3</v>
          </cell>
          <cell r="E17">
            <v>1.1835070803149184E-3</v>
          </cell>
          <cell r="G17">
            <v>8.7929166977268464E-3</v>
          </cell>
        </row>
      </sheetData>
      <sheetData sheetId="16" refreshError="1"/>
      <sheetData sheetId="17" refreshError="1"/>
      <sheetData sheetId="18">
        <row r="9">
          <cell r="M9">
            <v>3654.11</v>
          </cell>
        </row>
        <row r="17">
          <cell r="E17">
            <v>10051.879999999999</v>
          </cell>
        </row>
        <row r="19">
          <cell r="E19">
            <v>6382.12</v>
          </cell>
        </row>
        <row r="20">
          <cell r="G20">
            <v>20093.13</v>
          </cell>
          <cell r="K20">
            <v>12087.09</v>
          </cell>
        </row>
        <row r="43">
          <cell r="E43">
            <v>-2050.8000000000002</v>
          </cell>
          <cell r="G43">
            <v>120</v>
          </cell>
        </row>
        <row r="44">
          <cell r="G44">
            <v>95476.21</v>
          </cell>
        </row>
        <row r="51">
          <cell r="F51">
            <v>4407.26</v>
          </cell>
        </row>
        <row r="52">
          <cell r="F52">
            <v>-91481.03</v>
          </cell>
        </row>
        <row r="54">
          <cell r="G54">
            <v>40550.04</v>
          </cell>
          <cell r="L54">
            <v>4248.4399999999996</v>
          </cell>
        </row>
        <row r="66">
          <cell r="E66">
            <v>17123.79</v>
          </cell>
          <cell r="G66">
            <v>3317.09</v>
          </cell>
          <cell r="I66">
            <v>-2142.66</v>
          </cell>
        </row>
        <row r="69">
          <cell r="E69">
            <v>5895.16</v>
          </cell>
        </row>
        <row r="70">
          <cell r="E70">
            <v>831.92</v>
          </cell>
        </row>
        <row r="71">
          <cell r="E71">
            <v>2993</v>
          </cell>
          <cell r="G71">
            <v>169972.5</v>
          </cell>
        </row>
      </sheetData>
      <sheetData sheetId="19">
        <row r="7">
          <cell r="G7">
            <v>96652.66</v>
          </cell>
          <cell r="I7">
            <v>64130.38</v>
          </cell>
        </row>
        <row r="9">
          <cell r="F9">
            <v>17528.400000000001</v>
          </cell>
          <cell r="M9">
            <v>4138.71</v>
          </cell>
        </row>
        <row r="13">
          <cell r="K13">
            <v>11214.54</v>
          </cell>
        </row>
        <row r="14">
          <cell r="E14">
            <v>53730.06</v>
          </cell>
          <cell r="H14">
            <v>5009.38</v>
          </cell>
        </row>
        <row r="17">
          <cell r="E17">
            <v>11088.58</v>
          </cell>
          <cell r="K17">
            <v>967.5</v>
          </cell>
        </row>
        <row r="18">
          <cell r="E18">
            <v>4326.12</v>
          </cell>
        </row>
        <row r="19">
          <cell r="E19">
            <v>211359.68</v>
          </cell>
        </row>
        <row r="20">
          <cell r="G20">
            <v>1199.6099999999999</v>
          </cell>
          <cell r="K20">
            <v>149.97999999999999</v>
          </cell>
        </row>
        <row r="21">
          <cell r="G21">
            <v>3361.48</v>
          </cell>
        </row>
        <row r="22">
          <cell r="G22">
            <v>10353.23</v>
          </cell>
        </row>
        <row r="43">
          <cell r="E43">
            <v>90314.57</v>
          </cell>
        </row>
        <row r="44">
          <cell r="G44">
            <v>52756.92</v>
          </cell>
          <cell r="H44">
            <v>873.08</v>
          </cell>
        </row>
        <row r="51">
          <cell r="F51">
            <v>10097.17</v>
          </cell>
          <cell r="G51">
            <v>671</v>
          </cell>
        </row>
        <row r="52">
          <cell r="F52">
            <v>26342.15</v>
          </cell>
        </row>
        <row r="54">
          <cell r="G54">
            <v>218680.75</v>
          </cell>
          <cell r="H54">
            <v>42686.85</v>
          </cell>
        </row>
        <row r="55">
          <cell r="G55">
            <v>2325</v>
          </cell>
          <cell r="H55">
            <v>1991.64</v>
          </cell>
        </row>
        <row r="60">
          <cell r="G60">
            <v>13150.35</v>
          </cell>
        </row>
        <row r="61">
          <cell r="E61">
            <v>1948.94</v>
          </cell>
          <cell r="F61">
            <v>149618.09</v>
          </cell>
          <cell r="G61">
            <v>4508.84</v>
          </cell>
          <cell r="I61">
            <v>1699.52</v>
          </cell>
        </row>
        <row r="64">
          <cell r="H64">
            <v>846.19</v>
          </cell>
        </row>
        <row r="66">
          <cell r="E66">
            <v>23857.77</v>
          </cell>
          <cell r="G66">
            <v>150</v>
          </cell>
          <cell r="H66">
            <v>19336.400000000001</v>
          </cell>
        </row>
        <row r="69">
          <cell r="E69">
            <v>13543.75</v>
          </cell>
          <cell r="H69">
            <v>10556.15</v>
          </cell>
        </row>
        <row r="70">
          <cell r="E70">
            <v>1408.38</v>
          </cell>
        </row>
        <row r="71">
          <cell r="E71">
            <v>6465.35</v>
          </cell>
          <cell r="G71">
            <v>28612.79</v>
          </cell>
        </row>
      </sheetData>
      <sheetData sheetId="20">
        <row r="7">
          <cell r="I7">
            <v>32500.53</v>
          </cell>
        </row>
        <row r="11">
          <cell r="L11">
            <v>16627.849999999999</v>
          </cell>
        </row>
        <row r="14">
          <cell r="E14">
            <v>21155.8</v>
          </cell>
        </row>
        <row r="17">
          <cell r="E17">
            <v>46042.62</v>
          </cell>
          <cell r="K17">
            <v>12013.1</v>
          </cell>
        </row>
        <row r="19">
          <cell r="E19">
            <v>61996.29</v>
          </cell>
        </row>
        <row r="20">
          <cell r="G20">
            <v>85146.36</v>
          </cell>
        </row>
        <row r="21">
          <cell r="G21">
            <v>10965.59</v>
          </cell>
          <cell r="H21">
            <v>6303.86</v>
          </cell>
        </row>
        <row r="22">
          <cell r="G22">
            <v>298587.59000000003</v>
          </cell>
          <cell r="H22">
            <v>873.08</v>
          </cell>
        </row>
        <row r="43">
          <cell r="E43">
            <v>172641.53</v>
          </cell>
        </row>
        <row r="44">
          <cell r="G44">
            <v>-148233.13</v>
          </cell>
          <cell r="H44">
            <v>-873.08</v>
          </cell>
        </row>
        <row r="51">
          <cell r="F51">
            <v>17071.849999999999</v>
          </cell>
          <cell r="G51">
            <v>1589.2</v>
          </cell>
        </row>
        <row r="52">
          <cell r="F52">
            <v>27288.26</v>
          </cell>
        </row>
        <row r="53">
          <cell r="G53">
            <v>10671.37</v>
          </cell>
        </row>
        <row r="54">
          <cell r="G54">
            <v>482430.7</v>
          </cell>
          <cell r="H54">
            <v>5968.86</v>
          </cell>
          <cell r="L54">
            <v>249645.29</v>
          </cell>
        </row>
        <row r="55">
          <cell r="H55">
            <v>3969.18</v>
          </cell>
          <cell r="L55">
            <v>41307.050000000003</v>
          </cell>
        </row>
        <row r="56">
          <cell r="E56">
            <v>2079.1</v>
          </cell>
        </row>
        <row r="57">
          <cell r="E57">
            <v>-130.16</v>
          </cell>
          <cell r="F57">
            <v>52137.87</v>
          </cell>
        </row>
        <row r="60">
          <cell r="G60">
            <v>34103.279999999999</v>
          </cell>
        </row>
        <row r="61">
          <cell r="E61">
            <v>-1948.94</v>
          </cell>
          <cell r="F61">
            <v>-149618.09</v>
          </cell>
          <cell r="G61">
            <v>-4508.84</v>
          </cell>
        </row>
        <row r="64">
          <cell r="H64">
            <v>954.21</v>
          </cell>
        </row>
        <row r="66">
          <cell r="E66">
            <v>12033.81</v>
          </cell>
          <cell r="G66">
            <v>44351.99</v>
          </cell>
          <cell r="H66">
            <v>46506.12</v>
          </cell>
          <cell r="I66">
            <v>239865.85</v>
          </cell>
        </row>
        <row r="69">
          <cell r="E69">
            <v>1156.06</v>
          </cell>
          <cell r="H69">
            <v>6937.77</v>
          </cell>
        </row>
        <row r="70">
          <cell r="E70">
            <v>183982.21</v>
          </cell>
          <cell r="F70">
            <v>17697.36</v>
          </cell>
        </row>
        <row r="71">
          <cell r="E71">
            <v>49833.85</v>
          </cell>
          <cell r="G71">
            <v>33293.82</v>
          </cell>
        </row>
        <row r="73">
          <cell r="E73">
            <v>2990.73</v>
          </cell>
        </row>
      </sheetData>
      <sheetData sheetId="21">
        <row r="7">
          <cell r="G7">
            <v>40011.79</v>
          </cell>
          <cell r="I7">
            <v>48035.21</v>
          </cell>
        </row>
        <row r="8">
          <cell r="I8">
            <v>3413.77</v>
          </cell>
        </row>
        <row r="11">
          <cell r="L11">
            <v>4522.17</v>
          </cell>
        </row>
        <row r="14">
          <cell r="E14">
            <v>1140</v>
          </cell>
        </row>
        <row r="17">
          <cell r="E17">
            <v>16787.400000000001</v>
          </cell>
        </row>
        <row r="19">
          <cell r="E19">
            <v>27809.62</v>
          </cell>
        </row>
        <row r="20">
          <cell r="I20">
            <v>34787.31</v>
          </cell>
        </row>
        <row r="21">
          <cell r="G21">
            <v>7160.43</v>
          </cell>
          <cell r="H21">
            <v>646.71</v>
          </cell>
        </row>
        <row r="22">
          <cell r="G22">
            <v>20934.95</v>
          </cell>
        </row>
        <row r="43">
          <cell r="E43">
            <v>35259.089999999997</v>
          </cell>
        </row>
        <row r="51">
          <cell r="F51">
            <v>37428.65</v>
          </cell>
          <cell r="G51">
            <v>10146.040000000001</v>
          </cell>
        </row>
        <row r="52">
          <cell r="F52">
            <v>281806.46999999997</v>
          </cell>
        </row>
        <row r="53">
          <cell r="G53">
            <v>1450.83</v>
          </cell>
        </row>
        <row r="54">
          <cell r="G54">
            <v>616960.9</v>
          </cell>
          <cell r="H54">
            <v>1648</v>
          </cell>
          <cell r="L54">
            <v>542062.91</v>
          </cell>
        </row>
        <row r="55">
          <cell r="H55">
            <v>648</v>
          </cell>
          <cell r="L55">
            <v>-4758.79</v>
          </cell>
        </row>
        <row r="57">
          <cell r="F57">
            <v>21182.83</v>
          </cell>
        </row>
        <row r="61">
          <cell r="E61">
            <v>55217.599999999999</v>
          </cell>
        </row>
        <row r="62">
          <cell r="F62">
            <v>213451.93</v>
          </cell>
        </row>
        <row r="63">
          <cell r="L63">
            <v>31742.32</v>
          </cell>
        </row>
        <row r="66">
          <cell r="E66">
            <v>659.61</v>
          </cell>
          <cell r="G66">
            <v>266021.62</v>
          </cell>
          <cell r="H66">
            <v>4975</v>
          </cell>
          <cell r="I66">
            <v>14733.59</v>
          </cell>
        </row>
        <row r="67">
          <cell r="E67">
            <v>108674.32</v>
          </cell>
        </row>
        <row r="69">
          <cell r="E69">
            <v>88.73</v>
          </cell>
          <cell r="H69">
            <v>777.51</v>
          </cell>
        </row>
        <row r="70">
          <cell r="E70">
            <v>33917.99</v>
          </cell>
          <cell r="F70">
            <v>4062.6</v>
          </cell>
        </row>
        <row r="71">
          <cell r="E71">
            <v>25442.29</v>
          </cell>
          <cell r="G71">
            <v>225155.75</v>
          </cell>
        </row>
        <row r="72">
          <cell r="E72">
            <v>335.25</v>
          </cell>
        </row>
      </sheetData>
      <sheetData sheetId="22">
        <row r="5">
          <cell r="E5">
            <v>7972.89</v>
          </cell>
        </row>
        <row r="7">
          <cell r="G7">
            <v>7079.27</v>
          </cell>
          <cell r="I7">
            <v>3323.18</v>
          </cell>
        </row>
        <row r="11">
          <cell r="L11">
            <v>2708.28</v>
          </cell>
        </row>
        <row r="14">
          <cell r="E14">
            <v>2238.3000000000002</v>
          </cell>
          <cell r="H14">
            <v>2034.18</v>
          </cell>
        </row>
        <row r="17">
          <cell r="E17">
            <v>3618.93</v>
          </cell>
        </row>
        <row r="19">
          <cell r="E19">
            <v>21739.34</v>
          </cell>
        </row>
        <row r="20">
          <cell r="G20">
            <v>215.5</v>
          </cell>
          <cell r="K20">
            <v>817.42</v>
          </cell>
        </row>
        <row r="21">
          <cell r="H21">
            <v>7214.68</v>
          </cell>
        </row>
        <row r="22">
          <cell r="G22">
            <v>52143.53</v>
          </cell>
        </row>
        <row r="43">
          <cell r="E43">
            <v>9930.57</v>
          </cell>
        </row>
        <row r="46">
          <cell r="I46">
            <v>3015</v>
          </cell>
        </row>
        <row r="51">
          <cell r="F51">
            <v>31027.24</v>
          </cell>
          <cell r="H51">
            <v>2034.18</v>
          </cell>
        </row>
        <row r="52">
          <cell r="F52">
            <v>611624.81000000006</v>
          </cell>
        </row>
        <row r="54">
          <cell r="G54">
            <v>330798.14</v>
          </cell>
          <cell r="H54">
            <v>2034.18</v>
          </cell>
          <cell r="L54">
            <v>143236.31</v>
          </cell>
        </row>
        <row r="55">
          <cell r="H55">
            <v>2034.18</v>
          </cell>
          <cell r="L55">
            <v>49891.57</v>
          </cell>
        </row>
        <row r="57">
          <cell r="F57">
            <v>16894.28</v>
          </cell>
        </row>
        <row r="61">
          <cell r="E61">
            <v>1909.03</v>
          </cell>
        </row>
        <row r="62">
          <cell r="F62">
            <v>182653.29</v>
          </cell>
        </row>
        <row r="64">
          <cell r="H64">
            <v>2034.18</v>
          </cell>
        </row>
        <row r="66">
          <cell r="E66">
            <v>11817.53</v>
          </cell>
          <cell r="G66">
            <v>197874.22</v>
          </cell>
          <cell r="H66">
            <v>10170.9</v>
          </cell>
          <cell r="I66">
            <v>342446.85</v>
          </cell>
        </row>
        <row r="69">
          <cell r="H69">
            <v>40108</v>
          </cell>
        </row>
        <row r="70">
          <cell r="E70">
            <v>3056.65</v>
          </cell>
        </row>
        <row r="71">
          <cell r="E71">
            <v>27142.15</v>
          </cell>
          <cell r="G71">
            <v>1014534.78</v>
          </cell>
        </row>
        <row r="73">
          <cell r="F73">
            <v>11929.71</v>
          </cell>
        </row>
      </sheetData>
      <sheetData sheetId="23">
        <row r="7">
          <cell r="I7">
            <v>-515.91</v>
          </cell>
        </row>
        <row r="8">
          <cell r="I8">
            <v>428.04</v>
          </cell>
        </row>
        <row r="11">
          <cell r="L11">
            <v>650</v>
          </cell>
        </row>
        <row r="14">
          <cell r="E14">
            <v>16880.349999999999</v>
          </cell>
        </row>
        <row r="17">
          <cell r="E17">
            <v>11653.84</v>
          </cell>
        </row>
        <row r="19">
          <cell r="E19">
            <v>3447.15</v>
          </cell>
        </row>
        <row r="20">
          <cell r="E20">
            <v>148.63</v>
          </cell>
          <cell r="I20">
            <v>-34787.31</v>
          </cell>
        </row>
        <row r="22">
          <cell r="G22">
            <v>55564.480000000003</v>
          </cell>
        </row>
        <row r="43">
          <cell r="E43">
            <v>22627.7</v>
          </cell>
        </row>
        <row r="45">
          <cell r="E45">
            <v>1029.82</v>
          </cell>
        </row>
        <row r="46">
          <cell r="I46">
            <v>37399.620000000003</v>
          </cell>
        </row>
        <row r="51">
          <cell r="F51">
            <v>13438.34</v>
          </cell>
        </row>
        <row r="52">
          <cell r="F52">
            <v>537903.03</v>
          </cell>
        </row>
        <row r="53">
          <cell r="G53">
            <v>7579.77</v>
          </cell>
        </row>
        <row r="54">
          <cell r="G54">
            <v>263053.42</v>
          </cell>
        </row>
        <row r="57">
          <cell r="E57">
            <v>460.1</v>
          </cell>
          <cell r="F57">
            <v>-12246.53</v>
          </cell>
        </row>
        <row r="60">
          <cell r="G60">
            <v>5871.73</v>
          </cell>
        </row>
        <row r="61">
          <cell r="E61">
            <v>1211.51</v>
          </cell>
        </row>
        <row r="62">
          <cell r="F62">
            <v>126170.36</v>
          </cell>
        </row>
        <row r="66">
          <cell r="E66">
            <v>9963.84</v>
          </cell>
          <cell r="G66">
            <v>3315.37</v>
          </cell>
          <cell r="H66">
            <v>34253.11</v>
          </cell>
          <cell r="I66">
            <v>46452.82</v>
          </cell>
          <cell r="K66">
            <v>462.9</v>
          </cell>
        </row>
        <row r="69">
          <cell r="E69">
            <v>33228.26</v>
          </cell>
        </row>
        <row r="70">
          <cell r="E70">
            <v>596.97</v>
          </cell>
        </row>
        <row r="71">
          <cell r="E71">
            <v>14777.71</v>
          </cell>
          <cell r="G71">
            <v>198060.57</v>
          </cell>
        </row>
        <row r="73">
          <cell r="F73">
            <v>117895.92</v>
          </cell>
        </row>
      </sheetData>
      <sheetData sheetId="24">
        <row r="5">
          <cell r="E5">
            <v>599540.4</v>
          </cell>
        </row>
        <row r="7">
          <cell r="G7">
            <v>97224.13</v>
          </cell>
          <cell r="H7">
            <v>10621.78</v>
          </cell>
          <cell r="I7">
            <v>30200.690000000002</v>
          </cell>
          <cell r="K7">
            <v>7660.52</v>
          </cell>
        </row>
        <row r="11">
          <cell r="L11">
            <v>4354.47</v>
          </cell>
        </row>
        <row r="14">
          <cell r="E14">
            <v>154.6</v>
          </cell>
        </row>
        <row r="17">
          <cell r="E17">
            <v>3303.25</v>
          </cell>
        </row>
        <row r="18">
          <cell r="E18">
            <v>16475.82</v>
          </cell>
        </row>
        <row r="19">
          <cell r="E19">
            <v>730663.65999999992</v>
          </cell>
        </row>
        <row r="20">
          <cell r="G20">
            <v>1772.13</v>
          </cell>
          <cell r="K20">
            <v>2685.6</v>
          </cell>
        </row>
        <row r="21">
          <cell r="G21">
            <v>14981.01</v>
          </cell>
          <cell r="H21">
            <v>718.4</v>
          </cell>
        </row>
        <row r="22">
          <cell r="G22">
            <v>56259.950000000004</v>
          </cell>
        </row>
        <row r="43">
          <cell r="E43">
            <v>51307.490000000005</v>
          </cell>
        </row>
        <row r="46">
          <cell r="I46">
            <v>6708.58</v>
          </cell>
        </row>
        <row r="51">
          <cell r="F51">
            <v>24936.76</v>
          </cell>
        </row>
        <row r="52">
          <cell r="F52">
            <v>136846.82</v>
          </cell>
        </row>
        <row r="53">
          <cell r="G53">
            <v>135982.74</v>
          </cell>
        </row>
        <row r="54">
          <cell r="G54">
            <v>559901.56000000006</v>
          </cell>
          <cell r="H54">
            <v>359.2</v>
          </cell>
          <cell r="L54">
            <v>33373.760000000002</v>
          </cell>
        </row>
        <row r="55">
          <cell r="H55">
            <v>1109.2</v>
          </cell>
          <cell r="L55">
            <v>9221.34</v>
          </cell>
        </row>
        <row r="56">
          <cell r="E56">
            <v>5873.51</v>
          </cell>
        </row>
        <row r="57">
          <cell r="F57">
            <v>-29889.61</v>
          </cell>
        </row>
        <row r="61">
          <cell r="E61">
            <v>5036.25</v>
          </cell>
        </row>
        <row r="62">
          <cell r="F62">
            <v>232454.22</v>
          </cell>
        </row>
        <row r="66">
          <cell r="E66">
            <v>15747.06</v>
          </cell>
          <cell r="G66">
            <v>19874.25</v>
          </cell>
          <cell r="H66">
            <v>2155.1999999999998</v>
          </cell>
          <cell r="I66">
            <v>72585.05</v>
          </cell>
        </row>
        <row r="69">
          <cell r="E69">
            <v>85142.65</v>
          </cell>
          <cell r="H69">
            <v>4774.2700000000004</v>
          </cell>
        </row>
        <row r="70">
          <cell r="E70">
            <v>-88265.66</v>
          </cell>
        </row>
        <row r="71">
          <cell r="E71">
            <v>57041.22</v>
          </cell>
          <cell r="G71">
            <v>329379.89</v>
          </cell>
        </row>
        <row r="73">
          <cell r="F73">
            <v>9687.44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11" sqref="A11"/>
    </sheetView>
  </sheetViews>
  <sheetFormatPr defaultRowHeight="13.2" x14ac:dyDescent="0.25"/>
  <cols>
    <col min="1" max="1" width="30.44140625" bestFit="1" customWidth="1"/>
    <col min="2" max="2" width="2.109375" customWidth="1"/>
    <col min="3" max="3" width="10.33203125" bestFit="1" customWidth="1"/>
    <col min="4" max="4" width="2.109375" customWidth="1"/>
    <col min="5" max="5" width="7.6640625" bestFit="1" customWidth="1"/>
    <col min="6" max="6" width="1.6640625" customWidth="1"/>
    <col min="7" max="7" width="7.44140625" customWidth="1"/>
    <col min="8" max="8" width="2.109375" customWidth="1"/>
    <col min="9" max="9" width="11.33203125" bestFit="1" customWidth="1"/>
    <col min="10" max="10" width="2.109375" customWidth="1"/>
    <col min="12" max="12" width="1.88671875" customWidth="1"/>
    <col min="13" max="13" width="7.6640625" customWidth="1"/>
    <col min="14" max="14" width="2.109375" customWidth="1"/>
  </cols>
  <sheetData>
    <row r="1" spans="1:14" ht="15.6" x14ac:dyDescent="0.3">
      <c r="A1" s="220" t="s">
        <v>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"/>
    </row>
    <row r="2" spans="1:14" x14ac:dyDescent="0.25">
      <c r="A2" s="222" t="s">
        <v>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1"/>
    </row>
    <row r="4" spans="1:14" x14ac:dyDescent="0.25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4" x14ac:dyDescent="0.25">
      <c r="C5" s="3" t="s">
        <v>4</v>
      </c>
      <c r="D5" s="2"/>
      <c r="E5" s="3" t="s">
        <v>5</v>
      </c>
      <c r="F5" s="4"/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4" x14ac:dyDescent="0.25">
      <c r="A7" t="s">
        <v>7</v>
      </c>
      <c r="C7" s="5">
        <f>+[1]CABC!K56</f>
        <v>8067693.4190476229</v>
      </c>
      <c r="E7" s="6">
        <f>SUM(E9:E15)-E13</f>
        <v>0.99999987604883478</v>
      </c>
      <c r="F7" s="6"/>
      <c r="G7">
        <v>27</v>
      </c>
      <c r="I7" s="5">
        <f>[1]CABC!M56</f>
        <v>6707013.091</v>
      </c>
      <c r="K7" s="6">
        <f>SUM(K9:K15)-K13</f>
        <v>1</v>
      </c>
      <c r="L7" s="6"/>
      <c r="M7">
        <v>27</v>
      </c>
    </row>
    <row r="8" spans="1:14" x14ac:dyDescent="0.25">
      <c r="A8" t="s">
        <v>8</v>
      </c>
      <c r="C8" s="5"/>
      <c r="E8" s="6"/>
      <c r="F8" s="6"/>
      <c r="G8" s="7"/>
      <c r="I8" s="5"/>
      <c r="K8" s="6"/>
      <c r="L8" s="6"/>
      <c r="M8" s="8"/>
    </row>
    <row r="9" spans="1:14" x14ac:dyDescent="0.25">
      <c r="A9" t="s">
        <v>9</v>
      </c>
      <c r="C9" s="11">
        <f>375000+166095.86+(125000*6)+1424571</f>
        <v>2715666.86</v>
      </c>
      <c r="E9" s="6">
        <f>C9/$C$7</f>
        <v>0.33661007167034607</v>
      </c>
      <c r="F9" s="6"/>
      <c r="G9" s="8">
        <f>+G$7*E9</f>
        <v>9.0884719350993439</v>
      </c>
      <c r="I9" s="11">
        <v>2249474</v>
      </c>
      <c r="K9" s="6">
        <f>I9/$I$7</f>
        <v>0.33539132389923643</v>
      </c>
      <c r="L9" s="6"/>
      <c r="M9" s="8">
        <f>+M$7*K9</f>
        <v>9.0555657452793827</v>
      </c>
    </row>
    <row r="10" spans="1:14" x14ac:dyDescent="0.25">
      <c r="A10" t="s">
        <v>10</v>
      </c>
      <c r="C10" s="11">
        <f>96000+350607.84+(50000*6)+856534</f>
        <v>1603141.84</v>
      </c>
      <c r="E10" s="6">
        <f>C10/$C$7</f>
        <v>0.19871129909510718</v>
      </c>
      <c r="F10" s="6"/>
      <c r="G10" s="8">
        <f>+G$7*E10</f>
        <v>5.3652050755678937</v>
      </c>
      <c r="I10" s="11">
        <v>492306</v>
      </c>
      <c r="K10" s="6">
        <f>I10/$I$7</f>
        <v>7.3401675726653209E-2</v>
      </c>
      <c r="L10" s="6"/>
      <c r="M10" s="8">
        <f>+M$7*K10</f>
        <v>1.9818452446196366</v>
      </c>
    </row>
    <row r="11" spans="1:14" x14ac:dyDescent="0.25">
      <c r="A11" s="12" t="s">
        <v>11</v>
      </c>
      <c r="C11" s="11">
        <v>784062</v>
      </c>
      <c r="E11" s="6">
        <f>C11/$C$7</f>
        <v>9.7185398511655044E-2</v>
      </c>
      <c r="F11" s="6"/>
      <c r="G11" s="8">
        <f>+G$7*E11</f>
        <v>2.6240057598146862</v>
      </c>
      <c r="I11" s="11">
        <v>843732</v>
      </c>
      <c r="K11" s="6">
        <f>I11/$I$7</f>
        <v>0.12579847221890564</v>
      </c>
      <c r="L11" s="6"/>
      <c r="M11" s="8">
        <v>4</v>
      </c>
    </row>
    <row r="12" spans="1:14" x14ac:dyDescent="0.25">
      <c r="A12" s="12" t="s">
        <v>12</v>
      </c>
      <c r="C12" s="13">
        <v>522951</v>
      </c>
      <c r="E12" s="14">
        <f>C12/$C$7</f>
        <v>6.4820385807587297E-2</v>
      </c>
      <c r="F12" s="15"/>
      <c r="G12" s="16">
        <f>+G$7*E12</f>
        <v>1.7501504168048569</v>
      </c>
      <c r="I12" s="13">
        <v>559671</v>
      </c>
      <c r="K12" s="14">
        <f>I12/$I$7</f>
        <v>8.3445640019848888E-2</v>
      </c>
      <c r="L12" s="15"/>
      <c r="M12" s="16">
        <f>+M$7*K12</f>
        <v>2.25303228053592</v>
      </c>
    </row>
    <row r="13" spans="1:14" x14ac:dyDescent="0.25">
      <c r="A13" t="s">
        <v>13</v>
      </c>
      <c r="C13" s="11">
        <f>SUM(C9:C12)</f>
        <v>5625821.7000000002</v>
      </c>
      <c r="E13" s="6">
        <f>C13/$C$7</f>
        <v>0.69732715508469567</v>
      </c>
      <c r="F13" s="6"/>
      <c r="G13" s="8">
        <f>SUM(G9:G12)</f>
        <v>18.827833187286782</v>
      </c>
      <c r="I13" s="11">
        <f>SUM(I9:I12)</f>
        <v>4145183</v>
      </c>
      <c r="K13" s="6">
        <f>I13/$I$7</f>
        <v>0.61803711186464416</v>
      </c>
      <c r="L13" s="6"/>
      <c r="M13" s="8">
        <f>SUM(M9:M12)</f>
        <v>17.290443270434938</v>
      </c>
    </row>
    <row r="14" spans="1:14" x14ac:dyDescent="0.25">
      <c r="C14" s="11"/>
      <c r="I14" s="11"/>
      <c r="M14" s="8"/>
    </row>
    <row r="15" spans="1:14" x14ac:dyDescent="0.25">
      <c r="A15" t="s">
        <v>14</v>
      </c>
      <c r="C15" s="17">
        <f>C7-C13-1</f>
        <v>2441870.7190476228</v>
      </c>
      <c r="E15" s="6">
        <f>C15/$C$7</f>
        <v>0.30267272096413911</v>
      </c>
      <c r="F15" s="6"/>
      <c r="G15" s="8">
        <f>+G$7*E15</f>
        <v>8.1721634660317566</v>
      </c>
      <c r="I15" s="11">
        <f>I7-I13</f>
        <v>2561830.091</v>
      </c>
      <c r="K15" s="18">
        <f>I15/I7</f>
        <v>0.38196288813535584</v>
      </c>
      <c r="L15" s="18"/>
      <c r="M15" s="8">
        <f>+M$7*K15</f>
        <v>10.312997979654607</v>
      </c>
    </row>
    <row r="16" spans="1:14" x14ac:dyDescent="0.25">
      <c r="M16" s="8"/>
    </row>
    <row r="17" spans="1:13" x14ac:dyDescent="0.25">
      <c r="M17" s="8"/>
    </row>
    <row r="18" spans="1:13" x14ac:dyDescent="0.25">
      <c r="A18" t="s">
        <v>229</v>
      </c>
    </row>
    <row r="19" spans="1:13" x14ac:dyDescent="0.25">
      <c r="A19" s="128" t="s">
        <v>230</v>
      </c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sqref="A1:IV65536"/>
    </sheetView>
  </sheetViews>
  <sheetFormatPr defaultRowHeight="13.2" x14ac:dyDescent="0.25"/>
  <cols>
    <col min="1" max="1" width="30.44140625" bestFit="1" customWidth="1"/>
    <col min="2" max="2" width="1.88671875" customWidth="1"/>
    <col min="3" max="3" width="10.33203125" bestFit="1" customWidth="1"/>
    <col min="4" max="4" width="1.88671875" customWidth="1"/>
    <col min="5" max="5" width="7.88671875" bestFit="1" customWidth="1"/>
    <col min="6" max="6" width="2.109375" customWidth="1"/>
    <col min="7" max="7" width="5.6640625" customWidth="1"/>
    <col min="8" max="8" width="1.88671875" customWidth="1"/>
    <col min="9" max="9" width="11.33203125" bestFit="1" customWidth="1"/>
    <col min="10" max="10" width="1.88671875" customWidth="1"/>
    <col min="12" max="12" width="1.88671875" customWidth="1"/>
    <col min="13" max="13" width="5.6640625" customWidth="1"/>
    <col min="14" max="14" width="1.88671875" customWidth="1"/>
  </cols>
  <sheetData>
    <row r="1" spans="1:13" ht="15.6" x14ac:dyDescent="0.3">
      <c r="A1" s="229" t="s">
        <v>90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2"/>
      <c r="M1" s="222"/>
    </row>
    <row r="2" spans="1:13" x14ac:dyDescent="0.25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</row>
    <row r="4" spans="1:13" x14ac:dyDescent="0.25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3" x14ac:dyDescent="0.25">
      <c r="C5" s="3" t="s">
        <v>4</v>
      </c>
      <c r="D5" s="2"/>
      <c r="E5" s="3" t="s">
        <v>5</v>
      </c>
      <c r="F5" s="4"/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3" x14ac:dyDescent="0.25">
      <c r="A7" t="s">
        <v>7</v>
      </c>
      <c r="C7" s="5">
        <v>2235120</v>
      </c>
      <c r="E7" s="6">
        <v>1</v>
      </c>
      <c r="F7" s="6"/>
      <c r="G7">
        <v>10</v>
      </c>
      <c r="I7" s="5">
        <v>2368744</v>
      </c>
      <c r="K7" s="6">
        <f>SUM(K9:K16)-K14</f>
        <v>1.0000000000000002</v>
      </c>
      <c r="L7" s="6"/>
      <c r="M7">
        <v>10</v>
      </c>
    </row>
    <row r="8" spans="1:13" x14ac:dyDescent="0.25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3" x14ac:dyDescent="0.25">
      <c r="A9" t="s">
        <v>9</v>
      </c>
      <c r="C9" s="11">
        <v>302800</v>
      </c>
      <c r="E9" s="24">
        <f>C9/$C$7</f>
        <v>0.13547371058377178</v>
      </c>
      <c r="F9" s="6"/>
      <c r="G9" s="8">
        <f>+G$7*E9</f>
        <v>1.3547371058377178</v>
      </c>
      <c r="I9" s="11">
        <v>473749</v>
      </c>
      <c r="K9" s="6">
        <f t="shared" ref="K9:K14" si="0">I9/$I$7</f>
        <v>0.20000008443293155</v>
      </c>
      <c r="L9" s="6"/>
      <c r="M9" s="74">
        <f>+M$7*K9</f>
        <v>2.0000008443293154</v>
      </c>
    </row>
    <row r="10" spans="1:13" x14ac:dyDescent="0.25">
      <c r="A10" t="s">
        <v>10</v>
      </c>
      <c r="C10" s="11">
        <v>302800</v>
      </c>
      <c r="E10" s="24">
        <f>C10/$C$7</f>
        <v>0.13547371058377178</v>
      </c>
      <c r="F10" s="6"/>
      <c r="G10" s="8">
        <f>+G$7*E10</f>
        <v>1.3547371058377178</v>
      </c>
      <c r="I10" s="11">
        <v>473749</v>
      </c>
      <c r="K10" s="6">
        <f t="shared" si="0"/>
        <v>0.20000008443293155</v>
      </c>
      <c r="L10" s="6"/>
      <c r="M10" s="74">
        <f>+M$7*K10</f>
        <v>2.0000008443293154</v>
      </c>
    </row>
    <row r="11" spans="1:13" x14ac:dyDescent="0.25">
      <c r="A11" t="s">
        <v>18</v>
      </c>
      <c r="C11" s="11">
        <v>100933</v>
      </c>
      <c r="E11" s="24">
        <f>C11/$C$7</f>
        <v>4.5157754393500123E-2</v>
      </c>
      <c r="F11" s="6"/>
      <c r="G11" s="71">
        <f>+G$7*E11+0.1</f>
        <v>0.55157754393500125</v>
      </c>
      <c r="I11" s="11">
        <v>473749</v>
      </c>
      <c r="K11" s="6">
        <f t="shared" si="0"/>
        <v>0.20000008443293155</v>
      </c>
      <c r="L11" s="6"/>
      <c r="M11" s="74">
        <f>+M$7*K11</f>
        <v>2.0000008443293154</v>
      </c>
    </row>
    <row r="12" spans="1:13" x14ac:dyDescent="0.25">
      <c r="A12" t="s">
        <v>11</v>
      </c>
      <c r="C12" s="11">
        <v>0</v>
      </c>
      <c r="E12" s="24">
        <v>0</v>
      </c>
      <c r="F12" s="6"/>
      <c r="G12" s="8">
        <f>+G$7*E12</f>
        <v>0</v>
      </c>
      <c r="I12" s="11">
        <v>118437</v>
      </c>
      <c r="K12" s="6">
        <f t="shared" si="0"/>
        <v>4.9999915567068454E-2</v>
      </c>
      <c r="L12" s="6"/>
      <c r="M12" s="74">
        <f>+M$7*K12</f>
        <v>0.49999915567068454</v>
      </c>
    </row>
    <row r="13" spans="1:13" x14ac:dyDescent="0.25">
      <c r="A13" t="s">
        <v>24</v>
      </c>
      <c r="C13" s="13">
        <v>0</v>
      </c>
      <c r="E13" s="27">
        <f>C13/$C$7</f>
        <v>0</v>
      </c>
      <c r="F13" s="15"/>
      <c r="G13" s="16">
        <f>+G$7*E13</f>
        <v>0</v>
      </c>
      <c r="I13" s="13">
        <v>118437</v>
      </c>
      <c r="K13" s="14">
        <f t="shared" si="0"/>
        <v>4.9999915567068454E-2</v>
      </c>
      <c r="L13" s="15"/>
      <c r="M13" s="75">
        <f>+M$7*K13</f>
        <v>0.49999915567068454</v>
      </c>
    </row>
    <row r="14" spans="1:13" x14ac:dyDescent="0.25">
      <c r="A14" t="s">
        <v>13</v>
      </c>
      <c r="C14" s="11">
        <f>SUM(C9:C13)</f>
        <v>706533</v>
      </c>
      <c r="E14" s="24">
        <f>C14/$C$7+0.01</f>
        <v>0.32610517556104374</v>
      </c>
      <c r="F14" s="6"/>
      <c r="G14" s="60">
        <f>SUM(G9:G13)</f>
        <v>3.2610517556104366</v>
      </c>
      <c r="I14" s="11">
        <f>SUM(I9:I13)</f>
        <v>1658121</v>
      </c>
      <c r="K14" s="6">
        <f t="shared" si="0"/>
        <v>0.70000008443293149</v>
      </c>
      <c r="L14" s="6"/>
      <c r="M14" s="8">
        <f>SUM(M9:M13)</f>
        <v>7.000000844329314</v>
      </c>
    </row>
    <row r="15" spans="1:13" x14ac:dyDescent="0.25">
      <c r="C15" s="11"/>
      <c r="E15" s="72"/>
      <c r="G15" s="60"/>
      <c r="I15" s="11"/>
      <c r="M15" s="8"/>
    </row>
    <row r="16" spans="1:13" x14ac:dyDescent="0.25">
      <c r="A16" t="s">
        <v>14</v>
      </c>
      <c r="C16" s="5">
        <f>C7-C14</f>
        <v>1528587</v>
      </c>
      <c r="E16" s="24">
        <f>+C16/C7-0.01</f>
        <v>0.67389482443895632</v>
      </c>
      <c r="F16" s="6"/>
      <c r="G16" s="8">
        <f>+G$7*E16</f>
        <v>6.7389482443895634</v>
      </c>
      <c r="I16" s="11">
        <f>I7-I14</f>
        <v>710623</v>
      </c>
      <c r="K16" s="18">
        <f>I16/I7</f>
        <v>0.29999991556706845</v>
      </c>
      <c r="L16" s="18"/>
      <c r="M16" s="8">
        <f>+M$7*K16</f>
        <v>2.9999991556706846</v>
      </c>
    </row>
    <row r="17" spans="1:13" x14ac:dyDescent="0.25">
      <c r="G17" s="60"/>
      <c r="M17" s="8"/>
    </row>
    <row r="18" spans="1:13" x14ac:dyDescent="0.25">
      <c r="G18" s="60"/>
      <c r="M18" s="8"/>
    </row>
    <row r="19" spans="1:13" x14ac:dyDescent="0.25">
      <c r="A19" t="s">
        <v>229</v>
      </c>
      <c r="G19" s="60"/>
      <c r="M19" s="8"/>
    </row>
    <row r="20" spans="1:13" x14ac:dyDescent="0.25">
      <c r="A20" s="128" t="s">
        <v>230</v>
      </c>
      <c r="G20" s="60"/>
      <c r="M20" s="60"/>
    </row>
    <row r="21" spans="1:13" x14ac:dyDescent="0.25">
      <c r="G21" s="60"/>
      <c r="M21" s="20"/>
    </row>
    <row r="22" spans="1:13" x14ac:dyDescent="0.25">
      <c r="G22" s="60"/>
      <c r="M22" s="8"/>
    </row>
    <row r="23" spans="1:13" x14ac:dyDescent="0.25">
      <c r="G23" s="60"/>
      <c r="M23" s="8"/>
    </row>
    <row r="24" spans="1:13" x14ac:dyDescent="0.25">
      <c r="G24" s="60"/>
      <c r="M24" s="8"/>
    </row>
    <row r="25" spans="1:13" x14ac:dyDescent="0.25">
      <c r="G25" s="8"/>
      <c r="M25" s="8"/>
    </row>
    <row r="27" spans="1:13" x14ac:dyDescent="0.25">
      <c r="G27" s="11"/>
      <c r="M27" s="11"/>
    </row>
    <row r="28" spans="1:13" x14ac:dyDescent="0.25">
      <c r="G28" s="11"/>
      <c r="M28" s="11"/>
    </row>
    <row r="29" spans="1:13" x14ac:dyDescent="0.25">
      <c r="G29" s="11"/>
      <c r="M29" s="11"/>
    </row>
    <row r="30" spans="1:13" x14ac:dyDescent="0.25">
      <c r="G30" s="11"/>
      <c r="M30" s="11"/>
    </row>
    <row r="31" spans="1:13" x14ac:dyDescent="0.25">
      <c r="G31" s="11"/>
      <c r="M31" s="11"/>
    </row>
    <row r="32" spans="1:13" x14ac:dyDescent="0.25">
      <c r="G32" s="11"/>
      <c r="M32" s="11"/>
    </row>
    <row r="33" spans="7:13" x14ac:dyDescent="0.25">
      <c r="G33" s="11"/>
      <c r="M33" s="11"/>
    </row>
    <row r="34" spans="7:13" x14ac:dyDescent="0.25">
      <c r="G34" s="11"/>
      <c r="M34" s="11"/>
    </row>
    <row r="35" spans="7:13" x14ac:dyDescent="0.25">
      <c r="G35" s="11"/>
      <c r="M35" s="11"/>
    </row>
    <row r="36" spans="7:13" x14ac:dyDescent="0.25">
      <c r="G36" s="11"/>
      <c r="M36" s="11"/>
    </row>
    <row r="37" spans="7:13" x14ac:dyDescent="0.25">
      <c r="G37" s="5"/>
      <c r="M37" s="5"/>
    </row>
    <row r="38" spans="7:13" x14ac:dyDescent="0.25">
      <c r="G38" s="11"/>
      <c r="M38" s="11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sqref="A1:IV65536"/>
    </sheetView>
  </sheetViews>
  <sheetFormatPr defaultRowHeight="13.2" x14ac:dyDescent="0.25"/>
  <cols>
    <col min="1" max="1" width="30.44140625" bestFit="1" customWidth="1"/>
    <col min="2" max="2" width="2" customWidth="1"/>
    <col min="3" max="3" width="10.33203125" bestFit="1" customWidth="1"/>
    <col min="4" max="4" width="2" customWidth="1"/>
    <col min="5" max="5" width="8.88671875" customWidth="1"/>
    <col min="6" max="6" width="2.33203125" customWidth="1"/>
    <col min="7" max="7" width="5.6640625" customWidth="1"/>
    <col min="8" max="8" width="2" customWidth="1"/>
    <col min="9" max="9" width="12.88671875" bestFit="1" customWidth="1"/>
    <col min="10" max="10" width="2" customWidth="1"/>
    <col min="12" max="12" width="2.109375" customWidth="1"/>
    <col min="13" max="13" width="6.33203125" customWidth="1"/>
    <col min="14" max="14" width="2" customWidth="1"/>
  </cols>
  <sheetData>
    <row r="1" spans="1:13" ht="15.6" x14ac:dyDescent="0.3">
      <c r="A1" s="229" t="s">
        <v>91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2"/>
      <c r="M1" s="222"/>
    </row>
    <row r="2" spans="1:13" x14ac:dyDescent="0.25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</row>
    <row r="4" spans="1:13" x14ac:dyDescent="0.25">
      <c r="C4" s="230" t="s">
        <v>2</v>
      </c>
      <c r="D4" s="230"/>
      <c r="E4" s="230"/>
      <c r="F4" s="222"/>
      <c r="G4" s="222"/>
      <c r="I4" s="223" t="s">
        <v>3</v>
      </c>
      <c r="J4" s="223"/>
      <c r="K4" s="223"/>
      <c r="L4" s="223"/>
      <c r="M4" s="223"/>
    </row>
    <row r="5" spans="1:13" x14ac:dyDescent="0.25">
      <c r="C5" s="22" t="s">
        <v>4</v>
      </c>
      <c r="D5" s="2"/>
      <c r="E5" s="22" t="s">
        <v>5</v>
      </c>
      <c r="F5" s="4"/>
      <c r="G5" s="22" t="s">
        <v>6</v>
      </c>
      <c r="I5" s="3" t="s">
        <v>4</v>
      </c>
      <c r="J5" s="2"/>
      <c r="K5" s="3" t="s">
        <v>5</v>
      </c>
      <c r="L5" s="4"/>
      <c r="M5" s="22" t="s">
        <v>6</v>
      </c>
    </row>
    <row r="7" spans="1:13" x14ac:dyDescent="0.25">
      <c r="A7" t="s">
        <v>7</v>
      </c>
      <c r="C7" s="76">
        <v>8626794</v>
      </c>
      <c r="E7" s="6">
        <f>SUM(E9:E21)-E19-0.01</f>
        <v>0.99550000000000005</v>
      </c>
      <c r="F7" s="6"/>
      <c r="G7">
        <v>53</v>
      </c>
      <c r="I7" s="5">
        <v>13032023</v>
      </c>
      <c r="K7" s="6">
        <f>SUM(K9:K21)-K19</f>
        <v>0.99999999999999978</v>
      </c>
      <c r="L7" s="6"/>
      <c r="M7">
        <v>67</v>
      </c>
    </row>
    <row r="8" spans="1:13" x14ac:dyDescent="0.25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3" x14ac:dyDescent="0.25">
      <c r="A9" t="s">
        <v>92</v>
      </c>
      <c r="C9" s="11">
        <v>748754</v>
      </c>
      <c r="E9" s="24">
        <f t="shared" ref="E9:E19" si="0">C9/$C$7</f>
        <v>8.6794004818012346E-2</v>
      </c>
      <c r="F9" s="6"/>
      <c r="G9" s="77">
        <f>+G$7*E9-0.11</f>
        <v>4.490082255354654</v>
      </c>
      <c r="I9" s="11">
        <v>2867045</v>
      </c>
      <c r="K9" s="6">
        <f t="shared" ref="K9:K19" si="1">I9/$I$7</f>
        <v>0.21999999539595655</v>
      </c>
      <c r="L9" s="6"/>
      <c r="M9" s="8">
        <f>+M$7*K9</f>
        <v>14.739999691529089</v>
      </c>
    </row>
    <row r="10" spans="1:13" x14ac:dyDescent="0.25">
      <c r="A10" t="s">
        <v>12</v>
      </c>
      <c r="C10" s="11">
        <v>1316177</v>
      </c>
      <c r="E10" s="24">
        <f>C10/$C$7+0.005</f>
        <v>0.15756849763654956</v>
      </c>
      <c r="F10" s="6"/>
      <c r="G10" s="8">
        <f t="shared" ref="G10:G18" si="2">+G$7*E10</f>
        <v>8.3511303747371262</v>
      </c>
      <c r="I10" s="11">
        <v>2085124</v>
      </c>
      <c r="K10" s="6">
        <f t="shared" si="1"/>
        <v>0.16000002455489834</v>
      </c>
      <c r="L10" s="6"/>
      <c r="M10" s="8">
        <f t="shared" ref="M10:M18" si="3">+M$7*K10</f>
        <v>10.720001645178188</v>
      </c>
    </row>
    <row r="11" spans="1:13" x14ac:dyDescent="0.25">
      <c r="A11" t="s">
        <v>93</v>
      </c>
      <c r="C11" s="21">
        <v>485000</v>
      </c>
      <c r="E11" s="30">
        <f t="shared" si="0"/>
        <v>5.6220190258397265E-2</v>
      </c>
      <c r="F11" s="15"/>
      <c r="G11" s="8">
        <f t="shared" si="2"/>
        <v>2.9796700836950549</v>
      </c>
      <c r="I11" s="65">
        <v>651601</v>
      </c>
      <c r="K11" s="15">
        <f t="shared" si="1"/>
        <v>4.99999884898914E-2</v>
      </c>
      <c r="L11" s="15"/>
      <c r="M11" s="8">
        <f t="shared" si="3"/>
        <v>3.3499992288227238</v>
      </c>
    </row>
    <row r="12" spans="1:13" x14ac:dyDescent="0.25">
      <c r="A12" t="s">
        <v>23</v>
      </c>
      <c r="C12" s="11">
        <v>233986</v>
      </c>
      <c r="E12" s="30">
        <f t="shared" si="0"/>
        <v>2.7123169974848132E-2</v>
      </c>
      <c r="F12" s="15"/>
      <c r="G12" s="8">
        <f t="shared" si="2"/>
        <v>1.4375280086669511</v>
      </c>
      <c r="I12" s="65">
        <v>260640</v>
      </c>
      <c r="K12" s="15">
        <f t="shared" si="1"/>
        <v>1.9999964702333627E-2</v>
      </c>
      <c r="L12" s="15"/>
      <c r="M12" s="8">
        <f t="shared" si="3"/>
        <v>1.3399976350563529</v>
      </c>
    </row>
    <row r="13" spans="1:13" x14ac:dyDescent="0.25">
      <c r="A13" t="s">
        <v>94</v>
      </c>
      <c r="C13" s="11">
        <v>116999</v>
      </c>
      <c r="E13" s="24">
        <f t="shared" si="0"/>
        <v>1.3562280494932416E-2</v>
      </c>
      <c r="F13" s="6"/>
      <c r="G13" s="8">
        <f t="shared" si="2"/>
        <v>0.71880086623141803</v>
      </c>
      <c r="I13" s="11">
        <v>0</v>
      </c>
      <c r="K13" s="6">
        <f t="shared" si="1"/>
        <v>0</v>
      </c>
      <c r="L13" s="6"/>
      <c r="M13" s="8">
        <f t="shared" si="3"/>
        <v>0</v>
      </c>
    </row>
    <row r="14" spans="1:13" x14ac:dyDescent="0.25">
      <c r="A14" t="s">
        <v>95</v>
      </c>
      <c r="C14" s="11">
        <v>116999</v>
      </c>
      <c r="E14" s="24">
        <f t="shared" si="0"/>
        <v>1.3562280494932416E-2</v>
      </c>
      <c r="F14" s="6"/>
      <c r="G14" s="8">
        <f t="shared" si="2"/>
        <v>0.71880086623141803</v>
      </c>
      <c r="I14" s="11">
        <v>0</v>
      </c>
      <c r="K14" s="6">
        <f t="shared" si="1"/>
        <v>0</v>
      </c>
      <c r="L14" s="6"/>
      <c r="M14" s="8">
        <f t="shared" si="3"/>
        <v>0</v>
      </c>
    </row>
    <row r="15" spans="1:13" x14ac:dyDescent="0.25">
      <c r="A15" t="s">
        <v>11</v>
      </c>
      <c r="C15" s="11">
        <v>1335671</v>
      </c>
      <c r="E15" s="24">
        <f>C15/$C$7</f>
        <v>0.15482820153118296</v>
      </c>
      <c r="F15" s="6"/>
      <c r="G15" s="8">
        <f t="shared" si="2"/>
        <v>8.2058946811526976</v>
      </c>
      <c r="I15" s="11">
        <f>+I7*0.15</f>
        <v>1954803.45</v>
      </c>
      <c r="K15" s="6">
        <f t="shared" si="1"/>
        <v>0.15</v>
      </c>
      <c r="L15" s="6"/>
      <c r="M15" s="8">
        <f t="shared" si="3"/>
        <v>10.049999999999999</v>
      </c>
    </row>
    <row r="16" spans="1:13" x14ac:dyDescent="0.25">
      <c r="A16" t="s">
        <v>96</v>
      </c>
      <c r="C16" s="11">
        <v>97493</v>
      </c>
      <c r="E16" s="24">
        <f t="shared" si="0"/>
        <v>1.1301185585282319E-2</v>
      </c>
      <c r="F16" s="6"/>
      <c r="G16" s="8">
        <f t="shared" si="2"/>
        <v>0.59896283601996292</v>
      </c>
      <c r="I16" s="11">
        <v>0</v>
      </c>
      <c r="K16" s="6">
        <f t="shared" si="1"/>
        <v>0</v>
      </c>
      <c r="L16" s="6"/>
      <c r="M16" s="8">
        <f t="shared" si="3"/>
        <v>0</v>
      </c>
    </row>
    <row r="17" spans="1:13" x14ac:dyDescent="0.25">
      <c r="A17" t="s">
        <v>9</v>
      </c>
      <c r="C17" s="11">
        <v>1745150</v>
      </c>
      <c r="E17" s="24">
        <f>C17/$C$7+0.0005</f>
        <v>0.20279415469988041</v>
      </c>
      <c r="F17" s="6"/>
      <c r="G17" s="8">
        <f t="shared" si="2"/>
        <v>10.748090199093662</v>
      </c>
      <c r="I17" s="11">
        <f>+I7*0.2</f>
        <v>2606404.6</v>
      </c>
      <c r="K17" s="6">
        <f t="shared" si="1"/>
        <v>0.2</v>
      </c>
      <c r="L17" s="6"/>
      <c r="M17" s="8">
        <f>+M$7*K17+0.11</f>
        <v>13.51</v>
      </c>
    </row>
    <row r="18" spans="1:13" x14ac:dyDescent="0.25">
      <c r="A18" t="s">
        <v>97</v>
      </c>
      <c r="C18" s="13">
        <v>116999</v>
      </c>
      <c r="E18" s="27">
        <f t="shared" si="0"/>
        <v>1.3562280494932416E-2</v>
      </c>
      <c r="F18" s="15"/>
      <c r="G18" s="16">
        <f t="shared" si="2"/>
        <v>0.71880086623141803</v>
      </c>
      <c r="I18" s="13">
        <v>0</v>
      </c>
      <c r="K18" s="14">
        <f t="shared" si="1"/>
        <v>0</v>
      </c>
      <c r="L18" s="15"/>
      <c r="M18" s="16">
        <f t="shared" si="3"/>
        <v>0</v>
      </c>
    </row>
    <row r="19" spans="1:13" x14ac:dyDescent="0.25">
      <c r="A19" t="s">
        <v>13</v>
      </c>
      <c r="C19" s="11">
        <f>SUM(C9:C18)</f>
        <v>6313228</v>
      </c>
      <c r="E19" s="6">
        <f t="shared" si="0"/>
        <v>0.73181624598895023</v>
      </c>
      <c r="F19" s="6"/>
      <c r="G19" s="8">
        <f>SUM(G9:G18)</f>
        <v>38.967761037414363</v>
      </c>
      <c r="I19" s="11">
        <f>SUM(I9:I18)</f>
        <v>10425618.050000001</v>
      </c>
      <c r="K19" s="6">
        <f t="shared" si="1"/>
        <v>0.79999997314308002</v>
      </c>
      <c r="L19" s="6"/>
      <c r="M19" s="8">
        <f>SUM(M9:M18)</f>
        <v>53.709998200586355</v>
      </c>
    </row>
    <row r="20" spans="1:13" x14ac:dyDescent="0.25">
      <c r="C20" s="11"/>
      <c r="G20" s="8"/>
      <c r="I20" s="11"/>
      <c r="M20" s="8"/>
    </row>
    <row r="21" spans="1:13" x14ac:dyDescent="0.25">
      <c r="A21" t="s">
        <v>14</v>
      </c>
      <c r="C21" s="5">
        <f>C7-C19</f>
        <v>2313566</v>
      </c>
      <c r="E21" s="6">
        <f>C21/$C$7</f>
        <v>0.26818375401104977</v>
      </c>
      <c r="F21" s="6"/>
      <c r="G21" s="8">
        <f>+G$7*E21</f>
        <v>14.213738962585637</v>
      </c>
      <c r="I21" s="11">
        <f>I7-I19</f>
        <v>2606404.9499999993</v>
      </c>
      <c r="K21" s="18">
        <f>I21/I7</f>
        <v>0.20000002685692</v>
      </c>
      <c r="L21" s="18"/>
      <c r="M21" s="8">
        <f>+M$7*K21</f>
        <v>13.400001799413641</v>
      </c>
    </row>
    <row r="22" spans="1:13" x14ac:dyDescent="0.25">
      <c r="E22" s="18"/>
      <c r="F22" s="18"/>
      <c r="G22" s="8"/>
    </row>
    <row r="23" spans="1:13" x14ac:dyDescent="0.25">
      <c r="G23" s="8"/>
    </row>
    <row r="24" spans="1:13" x14ac:dyDescent="0.25">
      <c r="A24" t="s">
        <v>229</v>
      </c>
    </row>
    <row r="25" spans="1:13" x14ac:dyDescent="0.25">
      <c r="A25" s="128" t="s">
        <v>230</v>
      </c>
      <c r="C25" s="11"/>
      <c r="E25" s="11"/>
      <c r="F25" s="11"/>
      <c r="G25" s="11"/>
      <c r="I25" s="78"/>
    </row>
    <row r="26" spans="1:13" x14ac:dyDescent="0.25">
      <c r="C26" s="11"/>
      <c r="E26" s="11"/>
      <c r="F26" s="11"/>
      <c r="G26" s="11"/>
      <c r="I26" s="78"/>
    </row>
    <row r="27" spans="1:13" x14ac:dyDescent="0.25">
      <c r="C27" s="11"/>
      <c r="E27" s="11"/>
      <c r="F27" s="11"/>
      <c r="G27" s="11"/>
      <c r="I27" s="78"/>
    </row>
    <row r="28" spans="1:13" x14ac:dyDescent="0.25">
      <c r="C28" s="11"/>
      <c r="E28" s="11"/>
      <c r="F28" s="11"/>
      <c r="G28" s="11"/>
      <c r="I28" s="78"/>
    </row>
    <row r="29" spans="1:13" x14ac:dyDescent="0.25">
      <c r="C29" s="11"/>
      <c r="E29" s="11"/>
      <c r="F29" s="11"/>
      <c r="G29" s="11"/>
      <c r="I29" s="78"/>
    </row>
    <row r="30" spans="1:13" x14ac:dyDescent="0.25">
      <c r="C30" s="11"/>
      <c r="E30" s="11"/>
      <c r="F30" s="11"/>
      <c r="G30" s="11"/>
      <c r="I30" s="78"/>
    </row>
    <row r="31" spans="1:13" x14ac:dyDescent="0.25">
      <c r="C31" s="11"/>
      <c r="E31" s="11"/>
      <c r="F31" s="11"/>
      <c r="G31" s="11"/>
      <c r="I31" s="78"/>
    </row>
    <row r="32" spans="1:13" x14ac:dyDescent="0.25">
      <c r="C32" s="11"/>
      <c r="E32" s="11"/>
      <c r="F32" s="11"/>
      <c r="G32" s="11"/>
      <c r="I32" s="78"/>
    </row>
    <row r="33" spans="3:9" x14ac:dyDescent="0.25">
      <c r="C33" s="11"/>
      <c r="E33" s="11"/>
      <c r="F33" s="11"/>
      <c r="G33" s="11"/>
      <c r="I33" s="78"/>
    </row>
    <row r="34" spans="3:9" x14ac:dyDescent="0.25">
      <c r="C34" s="11"/>
      <c r="E34" s="11"/>
      <c r="F34" s="11"/>
      <c r="G34" s="11"/>
      <c r="I34" s="78"/>
    </row>
    <row r="35" spans="3:9" x14ac:dyDescent="0.25">
      <c r="C35" s="52"/>
      <c r="E35" s="5"/>
      <c r="F35" s="5"/>
      <c r="G35" s="5"/>
      <c r="I35" s="11"/>
    </row>
    <row r="36" spans="3:9" x14ac:dyDescent="0.25">
      <c r="C36" s="11"/>
      <c r="E36" s="11"/>
      <c r="F36" s="11"/>
      <c r="G36" s="11"/>
    </row>
    <row r="37" spans="3:9" x14ac:dyDescent="0.25">
      <c r="C37" s="11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IV65536"/>
    </sheetView>
  </sheetViews>
  <sheetFormatPr defaultRowHeight="13.2" x14ac:dyDescent="0.25"/>
  <cols>
    <col min="1" max="1" width="30.44140625" bestFit="1" customWidth="1"/>
    <col min="2" max="2" width="1.5546875" customWidth="1"/>
    <col min="3" max="3" width="10.33203125" bestFit="1" customWidth="1"/>
    <col min="4" max="4" width="1.5546875" customWidth="1"/>
    <col min="5" max="5" width="11.88671875" customWidth="1"/>
    <col min="6" max="6" width="1.88671875" customWidth="1"/>
    <col min="7" max="7" width="7.33203125" customWidth="1"/>
    <col min="8" max="8" width="1.5546875" customWidth="1"/>
    <col min="9" max="9" width="11.33203125" bestFit="1" customWidth="1"/>
    <col min="10" max="10" width="1.5546875" customWidth="1"/>
    <col min="11" max="11" width="8.33203125" customWidth="1"/>
    <col min="12" max="12" width="1.5546875" customWidth="1"/>
    <col min="13" max="13" width="8.33203125" customWidth="1"/>
    <col min="14" max="14" width="1.5546875" customWidth="1"/>
  </cols>
  <sheetData>
    <row r="1" spans="1:14" ht="15.6" x14ac:dyDescent="0.3">
      <c r="A1" s="220" t="s">
        <v>98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1"/>
    </row>
    <row r="2" spans="1:14" x14ac:dyDescent="0.25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1"/>
    </row>
    <row r="4" spans="1:14" x14ac:dyDescent="0.25">
      <c r="C4" s="230" t="s">
        <v>2</v>
      </c>
      <c r="D4" s="230"/>
      <c r="E4" s="230"/>
      <c r="F4" s="222"/>
      <c r="G4" s="222"/>
      <c r="I4" s="230" t="s">
        <v>3</v>
      </c>
      <c r="J4" s="230"/>
      <c r="K4" s="230"/>
      <c r="L4" s="222"/>
      <c r="M4" s="222"/>
    </row>
    <row r="5" spans="1:14" x14ac:dyDescent="0.25">
      <c r="C5" s="22" t="s">
        <v>4</v>
      </c>
      <c r="D5" s="2"/>
      <c r="E5" s="22" t="s">
        <v>5</v>
      </c>
      <c r="F5" s="4"/>
      <c r="G5" s="22" t="s">
        <v>6</v>
      </c>
      <c r="I5" s="22" t="s">
        <v>4</v>
      </c>
      <c r="J5" s="2"/>
      <c r="K5" s="22" t="s">
        <v>5</v>
      </c>
      <c r="L5" s="4"/>
      <c r="M5" s="22" t="s">
        <v>6</v>
      </c>
    </row>
    <row r="7" spans="1:14" x14ac:dyDescent="0.25">
      <c r="A7" t="s">
        <v>20</v>
      </c>
      <c r="C7" s="5">
        <v>4568113</v>
      </c>
      <c r="E7" s="6">
        <f>+E15+E17</f>
        <v>0.99697999999999998</v>
      </c>
      <c r="F7" s="6"/>
      <c r="G7">
        <v>33</v>
      </c>
      <c r="I7" s="5">
        <v>4735596</v>
      </c>
      <c r="K7" s="6">
        <f>+K17+K15</f>
        <v>1</v>
      </c>
      <c r="L7" s="6"/>
      <c r="M7">
        <v>24</v>
      </c>
    </row>
    <row r="8" spans="1:14" x14ac:dyDescent="0.25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4" x14ac:dyDescent="0.25">
      <c r="A9" t="s">
        <v>99</v>
      </c>
      <c r="C9" s="11">
        <v>259108</v>
      </c>
      <c r="E9" s="24">
        <f>+C9/$C$7-0.00072</f>
        <v>5.6001013687708691E-2</v>
      </c>
      <c r="F9" s="6"/>
      <c r="G9" s="8">
        <f>+G$7*E9</f>
        <v>1.8480334516943868</v>
      </c>
      <c r="I9" s="11">
        <v>236780</v>
      </c>
      <c r="K9" s="6">
        <f>+I9/I7</f>
        <v>5.0000042233332403E-2</v>
      </c>
      <c r="L9" s="6"/>
      <c r="M9" s="8">
        <f>+M$7*K9</f>
        <v>1.2000010135999777</v>
      </c>
    </row>
    <row r="10" spans="1:14" x14ac:dyDescent="0.25">
      <c r="A10" t="s">
        <v>9</v>
      </c>
      <c r="C10" s="11">
        <v>621855</v>
      </c>
      <c r="E10" s="24">
        <f>+C10/$C$7-0.0023</f>
        <v>0.13382951343366506</v>
      </c>
      <c r="F10" s="6"/>
      <c r="G10" s="8">
        <f t="shared" ref="G10:G17" si="0">+G$7*E10</f>
        <v>4.4163739433109468</v>
      </c>
      <c r="I10" s="11">
        <v>1420679</v>
      </c>
      <c r="K10" s="6">
        <f>+I10/I7</f>
        <v>0.30000004223333243</v>
      </c>
      <c r="L10" s="6"/>
      <c r="M10" s="8">
        <f>+M$7*K10+0.3</f>
        <v>7.5000010135999782</v>
      </c>
    </row>
    <row r="11" spans="1:14" x14ac:dyDescent="0.25">
      <c r="A11" t="s">
        <v>10</v>
      </c>
      <c r="C11" s="11">
        <v>362751</v>
      </c>
      <c r="E11" s="24">
        <f>+C11/$C$7</f>
        <v>7.940937538103808E-2</v>
      </c>
      <c r="F11" s="6"/>
      <c r="G11" s="8">
        <f t="shared" si="0"/>
        <v>2.6205093875742564</v>
      </c>
      <c r="I11" s="11">
        <v>710339</v>
      </c>
      <c r="K11" s="6">
        <f>+I11/I7</f>
        <v>0.14999991553333519</v>
      </c>
      <c r="L11" s="6"/>
      <c r="M11" s="8">
        <f t="shared" ref="M11:M17" si="1">+M$7*K11</f>
        <v>3.5999979728000446</v>
      </c>
    </row>
    <row r="12" spans="1:14" x14ac:dyDescent="0.25">
      <c r="A12" t="s">
        <v>18</v>
      </c>
      <c r="C12" s="11">
        <v>518213</v>
      </c>
      <c r="E12" s="24">
        <f>+C12/$C$7</f>
        <v>0.1134413706491061</v>
      </c>
      <c r="F12" s="6"/>
      <c r="G12" s="8">
        <f>+G$7*E12-0.5</f>
        <v>3.2435652314205012</v>
      </c>
      <c r="I12" s="11">
        <v>236780</v>
      </c>
      <c r="K12" s="6">
        <f>+I12/I7</f>
        <v>5.0000042233332403E-2</v>
      </c>
      <c r="L12" s="6"/>
      <c r="M12" s="8">
        <f t="shared" si="1"/>
        <v>1.2000010135999777</v>
      </c>
    </row>
    <row r="13" spans="1:14" x14ac:dyDescent="0.25">
      <c r="A13" t="s">
        <v>84</v>
      </c>
      <c r="C13" s="11">
        <v>25910</v>
      </c>
      <c r="E13" s="24">
        <f>+C13/$C$7</f>
        <v>5.6719262417545277E-3</v>
      </c>
      <c r="F13" s="6"/>
      <c r="G13" s="8">
        <f t="shared" si="0"/>
        <v>0.18717356597789941</v>
      </c>
      <c r="I13" s="11">
        <v>47356</v>
      </c>
      <c r="K13" s="6">
        <f>+I13/I7</f>
        <v>1.0000008446666481E-2</v>
      </c>
      <c r="L13" s="6"/>
      <c r="M13" s="8">
        <f t="shared" si="1"/>
        <v>0.24000020271999556</v>
      </c>
    </row>
    <row r="14" spans="1:14" x14ac:dyDescent="0.25">
      <c r="A14" t="s">
        <v>21</v>
      </c>
      <c r="C14" s="13">
        <v>350400</v>
      </c>
      <c r="E14" s="27">
        <f>+C14/$C$7</f>
        <v>7.670563315749851E-2</v>
      </c>
      <c r="F14" s="15"/>
      <c r="G14" s="16">
        <f t="shared" si="0"/>
        <v>2.5312858941974508</v>
      </c>
      <c r="I14" s="13">
        <v>473560</v>
      </c>
      <c r="K14" s="14">
        <f>+I14/I7</f>
        <v>0.10000008446666481</v>
      </c>
      <c r="L14" s="6"/>
      <c r="M14" s="16">
        <f t="shared" si="1"/>
        <v>2.4000020271999554</v>
      </c>
    </row>
    <row r="15" spans="1:14" x14ac:dyDescent="0.25">
      <c r="A15" s="29" t="s">
        <v>13</v>
      </c>
      <c r="C15" s="11">
        <f>SUM(C9:C14)</f>
        <v>2138237</v>
      </c>
      <c r="E15" s="24">
        <f>SUM(E9:E14)</f>
        <v>0.46505883255077096</v>
      </c>
      <c r="F15" s="6"/>
      <c r="G15" s="8">
        <f>SUM(G9:G14)</f>
        <v>14.846941474175441</v>
      </c>
      <c r="I15" s="11">
        <f>SUM(I9:I14)</f>
        <v>3125494</v>
      </c>
      <c r="K15" s="6">
        <f>SUM(K9:K14)</f>
        <v>0.66000013514666378</v>
      </c>
      <c r="L15" s="6"/>
      <c r="M15" s="8">
        <f>SUM(M9:M14)</f>
        <v>16.140003243519931</v>
      </c>
    </row>
    <row r="16" spans="1:14" x14ac:dyDescent="0.25">
      <c r="C16" s="11"/>
      <c r="I16" s="11"/>
    </row>
    <row r="17" spans="1:13" x14ac:dyDescent="0.25">
      <c r="A17" s="29" t="s">
        <v>14</v>
      </c>
      <c r="C17" s="5">
        <f>+C7-C15</f>
        <v>2429876</v>
      </c>
      <c r="E17" s="6">
        <f>+C17/$C$7</f>
        <v>0.53192116744922902</v>
      </c>
      <c r="F17" s="6"/>
      <c r="G17" s="8">
        <f t="shared" si="0"/>
        <v>17.553398525824559</v>
      </c>
      <c r="I17" s="11">
        <f>+I7-I15</f>
        <v>1610102</v>
      </c>
      <c r="K17" s="18">
        <f>+I17/$I$7</f>
        <v>0.33999986485333633</v>
      </c>
      <c r="L17" s="18"/>
      <c r="M17" s="8">
        <f t="shared" si="1"/>
        <v>8.1599967564800728</v>
      </c>
    </row>
    <row r="20" spans="1:13" x14ac:dyDescent="0.25">
      <c r="A20" t="s">
        <v>229</v>
      </c>
    </row>
    <row r="21" spans="1:13" x14ac:dyDescent="0.25">
      <c r="A21" s="128" t="s">
        <v>230</v>
      </c>
    </row>
    <row r="23" spans="1:13" x14ac:dyDescent="0.25">
      <c r="A23" s="79"/>
      <c r="C23" s="80"/>
      <c r="E23" s="79"/>
      <c r="F23" s="79"/>
      <c r="G23" s="79"/>
    </row>
    <row r="24" spans="1:13" x14ac:dyDescent="0.25">
      <c r="C24" s="80"/>
      <c r="E24" s="79"/>
      <c r="F24" s="79"/>
      <c r="G24" s="79"/>
    </row>
    <row r="25" spans="1:13" x14ac:dyDescent="0.25">
      <c r="C25" s="80"/>
      <c r="E25" s="79"/>
      <c r="F25" s="79"/>
      <c r="G25" s="79"/>
    </row>
    <row r="26" spans="1:13" x14ac:dyDescent="0.25">
      <c r="C26" s="80"/>
      <c r="E26" s="79"/>
      <c r="F26" s="79"/>
      <c r="G26" s="79"/>
    </row>
    <row r="27" spans="1:13" x14ac:dyDescent="0.25">
      <c r="C27" s="80"/>
      <c r="E27" s="79"/>
      <c r="F27" s="79"/>
      <c r="G27" s="79"/>
    </row>
    <row r="28" spans="1:13" x14ac:dyDescent="0.25">
      <c r="C28" s="80"/>
      <c r="E28" s="79"/>
      <c r="F28" s="79"/>
      <c r="G28" s="79"/>
    </row>
    <row r="29" spans="1:13" x14ac:dyDescent="0.25">
      <c r="C29" s="80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IV65536"/>
    </sheetView>
  </sheetViews>
  <sheetFormatPr defaultRowHeight="13.2" x14ac:dyDescent="0.25"/>
  <cols>
    <col min="1" max="1" width="30.44140625" bestFit="1" customWidth="1"/>
    <col min="2" max="2" width="1.5546875" customWidth="1"/>
    <col min="3" max="3" width="10.33203125" bestFit="1" customWidth="1"/>
    <col min="4" max="4" width="1.5546875" customWidth="1"/>
    <col min="5" max="5" width="11.88671875" customWidth="1"/>
    <col min="6" max="6" width="1.88671875" customWidth="1"/>
    <col min="7" max="7" width="7.33203125" customWidth="1"/>
    <col min="8" max="8" width="1.5546875" customWidth="1"/>
    <col min="9" max="9" width="11.33203125" bestFit="1" customWidth="1"/>
    <col min="10" max="10" width="1.5546875" customWidth="1"/>
    <col min="11" max="11" width="8.33203125" customWidth="1"/>
    <col min="12" max="12" width="1.5546875" customWidth="1"/>
    <col min="13" max="13" width="8.33203125" customWidth="1"/>
    <col min="14" max="14" width="1.5546875" customWidth="1"/>
  </cols>
  <sheetData>
    <row r="1" spans="1:14" ht="15.6" x14ac:dyDescent="0.3">
      <c r="A1" s="220" t="s">
        <v>98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1"/>
    </row>
    <row r="2" spans="1:14" x14ac:dyDescent="0.25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1"/>
    </row>
    <row r="4" spans="1:14" x14ac:dyDescent="0.25">
      <c r="C4" s="230" t="s">
        <v>2</v>
      </c>
      <c r="D4" s="230"/>
      <c r="E4" s="230"/>
      <c r="F4" s="222"/>
      <c r="G4" s="222"/>
      <c r="I4" s="230" t="s">
        <v>3</v>
      </c>
      <c r="J4" s="230"/>
      <c r="K4" s="230"/>
      <c r="L4" s="222"/>
      <c r="M4" s="222"/>
    </row>
    <row r="5" spans="1:14" x14ac:dyDescent="0.25">
      <c r="C5" s="22" t="s">
        <v>4</v>
      </c>
      <c r="D5" s="2"/>
      <c r="E5" s="22" t="s">
        <v>5</v>
      </c>
      <c r="F5" s="4"/>
      <c r="G5" s="22" t="s">
        <v>6</v>
      </c>
      <c r="I5" s="22" t="s">
        <v>4</v>
      </c>
      <c r="J5" s="2"/>
      <c r="K5" s="22" t="s">
        <v>5</v>
      </c>
      <c r="L5" s="4"/>
      <c r="M5" s="22" t="s">
        <v>6</v>
      </c>
    </row>
    <row r="7" spans="1:14" x14ac:dyDescent="0.25">
      <c r="A7" t="s">
        <v>20</v>
      </c>
      <c r="C7" s="5">
        <v>4568113</v>
      </c>
      <c r="E7" s="6">
        <f>+E15+E17</f>
        <v>0.99697999999999998</v>
      </c>
      <c r="F7" s="6"/>
      <c r="G7">
        <v>33</v>
      </c>
      <c r="I7" s="5">
        <v>4735596</v>
      </c>
      <c r="K7" s="6">
        <f>+K17+K15</f>
        <v>1</v>
      </c>
      <c r="L7" s="6"/>
      <c r="M7">
        <v>24</v>
      </c>
    </row>
    <row r="8" spans="1:14" x14ac:dyDescent="0.25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4" x14ac:dyDescent="0.25">
      <c r="A9" t="s">
        <v>99</v>
      </c>
      <c r="C9" s="11">
        <v>259108</v>
      </c>
      <c r="E9" s="24">
        <f>+C9/$C$7-0.00072</f>
        <v>5.6001013687708691E-2</v>
      </c>
      <c r="F9" s="6"/>
      <c r="G9" s="8">
        <f>+G$7*E9</f>
        <v>1.8480334516943868</v>
      </c>
      <c r="I9" s="11">
        <v>236780</v>
      </c>
      <c r="K9" s="6">
        <f>+I9/I7</f>
        <v>5.0000042233332403E-2</v>
      </c>
      <c r="L9" s="6"/>
      <c r="M9" s="8">
        <f>+M$7*K9</f>
        <v>1.2000010135999777</v>
      </c>
    </row>
    <row r="10" spans="1:14" x14ac:dyDescent="0.25">
      <c r="A10" t="s">
        <v>9</v>
      </c>
      <c r="C10" s="11">
        <v>621855</v>
      </c>
      <c r="E10" s="24">
        <f>+C10/$C$7-0.0023</f>
        <v>0.13382951343366506</v>
      </c>
      <c r="F10" s="6"/>
      <c r="G10" s="8">
        <f t="shared" ref="G10:G17" si="0">+G$7*E10</f>
        <v>4.4163739433109468</v>
      </c>
      <c r="I10" s="11">
        <v>1420679</v>
      </c>
      <c r="K10" s="6">
        <f>+I10/I7</f>
        <v>0.30000004223333243</v>
      </c>
      <c r="L10" s="6"/>
      <c r="M10" s="8">
        <f>+M$7*K10+0.3</f>
        <v>7.5000010135999782</v>
      </c>
    </row>
    <row r="11" spans="1:14" x14ac:dyDescent="0.25">
      <c r="A11" t="s">
        <v>10</v>
      </c>
      <c r="C11" s="11">
        <v>362751</v>
      </c>
      <c r="E11" s="24">
        <f>+C11/$C$7</f>
        <v>7.940937538103808E-2</v>
      </c>
      <c r="F11" s="6"/>
      <c r="G11" s="8">
        <f t="shared" si="0"/>
        <v>2.6205093875742564</v>
      </c>
      <c r="I11" s="11">
        <v>710339</v>
      </c>
      <c r="K11" s="6">
        <f>+I11/I7</f>
        <v>0.14999991553333519</v>
      </c>
      <c r="L11" s="6"/>
      <c r="M11" s="8">
        <f t="shared" ref="M11:M17" si="1">+M$7*K11</f>
        <v>3.5999979728000446</v>
      </c>
    </row>
    <row r="12" spans="1:14" x14ac:dyDescent="0.25">
      <c r="A12" t="s">
        <v>18</v>
      </c>
      <c r="C12" s="11">
        <v>518213</v>
      </c>
      <c r="E12" s="24">
        <f>+C12/$C$7</f>
        <v>0.1134413706491061</v>
      </c>
      <c r="F12" s="6"/>
      <c r="G12" s="8">
        <f>+G$7*E12-0.5</f>
        <v>3.2435652314205012</v>
      </c>
      <c r="I12" s="11">
        <v>236780</v>
      </c>
      <c r="K12" s="6">
        <f>+I12/I7</f>
        <v>5.0000042233332403E-2</v>
      </c>
      <c r="L12" s="6"/>
      <c r="M12" s="8">
        <f t="shared" si="1"/>
        <v>1.2000010135999777</v>
      </c>
    </row>
    <row r="13" spans="1:14" x14ac:dyDescent="0.25">
      <c r="A13" t="s">
        <v>84</v>
      </c>
      <c r="C13" s="11">
        <v>25910</v>
      </c>
      <c r="E13" s="24">
        <f>+C13/$C$7</f>
        <v>5.6719262417545277E-3</v>
      </c>
      <c r="F13" s="6"/>
      <c r="G13" s="8">
        <f t="shared" si="0"/>
        <v>0.18717356597789941</v>
      </c>
      <c r="I13" s="11">
        <v>47356</v>
      </c>
      <c r="K13" s="6">
        <f>+I13/I7</f>
        <v>1.0000008446666481E-2</v>
      </c>
      <c r="L13" s="6"/>
      <c r="M13" s="8">
        <f t="shared" si="1"/>
        <v>0.24000020271999556</v>
      </c>
    </row>
    <row r="14" spans="1:14" x14ac:dyDescent="0.25">
      <c r="A14" t="s">
        <v>21</v>
      </c>
      <c r="C14" s="13">
        <v>350400</v>
      </c>
      <c r="E14" s="27">
        <f>+C14/$C$7</f>
        <v>7.670563315749851E-2</v>
      </c>
      <c r="F14" s="15"/>
      <c r="G14" s="16">
        <f t="shared" si="0"/>
        <v>2.5312858941974508</v>
      </c>
      <c r="I14" s="13">
        <v>473560</v>
      </c>
      <c r="K14" s="14">
        <f>+I14/I7</f>
        <v>0.10000008446666481</v>
      </c>
      <c r="L14" s="6"/>
      <c r="M14" s="16">
        <f t="shared" si="1"/>
        <v>2.4000020271999554</v>
      </c>
    </row>
    <row r="15" spans="1:14" x14ac:dyDescent="0.25">
      <c r="A15" s="29" t="s">
        <v>13</v>
      </c>
      <c r="C15" s="11">
        <f>SUM(C9:C14)</f>
        <v>2138237</v>
      </c>
      <c r="E15" s="24">
        <f>SUM(E9:E14)</f>
        <v>0.46505883255077096</v>
      </c>
      <c r="F15" s="6"/>
      <c r="G15" s="8">
        <f>SUM(G9:G14)</f>
        <v>14.846941474175441</v>
      </c>
      <c r="I15" s="11">
        <f>SUM(I9:I14)</f>
        <v>3125494</v>
      </c>
      <c r="K15" s="6">
        <f>SUM(K9:K14)</f>
        <v>0.66000013514666378</v>
      </c>
      <c r="L15" s="6"/>
      <c r="M15" s="8">
        <f>SUM(M9:M14)</f>
        <v>16.140003243519931</v>
      </c>
    </row>
    <row r="16" spans="1:14" x14ac:dyDescent="0.25">
      <c r="C16" s="11"/>
      <c r="I16" s="11"/>
    </row>
    <row r="17" spans="1:13" x14ac:dyDescent="0.25">
      <c r="A17" s="29" t="s">
        <v>14</v>
      </c>
      <c r="C17" s="5">
        <f>+C7-C15</f>
        <v>2429876</v>
      </c>
      <c r="E17" s="6">
        <f>+C17/$C$7</f>
        <v>0.53192116744922902</v>
      </c>
      <c r="F17" s="6"/>
      <c r="G17" s="8">
        <f t="shared" si="0"/>
        <v>17.553398525824559</v>
      </c>
      <c r="I17" s="11">
        <f>+I7-I15</f>
        <v>1610102</v>
      </c>
      <c r="K17" s="18">
        <f>+I17/$I$7</f>
        <v>0.33999986485333633</v>
      </c>
      <c r="L17" s="18"/>
      <c r="M17" s="8">
        <f t="shared" si="1"/>
        <v>8.1599967564800728</v>
      </c>
    </row>
    <row r="20" spans="1:13" x14ac:dyDescent="0.25">
      <c r="A20" t="s">
        <v>229</v>
      </c>
    </row>
    <row r="21" spans="1:13" x14ac:dyDescent="0.25">
      <c r="A21" s="128" t="s">
        <v>230</v>
      </c>
    </row>
    <row r="23" spans="1:13" x14ac:dyDescent="0.25">
      <c r="A23" s="79"/>
      <c r="C23" s="80"/>
      <c r="E23" s="79"/>
      <c r="F23" s="79"/>
      <c r="G23" s="79"/>
    </row>
    <row r="24" spans="1:13" x14ac:dyDescent="0.25">
      <c r="C24" s="80"/>
      <c r="E24" s="79"/>
      <c r="F24" s="79"/>
      <c r="G24" s="79"/>
    </row>
    <row r="25" spans="1:13" x14ac:dyDescent="0.25">
      <c r="C25" s="80"/>
      <c r="E25" s="79"/>
      <c r="F25" s="79"/>
      <c r="G25" s="79"/>
    </row>
    <row r="26" spans="1:13" x14ac:dyDescent="0.25">
      <c r="C26" s="80"/>
      <c r="E26" s="79"/>
      <c r="F26" s="79"/>
      <c r="G26" s="79"/>
    </row>
    <row r="27" spans="1:13" x14ac:dyDescent="0.25">
      <c r="C27" s="80"/>
      <c r="E27" s="79"/>
      <c r="F27" s="79"/>
      <c r="G27" s="79"/>
    </row>
    <row r="28" spans="1:13" x14ac:dyDescent="0.25">
      <c r="C28" s="80"/>
      <c r="E28" s="79"/>
      <c r="F28" s="79"/>
      <c r="G28" s="79"/>
    </row>
    <row r="29" spans="1:13" x14ac:dyDescent="0.25">
      <c r="C29" s="80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defaultRowHeight="13.2" x14ac:dyDescent="0.25"/>
  <cols>
    <col min="1" max="1" width="30.44140625" bestFit="1" customWidth="1"/>
    <col min="2" max="2" width="1.88671875" customWidth="1"/>
    <col min="3" max="3" width="10.33203125" bestFit="1" customWidth="1"/>
    <col min="4" max="4" width="1.88671875" customWidth="1"/>
    <col min="5" max="5" width="7.6640625" bestFit="1" customWidth="1"/>
    <col min="6" max="6" width="1.88671875" customWidth="1"/>
    <col min="7" max="7" width="5.6640625" customWidth="1"/>
    <col min="8" max="8" width="1.88671875" customWidth="1"/>
    <col min="9" max="9" width="11.33203125" bestFit="1" customWidth="1"/>
    <col min="10" max="10" width="1.88671875" customWidth="1"/>
    <col min="12" max="12" width="2.109375" customWidth="1"/>
    <col min="13" max="13" width="5.6640625" customWidth="1"/>
    <col min="14" max="14" width="1.88671875" customWidth="1"/>
  </cols>
  <sheetData>
    <row r="1" spans="1:14" ht="15.6" x14ac:dyDescent="0.3">
      <c r="A1" s="220" t="s">
        <v>100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1"/>
      <c r="M1" s="221"/>
      <c r="N1" s="221"/>
    </row>
    <row r="2" spans="1:14" x14ac:dyDescent="0.25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1"/>
      <c r="M2" s="221"/>
      <c r="N2" s="221"/>
    </row>
    <row r="4" spans="1:14" x14ac:dyDescent="0.25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4" x14ac:dyDescent="0.25">
      <c r="C5" s="3" t="s">
        <v>4</v>
      </c>
      <c r="D5" s="2"/>
      <c r="E5" s="3" t="s">
        <v>5</v>
      </c>
      <c r="F5" s="4"/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4" x14ac:dyDescent="0.25">
      <c r="A7" t="s">
        <v>7</v>
      </c>
      <c r="C7" s="5">
        <f>+[1]Treasury!K52</f>
        <v>2832923.4557142858</v>
      </c>
      <c r="E7" s="6">
        <v>1</v>
      </c>
      <c r="F7" s="6"/>
      <c r="G7">
        <v>16</v>
      </c>
      <c r="I7" s="5">
        <f>+[1]Treasury!M52</f>
        <v>3641345.6951250001</v>
      </c>
      <c r="K7" s="6">
        <v>1</v>
      </c>
      <c r="L7" s="6"/>
      <c r="M7">
        <v>20</v>
      </c>
    </row>
    <row r="8" spans="1:14" x14ac:dyDescent="0.25">
      <c r="A8" t="s">
        <v>8</v>
      </c>
      <c r="C8" s="5"/>
      <c r="E8" s="6"/>
      <c r="F8" s="6"/>
      <c r="G8" s="7"/>
      <c r="I8" s="5"/>
      <c r="K8" s="6"/>
      <c r="L8" s="6"/>
      <c r="M8" s="7"/>
    </row>
    <row r="9" spans="1:14" x14ac:dyDescent="0.25">
      <c r="A9" t="s">
        <v>9</v>
      </c>
      <c r="C9" s="21">
        <f>67396.08*12</f>
        <v>808752.96</v>
      </c>
      <c r="D9" s="20"/>
      <c r="E9" s="15">
        <f>C9/$C$7</f>
        <v>0.28548351999015914</v>
      </c>
      <c r="F9" s="15"/>
      <c r="G9" s="8">
        <f>+G$7*E9</f>
        <v>4.5677363198425462</v>
      </c>
      <c r="H9" s="20"/>
      <c r="I9" s="21">
        <v>0</v>
      </c>
      <c r="J9" s="20"/>
      <c r="K9" s="15">
        <f>I9/$I$7</f>
        <v>0</v>
      </c>
      <c r="L9" s="15"/>
      <c r="M9" s="8">
        <f>+M$7*K9</f>
        <v>0</v>
      </c>
    </row>
    <row r="10" spans="1:14" x14ac:dyDescent="0.25">
      <c r="A10" s="12" t="s">
        <v>21</v>
      </c>
      <c r="C10" s="13">
        <f>8800*6</f>
        <v>52800</v>
      </c>
      <c r="E10" s="14">
        <f>C10/$C$7</f>
        <v>1.8637990339448528E-2</v>
      </c>
      <c r="F10" s="15"/>
      <c r="G10" s="16">
        <f>+G$7*E10</f>
        <v>0.29820784543117645</v>
      </c>
      <c r="I10" s="13">
        <v>0</v>
      </c>
      <c r="K10" s="14">
        <f>I10/$I$7</f>
        <v>0</v>
      </c>
      <c r="L10" s="15"/>
      <c r="M10" s="16">
        <f>+M$7*K10</f>
        <v>0</v>
      </c>
    </row>
    <row r="11" spans="1:14" x14ac:dyDescent="0.25">
      <c r="A11" t="s">
        <v>13</v>
      </c>
      <c r="C11" s="11">
        <f>+C9+C10</f>
        <v>861552.96</v>
      </c>
      <c r="E11" s="6">
        <f>SUM(E9:E10)+0.01</f>
        <v>0.31412151032960767</v>
      </c>
      <c r="F11" s="6"/>
      <c r="G11" s="8">
        <f>SUM(G9:G10)</f>
        <v>4.8659441652737225</v>
      </c>
      <c r="I11" s="11">
        <f>+I9+I10</f>
        <v>0</v>
      </c>
      <c r="K11" s="6">
        <f>SUM(K9:K10)</f>
        <v>0</v>
      </c>
      <c r="L11" s="6"/>
      <c r="M11" s="8">
        <f>SUM(M9:M10)</f>
        <v>0</v>
      </c>
    </row>
    <row r="12" spans="1:14" x14ac:dyDescent="0.25">
      <c r="C12" s="11"/>
      <c r="G12" s="8"/>
      <c r="I12" s="11"/>
      <c r="M12" s="8"/>
    </row>
    <row r="13" spans="1:14" x14ac:dyDescent="0.25">
      <c r="A13" t="s">
        <v>14</v>
      </c>
      <c r="C13" s="5">
        <f>C7-C11</f>
        <v>1971370.4957142859</v>
      </c>
      <c r="E13" s="6">
        <f>+E7-E11</f>
        <v>0.68587848967039233</v>
      </c>
      <c r="F13" s="6"/>
      <c r="G13" s="8">
        <f>+G$7*E13</f>
        <v>10.974055834726277</v>
      </c>
      <c r="I13" s="11">
        <f>I7-I11</f>
        <v>3641345.6951250001</v>
      </c>
      <c r="K13" s="6">
        <f>+K7-K11</f>
        <v>1</v>
      </c>
      <c r="L13" s="6"/>
      <c r="M13" s="8">
        <f>+M$7*K13-0.11</f>
        <v>19.89</v>
      </c>
    </row>
    <row r="14" spans="1:14" x14ac:dyDescent="0.25">
      <c r="G14" s="60"/>
      <c r="M14" s="60"/>
    </row>
    <row r="15" spans="1:14" x14ac:dyDescent="0.25">
      <c r="G15" s="8"/>
      <c r="M15" s="8"/>
    </row>
    <row r="16" spans="1:14" x14ac:dyDescent="0.25">
      <c r="G16" s="60"/>
      <c r="M16" s="60"/>
    </row>
    <row r="17" spans="7:13" x14ac:dyDescent="0.25">
      <c r="G17" s="60"/>
      <c r="M17" s="60"/>
    </row>
    <row r="18" spans="7:13" x14ac:dyDescent="0.25">
      <c r="G18" s="60"/>
      <c r="M18" s="60"/>
    </row>
    <row r="19" spans="7:13" x14ac:dyDescent="0.25">
      <c r="G19" s="60"/>
      <c r="M19" s="60"/>
    </row>
    <row r="20" spans="7:13" x14ac:dyDescent="0.25">
      <c r="G20" s="60"/>
      <c r="M20" s="60"/>
    </row>
    <row r="21" spans="7:13" x14ac:dyDescent="0.25">
      <c r="G21" s="60"/>
      <c r="M21" s="60"/>
    </row>
    <row r="22" spans="7:13" x14ac:dyDescent="0.25">
      <c r="G22" s="60"/>
      <c r="M22" s="60"/>
    </row>
    <row r="23" spans="7:13" x14ac:dyDescent="0.25">
      <c r="G23" s="60"/>
      <c r="M23" s="60"/>
    </row>
    <row r="24" spans="7:13" x14ac:dyDescent="0.25">
      <c r="G24" s="8"/>
      <c r="M24" s="8"/>
    </row>
    <row r="26" spans="7:13" x14ac:dyDescent="0.25">
      <c r="G26" s="11"/>
      <c r="M26" s="11"/>
    </row>
    <row r="27" spans="7:13" x14ac:dyDescent="0.25">
      <c r="G27" s="11"/>
      <c r="M27" s="11"/>
    </row>
    <row r="28" spans="7:13" x14ac:dyDescent="0.25">
      <c r="G28" s="11"/>
      <c r="M28" s="11"/>
    </row>
    <row r="29" spans="7:13" x14ac:dyDescent="0.25">
      <c r="G29" s="11"/>
      <c r="M29" s="11"/>
    </row>
    <row r="30" spans="7:13" x14ac:dyDescent="0.25">
      <c r="G30" s="11"/>
      <c r="M30" s="11"/>
    </row>
    <row r="31" spans="7:13" x14ac:dyDescent="0.25">
      <c r="G31" s="11"/>
      <c r="M31" s="11"/>
    </row>
    <row r="32" spans="7:13" x14ac:dyDescent="0.25">
      <c r="G32" s="11"/>
      <c r="M32" s="11"/>
    </row>
    <row r="33" spans="7:13" x14ac:dyDescent="0.25">
      <c r="G33" s="11"/>
      <c r="M33" s="11"/>
    </row>
    <row r="34" spans="7:13" x14ac:dyDescent="0.25">
      <c r="G34" s="11"/>
      <c r="M34" s="11"/>
    </row>
    <row r="35" spans="7:13" x14ac:dyDescent="0.25">
      <c r="G35" s="11"/>
      <c r="M35" s="11"/>
    </row>
    <row r="36" spans="7:13" x14ac:dyDescent="0.25">
      <c r="G36" s="5"/>
      <c r="M36" s="5"/>
    </row>
    <row r="37" spans="7:13" x14ac:dyDescent="0.25">
      <c r="G37" s="11"/>
      <c r="M37" s="11"/>
    </row>
  </sheetData>
  <mergeCells count="4">
    <mergeCell ref="A1:N1"/>
    <mergeCell ref="A2:N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7" sqref="A7"/>
    </sheetView>
  </sheetViews>
  <sheetFormatPr defaultRowHeight="13.2" x14ac:dyDescent="0.25"/>
  <cols>
    <col min="1" max="1" width="30.44140625" bestFit="1" customWidth="1"/>
    <col min="2" max="2" width="2.109375" customWidth="1"/>
    <col min="3" max="3" width="10.33203125" bestFit="1" customWidth="1"/>
    <col min="4" max="4" width="2.109375" customWidth="1"/>
    <col min="5" max="5" width="7.6640625" bestFit="1" customWidth="1"/>
    <col min="6" max="6" width="2.109375" customWidth="1"/>
    <col min="7" max="7" width="7.109375" customWidth="1"/>
    <col min="8" max="8" width="2.109375" customWidth="1"/>
    <col min="9" max="9" width="11.33203125" bestFit="1" customWidth="1"/>
    <col min="10" max="10" width="2.109375" customWidth="1"/>
    <col min="12" max="12" width="1.88671875" customWidth="1"/>
    <col min="13" max="13" width="7.6640625" customWidth="1"/>
    <col min="14" max="14" width="2.109375" customWidth="1"/>
  </cols>
  <sheetData>
    <row r="1" spans="1:13" ht="15.6" x14ac:dyDescent="0.3">
      <c r="A1" s="220" t="s">
        <v>15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2"/>
      <c r="M1" s="222"/>
    </row>
    <row r="2" spans="1:13" x14ac:dyDescent="0.25">
      <c r="A2" s="222" t="s">
        <v>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</row>
    <row r="3" spans="1:13" ht="18.75" customHeight="1" x14ac:dyDescent="0.25"/>
    <row r="4" spans="1:13" x14ac:dyDescent="0.25">
      <c r="C4" s="223" t="s">
        <v>2</v>
      </c>
      <c r="D4" s="223"/>
      <c r="E4" s="223"/>
      <c r="F4" s="224"/>
      <c r="G4" s="224"/>
      <c r="I4" s="223" t="s">
        <v>3</v>
      </c>
      <c r="J4" s="223"/>
      <c r="K4" s="223"/>
      <c r="L4" s="223"/>
      <c r="M4" s="223"/>
    </row>
    <row r="5" spans="1:13" x14ac:dyDescent="0.25">
      <c r="C5" s="3" t="s">
        <v>4</v>
      </c>
      <c r="D5" s="2"/>
      <c r="E5" s="3" t="s">
        <v>5</v>
      </c>
      <c r="G5" s="3" t="s">
        <v>6</v>
      </c>
      <c r="I5" s="3" t="s">
        <v>4</v>
      </c>
      <c r="J5" s="2"/>
      <c r="K5" s="3" t="s">
        <v>5</v>
      </c>
      <c r="L5" s="4"/>
      <c r="M5" s="3" t="s">
        <v>6</v>
      </c>
    </row>
    <row r="7" spans="1:13" x14ac:dyDescent="0.25">
      <c r="A7" t="s">
        <v>7</v>
      </c>
      <c r="C7" s="5">
        <f>+[1]eSource!K56</f>
        <v>1094015.6457142858</v>
      </c>
      <c r="E7" s="6">
        <v>1</v>
      </c>
      <c r="G7">
        <v>11</v>
      </c>
      <c r="I7" s="5">
        <f>+[1]eSource!M56</f>
        <v>1727215.9539999999</v>
      </c>
      <c r="K7" s="6">
        <v>1</v>
      </c>
      <c r="L7" s="6"/>
      <c r="M7">
        <v>12</v>
      </c>
    </row>
    <row r="8" spans="1:13" x14ac:dyDescent="0.25">
      <c r="A8" t="s">
        <v>8</v>
      </c>
      <c r="C8" s="5"/>
      <c r="E8" s="6"/>
      <c r="G8" s="7"/>
      <c r="I8" s="5"/>
      <c r="K8" s="6"/>
      <c r="L8" s="6"/>
      <c r="M8" s="7"/>
    </row>
    <row r="9" spans="1:13" x14ac:dyDescent="0.25">
      <c r="A9" s="12" t="s">
        <v>16</v>
      </c>
      <c r="C9" s="11">
        <v>245028</v>
      </c>
      <c r="E9" s="6">
        <f t="shared" ref="E9:E14" si="0">C9/$C$7</f>
        <v>0.22397120275187707</v>
      </c>
      <c r="G9" s="8">
        <f t="shared" ref="G9:G14" si="1">+G$7*E9</f>
        <v>2.463683230270648</v>
      </c>
      <c r="I9" s="11">
        <v>431804</v>
      </c>
      <c r="K9" s="6">
        <f t="shared" ref="K9:K14" si="2">I9/$I$7</f>
        <v>0.25000000665811362</v>
      </c>
      <c r="L9" s="6"/>
      <c r="M9" s="8">
        <f t="shared" ref="M9:M14" si="3">+M$7*K9</f>
        <v>3.0000000798973634</v>
      </c>
    </row>
    <row r="10" spans="1:13" x14ac:dyDescent="0.25">
      <c r="A10" t="s">
        <v>9</v>
      </c>
      <c r="C10" s="11">
        <v>196022</v>
      </c>
      <c r="E10" s="6">
        <f t="shared" si="0"/>
        <v>0.17917659657601762</v>
      </c>
      <c r="G10" s="8">
        <f t="shared" si="1"/>
        <v>1.9709425623361938</v>
      </c>
      <c r="I10" s="11">
        <v>345443</v>
      </c>
      <c r="K10" s="6">
        <f t="shared" si="2"/>
        <v>0.19999988953321121</v>
      </c>
      <c r="L10" s="6"/>
      <c r="M10" s="8">
        <f t="shared" si="3"/>
        <v>2.3999986743985344</v>
      </c>
    </row>
    <row r="11" spans="1:13" x14ac:dyDescent="0.25">
      <c r="A11" s="12" t="s">
        <v>11</v>
      </c>
      <c r="C11" s="11">
        <v>186221</v>
      </c>
      <c r="E11" s="6">
        <f t="shared" si="0"/>
        <v>0.17021785815358775</v>
      </c>
      <c r="G11" s="8">
        <f t="shared" si="1"/>
        <v>1.8723964396894652</v>
      </c>
      <c r="I11" s="11">
        <v>328171</v>
      </c>
      <c r="K11" s="6">
        <f t="shared" si="2"/>
        <v>0.18999998190151041</v>
      </c>
      <c r="L11" s="6"/>
      <c r="M11" s="8">
        <f t="shared" si="3"/>
        <v>2.2799997828181251</v>
      </c>
    </row>
    <row r="12" spans="1:13" x14ac:dyDescent="0.25">
      <c r="A12" t="s">
        <v>10</v>
      </c>
      <c r="C12" s="11">
        <f>166619+113904</f>
        <v>280523</v>
      </c>
      <c r="E12" s="6">
        <f t="shared" si="0"/>
        <v>0.25641589414093413</v>
      </c>
      <c r="G12" s="8">
        <f t="shared" si="1"/>
        <v>2.8205748355502753</v>
      </c>
      <c r="I12" s="11">
        <v>293627</v>
      </c>
      <c r="K12" s="6">
        <f t="shared" si="2"/>
        <v>0.17000016663810877</v>
      </c>
      <c r="L12" s="6"/>
      <c r="M12" s="8">
        <f t="shared" si="3"/>
        <v>2.0400019996573051</v>
      </c>
    </row>
    <row r="13" spans="1:13" s="20" customFormat="1" x14ac:dyDescent="0.25">
      <c r="A13" s="19" t="s">
        <v>17</v>
      </c>
      <c r="C13" s="21">
        <v>127415</v>
      </c>
      <c r="E13" s="15">
        <f t="shared" si="0"/>
        <v>0.11646542761900851</v>
      </c>
      <c r="G13" s="8">
        <f t="shared" si="1"/>
        <v>1.2811197038090936</v>
      </c>
      <c r="I13" s="21">
        <v>224538</v>
      </c>
      <c r="K13" s="15">
        <f t="shared" si="2"/>
        <v>0.1299999571449072</v>
      </c>
      <c r="L13" s="15"/>
      <c r="M13" s="8">
        <f t="shared" si="3"/>
        <v>1.5599994857388864</v>
      </c>
    </row>
    <row r="14" spans="1:13" x14ac:dyDescent="0.25">
      <c r="A14" s="12" t="s">
        <v>18</v>
      </c>
      <c r="C14" s="13">
        <v>58807</v>
      </c>
      <c r="E14" s="14">
        <f t="shared" si="0"/>
        <v>5.3753344598289315E-2</v>
      </c>
      <c r="G14" s="16">
        <f t="shared" si="1"/>
        <v>0.5912867905811825</v>
      </c>
      <c r="I14" s="13">
        <v>103633</v>
      </c>
      <c r="K14" s="14">
        <f t="shared" si="2"/>
        <v>6.0000024756603196E-2</v>
      </c>
      <c r="L14" s="15"/>
      <c r="M14" s="16">
        <f t="shared" si="3"/>
        <v>0.72000029707923829</v>
      </c>
    </row>
    <row r="15" spans="1:13" x14ac:dyDescent="0.25">
      <c r="A15" t="s">
        <v>13</v>
      </c>
      <c r="C15" s="11">
        <f>SUM(C9:C14)</f>
        <v>1094016</v>
      </c>
      <c r="E15" s="6">
        <f>SUM(E9:E14)</f>
        <v>1.0000003238397144</v>
      </c>
      <c r="G15" s="8">
        <f>SUM(G9:G14)</f>
        <v>11.000003562236859</v>
      </c>
      <c r="I15" s="11">
        <f>SUM(I9:I14)</f>
        <v>1727216</v>
      </c>
      <c r="K15" s="6">
        <f>SUM(K9:K14)</f>
        <v>1.0000000266324545</v>
      </c>
      <c r="L15" s="6"/>
      <c r="M15" s="8">
        <f>SUM(M9:M14)</f>
        <v>12.000000319589454</v>
      </c>
    </row>
    <row r="16" spans="1:13" x14ac:dyDescent="0.25">
      <c r="C16" s="11"/>
      <c r="I16" s="11"/>
    </row>
    <row r="17" spans="1:13" x14ac:dyDescent="0.25">
      <c r="A17" t="s">
        <v>14</v>
      </c>
      <c r="C17" s="5">
        <f>C7-C15</f>
        <v>-0.35428571421653032</v>
      </c>
      <c r="E17" s="6">
        <f>C17/$C$7</f>
        <v>-3.2383971436278335E-7</v>
      </c>
      <c r="G17" s="8">
        <f>+G$7*E17</f>
        <v>-3.562236857990617E-6</v>
      </c>
      <c r="I17" s="11">
        <f>I7-I15</f>
        <v>-4.6000000089406967E-2</v>
      </c>
      <c r="K17" s="18">
        <f>I17/I7</f>
        <v>-2.6632454374264637E-8</v>
      </c>
      <c r="L17" s="18"/>
      <c r="M17" s="8">
        <f>+M$7*K17</f>
        <v>-3.1958945249117565E-7</v>
      </c>
    </row>
    <row r="20" spans="1:13" x14ac:dyDescent="0.25">
      <c r="A20" t="s">
        <v>229</v>
      </c>
    </row>
    <row r="21" spans="1:13" x14ac:dyDescent="0.25">
      <c r="A21" s="128" t="s">
        <v>230</v>
      </c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A9" sqref="A9"/>
    </sheetView>
  </sheetViews>
  <sheetFormatPr defaultRowHeight="13.2" x14ac:dyDescent="0.25"/>
  <cols>
    <col min="1" max="1" width="29.5546875" customWidth="1"/>
    <col min="2" max="2" width="3.6640625" customWidth="1"/>
    <col min="3" max="3" width="12.5546875" customWidth="1"/>
    <col min="4" max="4" width="1.5546875" customWidth="1"/>
    <col min="5" max="5" width="8.33203125" bestFit="1" customWidth="1"/>
    <col min="6" max="6" width="1.44140625" customWidth="1"/>
    <col min="7" max="7" width="7.44140625" customWidth="1"/>
    <col min="8" max="8" width="2.6640625" customWidth="1"/>
    <col min="9" max="9" width="11.33203125" bestFit="1" customWidth="1"/>
    <col min="10" max="10" width="1.6640625" customWidth="1"/>
    <col min="11" max="11" width="10.33203125" bestFit="1" customWidth="1"/>
    <col min="12" max="12" width="1.5546875" customWidth="1"/>
    <col min="14" max="14" width="2.6640625" customWidth="1"/>
  </cols>
  <sheetData>
    <row r="1" spans="1:14" ht="15.6" x14ac:dyDescent="0.3">
      <c r="A1" s="220" t="s">
        <v>19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"/>
    </row>
    <row r="2" spans="1:14" x14ac:dyDescent="0.25">
      <c r="A2" s="222" t="s">
        <v>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1"/>
    </row>
    <row r="4" spans="1:14" x14ac:dyDescent="0.25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3"/>
      <c r="M4" s="223"/>
    </row>
    <row r="5" spans="1:14" x14ac:dyDescent="0.25">
      <c r="C5" s="22" t="s">
        <v>4</v>
      </c>
      <c r="D5" s="2"/>
      <c r="E5" s="22" t="s">
        <v>5</v>
      </c>
      <c r="F5" s="22"/>
      <c r="G5" s="22" t="s">
        <v>6</v>
      </c>
      <c r="H5" s="2"/>
      <c r="I5" s="22" t="s">
        <v>4</v>
      </c>
      <c r="J5" s="2"/>
      <c r="K5" s="22" t="s">
        <v>5</v>
      </c>
      <c r="L5" s="22"/>
      <c r="M5" s="23" t="s">
        <v>6</v>
      </c>
    </row>
    <row r="7" spans="1:14" x14ac:dyDescent="0.25">
      <c r="A7" t="s">
        <v>20</v>
      </c>
      <c r="C7" s="5">
        <v>18243481</v>
      </c>
      <c r="E7" s="24">
        <f>+E20+E22</f>
        <v>0.99980000000000002</v>
      </c>
      <c r="F7" s="7"/>
      <c r="G7" s="25">
        <v>172</v>
      </c>
      <c r="H7" s="25"/>
      <c r="I7" s="5">
        <v>19138698</v>
      </c>
      <c r="K7" s="24">
        <f>+K20+K22</f>
        <v>1.0030000000000001</v>
      </c>
      <c r="L7" s="7"/>
      <c r="M7">
        <v>164</v>
      </c>
    </row>
    <row r="8" spans="1:14" x14ac:dyDescent="0.25">
      <c r="A8" t="s">
        <v>8</v>
      </c>
      <c r="C8" s="5"/>
      <c r="E8" s="24"/>
      <c r="F8" s="7"/>
      <c r="I8" s="5"/>
      <c r="K8" s="24"/>
      <c r="L8" s="7"/>
    </row>
    <row r="9" spans="1:14" x14ac:dyDescent="0.25">
      <c r="A9" t="s">
        <v>9</v>
      </c>
      <c r="C9" s="11">
        <f>300000+23091</f>
        <v>323091</v>
      </c>
      <c r="E9" s="24">
        <f t="shared" ref="E9:E19" si="0">+C9/$C$7</f>
        <v>1.7709942526867542E-2</v>
      </c>
      <c r="F9" s="7"/>
      <c r="G9" s="25">
        <f t="shared" ref="G9:G20" si="1">+$G$7*E9</f>
        <v>3.0461101146212171</v>
      </c>
      <c r="H9" s="25"/>
      <c r="I9" s="68">
        <v>417618</v>
      </c>
      <c r="K9" s="24">
        <f t="shared" ref="K9:K18" si="2">+I9/$I$7</f>
        <v>2.1820606605527711E-2</v>
      </c>
      <c r="L9" s="7"/>
      <c r="M9" s="25">
        <f t="shared" ref="M9:M19" si="3">+$M$7*K9</f>
        <v>3.5785794833065445</v>
      </c>
    </row>
    <row r="10" spans="1:14" x14ac:dyDescent="0.25">
      <c r="A10" t="s">
        <v>18</v>
      </c>
      <c r="C10" s="11">
        <v>11635</v>
      </c>
      <c r="E10" s="24">
        <f t="shared" si="0"/>
        <v>6.3776205867728866E-4</v>
      </c>
      <c r="F10" s="7"/>
      <c r="G10" s="25">
        <f t="shared" si="1"/>
        <v>0.10969507409249366</v>
      </c>
      <c r="H10" s="25"/>
      <c r="I10" s="68">
        <v>123749</v>
      </c>
      <c r="K10" s="24">
        <f t="shared" si="2"/>
        <v>6.4659048384587085E-3</v>
      </c>
      <c r="L10" s="7"/>
      <c r="M10" s="25">
        <f t="shared" si="3"/>
        <v>1.0604083935072282</v>
      </c>
    </row>
    <row r="11" spans="1:14" x14ac:dyDescent="0.25">
      <c r="A11" t="s">
        <v>10</v>
      </c>
      <c r="C11" s="21">
        <f>21000+50004+29004</f>
        <v>100008</v>
      </c>
      <c r="E11" s="24">
        <f t="shared" si="0"/>
        <v>5.4818485573010986E-3</v>
      </c>
      <c r="F11" s="7"/>
      <c r="G11" s="25">
        <f t="shared" si="1"/>
        <v>0.94287795185578893</v>
      </c>
      <c r="H11" s="25"/>
      <c r="I11" s="69">
        <v>253760</v>
      </c>
      <c r="K11" s="24">
        <f t="shared" si="2"/>
        <v>1.325900016814101E-2</v>
      </c>
      <c r="L11" s="7"/>
      <c r="M11" s="25">
        <f>+$M$7*K11</f>
        <v>2.1744760275751256</v>
      </c>
    </row>
    <row r="12" spans="1:14" x14ac:dyDescent="0.25">
      <c r="A12" t="s">
        <v>11</v>
      </c>
      <c r="C12" s="21">
        <v>3011695</v>
      </c>
      <c r="E12" s="24">
        <f>+C12/$C$7-0.0002</f>
        <v>0.16488335223963013</v>
      </c>
      <c r="F12" s="7"/>
      <c r="G12" s="26">
        <f>+$G$7*E12+0.2</f>
        <v>28.559936585216381</v>
      </c>
      <c r="H12" s="25"/>
      <c r="I12" s="69">
        <v>2277528</v>
      </c>
      <c r="K12" s="24">
        <f t="shared" si="2"/>
        <v>0.11900119851413089</v>
      </c>
      <c r="L12" s="7"/>
      <c r="M12" s="25">
        <f>+$M$7*K12</f>
        <v>19.516196556317468</v>
      </c>
    </row>
    <row r="13" spans="1:14" x14ac:dyDescent="0.25">
      <c r="A13" t="s">
        <v>12</v>
      </c>
      <c r="C13" s="21">
        <f>4651585+4753</f>
        <v>4656338</v>
      </c>
      <c r="E13" s="24">
        <f t="shared" si="0"/>
        <v>0.25523297883775581</v>
      </c>
      <c r="F13" s="7"/>
      <c r="G13" s="25">
        <f t="shared" si="1"/>
        <v>43.900072360094001</v>
      </c>
      <c r="H13" s="25"/>
      <c r="I13" s="69">
        <v>5465769</v>
      </c>
      <c r="K13" s="24">
        <f t="shared" si="2"/>
        <v>0.28558729543671152</v>
      </c>
      <c r="L13" s="7"/>
      <c r="M13" s="25">
        <f>+$M$7*K13</f>
        <v>46.836316451620689</v>
      </c>
    </row>
    <row r="14" spans="1:14" x14ac:dyDescent="0.25">
      <c r="A14" t="s">
        <v>21</v>
      </c>
      <c r="C14" s="21">
        <v>780000</v>
      </c>
      <c r="E14" s="24">
        <f t="shared" si="0"/>
        <v>4.2754998347080804E-2</v>
      </c>
      <c r="F14" s="7"/>
      <c r="G14" s="25">
        <f t="shared" si="1"/>
        <v>7.3538597156978982</v>
      </c>
      <c r="H14" s="25"/>
      <c r="I14" s="69">
        <v>1009567</v>
      </c>
      <c r="K14" s="24">
        <f t="shared" si="2"/>
        <v>5.275003555623272E-2</v>
      </c>
      <c r="L14" s="7"/>
      <c r="M14" s="129">
        <f>+$M$7*K14</f>
        <v>8.6510058312221663</v>
      </c>
    </row>
    <row r="15" spans="1:14" x14ac:dyDescent="0.25">
      <c r="A15" t="s">
        <v>22</v>
      </c>
      <c r="C15" s="21">
        <v>0</v>
      </c>
      <c r="E15" s="24">
        <f t="shared" si="0"/>
        <v>0</v>
      </c>
      <c r="F15" s="7"/>
      <c r="G15" s="25">
        <f t="shared" si="1"/>
        <v>0</v>
      </c>
      <c r="H15" s="25"/>
      <c r="I15" s="69">
        <v>470016</v>
      </c>
      <c r="K15" s="24">
        <f>+I15/$I$7+0.003</f>
        <v>2.7558410399704306E-2</v>
      </c>
      <c r="L15" s="7"/>
      <c r="M15" s="130">
        <f>+$M$7*K15</f>
        <v>4.5195793055515061</v>
      </c>
    </row>
    <row r="16" spans="1:14" x14ac:dyDescent="0.25">
      <c r="A16" t="s">
        <v>23</v>
      </c>
      <c r="C16" s="21">
        <v>0</v>
      </c>
      <c r="E16" s="24">
        <f t="shared" si="0"/>
        <v>0</v>
      </c>
      <c r="F16" s="7"/>
      <c r="G16" s="25">
        <f t="shared" si="1"/>
        <v>0</v>
      </c>
      <c r="H16" s="25"/>
      <c r="I16" s="69">
        <v>56727</v>
      </c>
      <c r="K16" s="24">
        <f t="shared" si="2"/>
        <v>2.9639947294220329E-3</v>
      </c>
      <c r="L16" s="7"/>
      <c r="M16" s="25">
        <f t="shared" si="3"/>
        <v>0.48609513562521339</v>
      </c>
    </row>
    <row r="17" spans="1:13" x14ac:dyDescent="0.25">
      <c r="A17" t="s">
        <v>24</v>
      </c>
      <c r="C17" s="21">
        <v>0</v>
      </c>
      <c r="E17" s="24">
        <f t="shared" si="0"/>
        <v>0</v>
      </c>
      <c r="F17" s="7"/>
      <c r="G17" s="25">
        <f t="shared" si="1"/>
        <v>0</v>
      </c>
      <c r="H17" s="25"/>
      <c r="I17" s="69">
        <v>38306</v>
      </c>
      <c r="K17" s="24">
        <f t="shared" si="2"/>
        <v>2.0014945635277804E-3</v>
      </c>
      <c r="L17" s="7"/>
      <c r="M17" s="25">
        <f t="shared" si="3"/>
        <v>0.32824510841855598</v>
      </c>
    </row>
    <row r="18" spans="1:13" x14ac:dyDescent="0.25">
      <c r="A18" t="s">
        <v>25</v>
      </c>
      <c r="C18" s="21">
        <v>0</v>
      </c>
      <c r="E18" s="24">
        <f t="shared" si="0"/>
        <v>0</v>
      </c>
      <c r="F18" s="7"/>
      <c r="G18" s="25">
        <f t="shared" si="1"/>
        <v>0</v>
      </c>
      <c r="H18" s="25"/>
      <c r="I18" s="69">
        <v>50970</v>
      </c>
      <c r="K18" s="24">
        <f t="shared" si="2"/>
        <v>2.6631905681358263E-3</v>
      </c>
      <c r="L18" s="7"/>
      <c r="M18" s="25">
        <f t="shared" si="3"/>
        <v>0.4367632531742755</v>
      </c>
    </row>
    <row r="19" spans="1:13" x14ac:dyDescent="0.25">
      <c r="A19" t="s">
        <v>26</v>
      </c>
      <c r="C19" s="13">
        <v>0</v>
      </c>
      <c r="E19" s="27">
        <f t="shared" si="0"/>
        <v>0</v>
      </c>
      <c r="F19" s="7"/>
      <c r="G19" s="28">
        <f t="shared" si="1"/>
        <v>0</v>
      </c>
      <c r="H19" s="25"/>
      <c r="I19" s="131">
        <v>527323</v>
      </c>
      <c r="K19" s="27">
        <f>+I19/$I$7</f>
        <v>2.7552710220935615E-2</v>
      </c>
      <c r="L19" s="7"/>
      <c r="M19" s="28">
        <f t="shared" si="3"/>
        <v>4.5186444762334412</v>
      </c>
    </row>
    <row r="20" spans="1:13" x14ac:dyDescent="0.25">
      <c r="A20" s="29" t="s">
        <v>27</v>
      </c>
      <c r="C20" s="21">
        <f>SUM(C9:C19)</f>
        <v>8882767</v>
      </c>
      <c r="E20" s="30">
        <f>SUM(E9:E19)</f>
        <v>0.48670088256731264</v>
      </c>
      <c r="F20" s="31"/>
      <c r="G20" s="25">
        <f t="shared" si="1"/>
        <v>83.712551801577774</v>
      </c>
      <c r="H20" s="25"/>
      <c r="I20" s="21">
        <f>SUM(I9:I19)</f>
        <v>10691333</v>
      </c>
      <c r="K20" s="30">
        <f>SUM(K9:K19)</f>
        <v>0.56162384160092815</v>
      </c>
      <c r="L20" s="31"/>
      <c r="M20" s="25">
        <f>SUM(M9:M19)</f>
        <v>92.106310022552222</v>
      </c>
    </row>
    <row r="21" spans="1:13" x14ac:dyDescent="0.25">
      <c r="C21" s="21"/>
      <c r="E21" s="30"/>
      <c r="F21" s="31"/>
      <c r="G21" s="25"/>
      <c r="H21" s="25"/>
      <c r="I21" s="21"/>
      <c r="K21" s="30"/>
      <c r="L21" s="31"/>
      <c r="M21" s="25"/>
    </row>
    <row r="22" spans="1:13" x14ac:dyDescent="0.25">
      <c r="A22" s="29" t="s">
        <v>14</v>
      </c>
      <c r="C22" s="5">
        <f>+C7-C20</f>
        <v>9360714</v>
      </c>
      <c r="E22" s="24">
        <f>+C22/$C$7</f>
        <v>0.51309911743268732</v>
      </c>
      <c r="F22" s="7"/>
      <c r="G22" s="25">
        <f>+$G$7*E22</f>
        <v>88.253048198422221</v>
      </c>
      <c r="H22" s="25"/>
      <c r="I22" s="11">
        <f>+I7-I20</f>
        <v>8447365</v>
      </c>
      <c r="K22" s="24">
        <f>+I22/$I$7</f>
        <v>0.44137615839907185</v>
      </c>
      <c r="L22" s="7"/>
      <c r="M22" s="25">
        <f>+$M$7*K22</f>
        <v>72.385689977447782</v>
      </c>
    </row>
    <row r="23" spans="1:13" x14ac:dyDescent="0.25">
      <c r="G23" s="25"/>
      <c r="H23" s="25"/>
      <c r="M23" s="25"/>
    </row>
    <row r="24" spans="1:13" x14ac:dyDescent="0.25">
      <c r="G24" s="25"/>
      <c r="H24" s="25"/>
      <c r="M24" s="25"/>
    </row>
    <row r="25" spans="1:13" x14ac:dyDescent="0.25">
      <c r="A25" t="s">
        <v>229</v>
      </c>
      <c r="D25" s="32"/>
      <c r="G25" s="25"/>
      <c r="H25" s="25"/>
    </row>
    <row r="26" spans="1:13" x14ac:dyDescent="0.25">
      <c r="A26" s="128" t="s">
        <v>230</v>
      </c>
      <c r="D26" s="32"/>
      <c r="G26" s="25"/>
      <c r="H26" s="25"/>
    </row>
    <row r="27" spans="1:13" x14ac:dyDescent="0.25">
      <c r="D27" s="32"/>
      <c r="G27" s="25"/>
      <c r="H27" s="25"/>
    </row>
    <row r="28" spans="1:13" x14ac:dyDescent="0.25">
      <c r="C28" s="20"/>
      <c r="D28" s="33"/>
      <c r="G28" s="25"/>
      <c r="H28" s="25"/>
    </row>
    <row r="29" spans="1:13" x14ac:dyDescent="0.25">
      <c r="A29" s="32"/>
      <c r="C29" s="34"/>
      <c r="D29" s="33"/>
    </row>
    <row r="30" spans="1:13" x14ac:dyDescent="0.25">
      <c r="A30" s="32"/>
      <c r="C30" s="20"/>
      <c r="D30" s="33"/>
    </row>
    <row r="31" spans="1:13" x14ac:dyDescent="0.25">
      <c r="A31" s="32"/>
      <c r="C31" s="34"/>
      <c r="D31" s="33"/>
    </row>
    <row r="32" spans="1:13" x14ac:dyDescent="0.25">
      <c r="A32" s="32"/>
      <c r="C32" s="20"/>
      <c r="D32" s="33"/>
    </row>
    <row r="33" spans="1:4" x14ac:dyDescent="0.25">
      <c r="A33" s="32"/>
      <c r="C33" s="20"/>
      <c r="D33" s="33"/>
    </row>
    <row r="34" spans="1:4" x14ac:dyDescent="0.25">
      <c r="A34" s="32"/>
      <c r="C34" s="20"/>
      <c r="D34" s="33"/>
    </row>
    <row r="35" spans="1:4" x14ac:dyDescent="0.25">
      <c r="A35" s="32"/>
      <c r="C35" s="20"/>
      <c r="D35" s="33"/>
    </row>
    <row r="36" spans="1:4" x14ac:dyDescent="0.25">
      <c r="A36" s="32"/>
      <c r="C36" s="20"/>
      <c r="D36" s="33"/>
    </row>
    <row r="37" spans="1:4" x14ac:dyDescent="0.25">
      <c r="A37" s="32"/>
      <c r="C37" s="20"/>
      <c r="D37" s="20"/>
    </row>
    <row r="38" spans="1:4" x14ac:dyDescent="0.25">
      <c r="A38" s="32"/>
    </row>
    <row r="39" spans="1:4" x14ac:dyDescent="0.25">
      <c r="A39" s="32"/>
    </row>
    <row r="40" spans="1:4" x14ac:dyDescent="0.25">
      <c r="A40" s="32"/>
    </row>
    <row r="41" spans="1:4" x14ac:dyDescent="0.25">
      <c r="A41" s="32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A2" sqref="A2:S2"/>
    </sheetView>
  </sheetViews>
  <sheetFormatPr defaultRowHeight="13.2" x14ac:dyDescent="0.25"/>
  <cols>
    <col min="1" max="1" width="27.5546875" customWidth="1"/>
    <col min="2" max="2" width="1.6640625" customWidth="1"/>
    <col min="3" max="3" width="10.44140625" bestFit="1" customWidth="1"/>
    <col min="4" max="4" width="1.6640625" customWidth="1"/>
    <col min="5" max="5" width="10.33203125" bestFit="1" customWidth="1"/>
    <col min="6" max="6" width="1.6640625" customWidth="1"/>
    <col min="7" max="7" width="10.44140625" bestFit="1" customWidth="1"/>
    <col min="8" max="8" width="1.6640625" customWidth="1"/>
    <col min="9" max="9" width="9.33203125" bestFit="1" customWidth="1"/>
    <col min="10" max="10" width="1.6640625" customWidth="1"/>
    <col min="11" max="11" width="10.88671875" bestFit="1" customWidth="1"/>
    <col min="12" max="12" width="1.6640625" customWidth="1"/>
    <col min="13" max="13" width="10.33203125" bestFit="1" customWidth="1"/>
    <col min="14" max="14" width="1.6640625" customWidth="1"/>
    <col min="15" max="15" width="10.33203125" bestFit="1" customWidth="1"/>
    <col min="16" max="16" width="1.6640625" customWidth="1"/>
    <col min="17" max="17" width="10.33203125" bestFit="1" customWidth="1"/>
    <col min="18" max="18" width="1.6640625" customWidth="1"/>
    <col min="19" max="19" width="11.33203125" bestFit="1" customWidth="1"/>
    <col min="20" max="20" width="8.33203125" bestFit="1" customWidth="1"/>
    <col min="21" max="21" width="8.109375" customWidth="1"/>
    <col min="22" max="22" width="11.88671875" bestFit="1" customWidth="1"/>
    <col min="23" max="23" width="12.88671875" customWidth="1"/>
    <col min="26" max="26" width="10.5546875" customWidth="1"/>
    <col min="27" max="27" width="11.33203125" bestFit="1" customWidth="1"/>
  </cols>
  <sheetData>
    <row r="1" spans="1:29" ht="13.8" x14ac:dyDescent="0.25">
      <c r="A1" s="225" t="s">
        <v>19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</row>
    <row r="2" spans="1:29" ht="13.8" x14ac:dyDescent="0.25">
      <c r="A2" s="226" t="s">
        <v>28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</row>
    <row r="3" spans="1:29" ht="13.8" x14ac:dyDescent="0.25">
      <c r="A3" s="226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</row>
    <row r="4" spans="1:29" ht="13.8" thickBot="1" x14ac:dyDescent="0.3"/>
    <row r="5" spans="1:29" ht="39.6" x14ac:dyDescent="0.25">
      <c r="A5" s="4"/>
      <c r="B5" s="2"/>
      <c r="C5" s="3" t="s">
        <v>29</v>
      </c>
      <c r="D5" s="2"/>
      <c r="E5" s="3" t="s">
        <v>30</v>
      </c>
      <c r="F5" s="2"/>
      <c r="G5" s="3" t="s">
        <v>31</v>
      </c>
      <c r="H5" s="2"/>
      <c r="I5" s="3" t="s">
        <v>32</v>
      </c>
      <c r="J5" s="2"/>
      <c r="K5" s="3" t="s">
        <v>33</v>
      </c>
      <c r="L5" s="2"/>
      <c r="M5" s="35" t="s">
        <v>34</v>
      </c>
      <c r="N5" s="2"/>
      <c r="O5" s="3" t="s">
        <v>35</v>
      </c>
      <c r="P5" s="2"/>
      <c r="Q5" s="3" t="s">
        <v>36</v>
      </c>
      <c r="S5" s="36" t="s">
        <v>27</v>
      </c>
      <c r="T5" s="37" t="s">
        <v>5</v>
      </c>
      <c r="U5" s="38" t="s">
        <v>37</v>
      </c>
      <c r="V5" s="3" t="s">
        <v>38</v>
      </c>
      <c r="W5" s="36" t="s">
        <v>39</v>
      </c>
      <c r="X5" s="37" t="s">
        <v>5</v>
      </c>
      <c r="Y5" s="38" t="s">
        <v>37</v>
      </c>
      <c r="Z5" s="132" t="s">
        <v>231</v>
      </c>
      <c r="AA5" s="133" t="s">
        <v>232</v>
      </c>
      <c r="AB5" s="37" t="s">
        <v>5</v>
      </c>
      <c r="AC5" s="134"/>
    </row>
    <row r="6" spans="1:29" x14ac:dyDescent="0.25">
      <c r="S6" s="39"/>
      <c r="T6" s="20"/>
      <c r="U6" s="40"/>
      <c r="W6" s="39"/>
      <c r="X6" s="20"/>
      <c r="Y6" s="40"/>
      <c r="AA6" s="39"/>
      <c r="AB6" s="20"/>
      <c r="AC6" s="40"/>
    </row>
    <row r="7" spans="1:29" x14ac:dyDescent="0.25">
      <c r="A7" s="41" t="s">
        <v>40</v>
      </c>
      <c r="B7" s="41"/>
      <c r="C7" s="42">
        <v>246721</v>
      </c>
      <c r="D7" s="42"/>
      <c r="E7" s="42">
        <v>1260837</v>
      </c>
      <c r="F7" s="42"/>
      <c r="G7" s="42">
        <v>1511267</v>
      </c>
      <c r="H7" s="42"/>
      <c r="I7" s="42">
        <v>816537</v>
      </c>
      <c r="J7" s="42"/>
      <c r="K7" s="42">
        <v>4169104</v>
      </c>
      <c r="L7" s="42"/>
      <c r="M7" s="42">
        <v>1184899</v>
      </c>
      <c r="N7" s="42"/>
      <c r="O7" s="42">
        <f>5316759-816537</f>
        <v>4500222</v>
      </c>
      <c r="P7" s="42"/>
      <c r="Q7" s="42">
        <v>1449285</v>
      </c>
      <c r="R7" s="42"/>
      <c r="S7" s="43">
        <f>SUM(C7:Q7)</f>
        <v>15138872</v>
      </c>
      <c r="T7" s="44">
        <f>SUM(T9:T23)</f>
        <v>1</v>
      </c>
      <c r="U7" s="45">
        <f>SUM(U9:U23)</f>
        <v>159</v>
      </c>
      <c r="V7" s="42">
        <v>1211826</v>
      </c>
      <c r="W7" s="43">
        <f>+V7+S7</f>
        <v>16350698</v>
      </c>
      <c r="X7" s="44">
        <f>SUM(X9:X23)</f>
        <v>1</v>
      </c>
      <c r="Y7" s="45">
        <f>SUM(Y9:Y23)</f>
        <v>164</v>
      </c>
      <c r="Z7" s="42">
        <v>2788000</v>
      </c>
      <c r="AA7" s="43">
        <f>+Z7+W7</f>
        <v>19138698</v>
      </c>
      <c r="AB7" s="20"/>
      <c r="AC7" s="40">
        <v>164</v>
      </c>
    </row>
    <row r="8" spans="1:29" x14ac:dyDescent="0.25">
      <c r="S8" s="39"/>
      <c r="T8" s="44"/>
      <c r="U8" s="45"/>
      <c r="V8" s="25"/>
      <c r="W8" s="39"/>
      <c r="X8" s="44"/>
      <c r="Y8" s="45"/>
      <c r="AA8" s="39"/>
      <c r="AB8" s="20"/>
      <c r="AC8" s="40"/>
    </row>
    <row r="9" spans="1:29" x14ac:dyDescent="0.25">
      <c r="A9" s="41" t="s">
        <v>41</v>
      </c>
      <c r="C9" s="11">
        <v>11565</v>
      </c>
      <c r="D9" s="11"/>
      <c r="E9" s="11">
        <v>39343</v>
      </c>
      <c r="F9" s="11"/>
      <c r="G9" s="11"/>
      <c r="H9" s="11"/>
      <c r="I9" s="11"/>
      <c r="J9" s="11"/>
      <c r="K9" s="11"/>
      <c r="L9" s="11"/>
      <c r="M9" s="11"/>
      <c r="N9" s="11"/>
      <c r="O9" s="11">
        <v>49103</v>
      </c>
      <c r="P9" s="11"/>
      <c r="Q9" s="11">
        <v>739599</v>
      </c>
      <c r="R9" s="11"/>
      <c r="S9" s="46">
        <f t="shared" ref="S9:S19" si="0">SUM(C9:Q9)</f>
        <v>839610</v>
      </c>
      <c r="T9" s="44">
        <f t="shared" ref="T9:T19" si="1">+S9/$S$7</f>
        <v>5.5460538935793897E-2</v>
      </c>
      <c r="U9" s="47">
        <f>159*T9</f>
        <v>8.8182256907912304</v>
      </c>
      <c r="V9" s="25">
        <f>0.17/9*V$7</f>
        <v>22890.046666666665</v>
      </c>
      <c r="W9" s="48">
        <f t="shared" ref="W9:W19" si="2">+V9+S9</f>
        <v>862500.04666666663</v>
      </c>
      <c r="X9" s="44">
        <f t="shared" ref="X9:X19" si="3">+W9/$W$7</f>
        <v>5.2750044473126874E-2</v>
      </c>
      <c r="Y9" s="47">
        <f>164*X9</f>
        <v>8.6510072935928068</v>
      </c>
      <c r="Z9" s="25">
        <f>+$Z$7*X9</f>
        <v>147067.12399107774</v>
      </c>
      <c r="AA9" s="48">
        <f>+W9+Z9</f>
        <v>1009567.1706577444</v>
      </c>
      <c r="AB9" s="44">
        <f>+AA9/$AA$7</f>
        <v>5.2750044473126874E-2</v>
      </c>
      <c r="AC9" s="47">
        <f>164*AB9</f>
        <v>8.6510072935928068</v>
      </c>
    </row>
    <row r="10" spans="1:29" x14ac:dyDescent="0.25">
      <c r="A10" s="41" t="s">
        <v>42</v>
      </c>
      <c r="C10" s="11"/>
      <c r="D10" s="11"/>
      <c r="E10" s="11"/>
      <c r="F10" s="11"/>
      <c r="G10" s="11"/>
      <c r="H10" s="11"/>
      <c r="I10" s="68">
        <f>253408+111000</f>
        <v>364408</v>
      </c>
      <c r="J10" s="11"/>
      <c r="K10" s="11"/>
      <c r="L10" s="11"/>
      <c r="M10" s="11">
        <v>14105</v>
      </c>
      <c r="N10" s="11"/>
      <c r="O10" s="11">
        <f>456740-407637</f>
        <v>49103</v>
      </c>
      <c r="P10" s="11"/>
      <c r="Q10" s="11"/>
      <c r="R10" s="11"/>
      <c r="S10" s="46">
        <f t="shared" si="0"/>
        <v>427616</v>
      </c>
      <c r="T10" s="44">
        <f t="shared" si="1"/>
        <v>2.8246226006798922E-2</v>
      </c>
      <c r="U10" s="47">
        <f t="shared" ref="U10:U19" si="4">159*T10</f>
        <v>4.4911499350810287</v>
      </c>
      <c r="V10" s="25">
        <f>0.17/9*V$7</f>
        <v>22890.046666666665</v>
      </c>
      <c r="W10" s="48">
        <f t="shared" si="2"/>
        <v>450506.04666666669</v>
      </c>
      <c r="X10" s="44">
        <f t="shared" si="3"/>
        <v>2.7552710389896914E-2</v>
      </c>
      <c r="Y10" s="47">
        <f t="shared" ref="Y10:Y19" si="5">164*X10</f>
        <v>4.5186445039430936</v>
      </c>
      <c r="Z10" s="25">
        <f t="shared" ref="Z10:Z19" si="6">+$Z$7*X10</f>
        <v>76816.956567032597</v>
      </c>
      <c r="AA10" s="48">
        <f t="shared" ref="AA10:AA19" si="7">+W10+Z10</f>
        <v>527323.00323369924</v>
      </c>
      <c r="AB10" s="44">
        <f t="shared" ref="AB10:AB19" si="8">+AA10/$AA$7</f>
        <v>2.7552710389896911E-2</v>
      </c>
      <c r="AC10" s="47">
        <f t="shared" ref="AC10:AC19" si="9">164*AB10</f>
        <v>4.5186445039430936</v>
      </c>
    </row>
    <row r="11" spans="1:29" x14ac:dyDescent="0.25">
      <c r="A11" s="41" t="s">
        <v>43</v>
      </c>
      <c r="C11" s="11">
        <v>17990</v>
      </c>
      <c r="D11" s="11"/>
      <c r="E11" s="11">
        <v>39343</v>
      </c>
      <c r="F11" s="11"/>
      <c r="G11" s="11">
        <f>+G7</f>
        <v>1511267</v>
      </c>
      <c r="H11" s="11"/>
      <c r="I11" s="11"/>
      <c r="J11" s="11"/>
      <c r="K11" s="11"/>
      <c r="L11" s="11"/>
      <c r="M11" s="11">
        <v>42316</v>
      </c>
      <c r="N11" s="11"/>
      <c r="O11" s="11">
        <v>311947</v>
      </c>
      <c r="P11" s="11"/>
      <c r="Q11" s="11"/>
      <c r="R11" s="11"/>
      <c r="S11" s="46">
        <f t="shared" si="0"/>
        <v>1922863</v>
      </c>
      <c r="T11" s="44">
        <f t="shared" si="1"/>
        <v>0.1270149453671317</v>
      </c>
      <c r="U11" s="47">
        <f t="shared" si="4"/>
        <v>20.195376313373941</v>
      </c>
      <c r="V11" s="25">
        <f>0.17/9*V$7</f>
        <v>22890.046666666665</v>
      </c>
      <c r="W11" s="48">
        <f t="shared" si="2"/>
        <v>1945753.0466666666</v>
      </c>
      <c r="X11" s="44">
        <f t="shared" si="3"/>
        <v>0.11900122225159236</v>
      </c>
      <c r="Y11" s="47">
        <f t="shared" si="5"/>
        <v>19.516200449261149</v>
      </c>
      <c r="Z11" s="25">
        <f t="shared" si="6"/>
        <v>331775.40763743949</v>
      </c>
      <c r="AA11" s="48">
        <f t="shared" si="7"/>
        <v>2277528.4543041061</v>
      </c>
      <c r="AB11" s="44">
        <f t="shared" si="8"/>
        <v>0.11900122225159235</v>
      </c>
      <c r="AC11" s="47">
        <f t="shared" si="9"/>
        <v>19.516200449261145</v>
      </c>
    </row>
    <row r="12" spans="1:29" x14ac:dyDescent="0.25">
      <c r="A12" s="41" t="s">
        <v>44</v>
      </c>
      <c r="C12" s="11"/>
      <c r="D12" s="11"/>
      <c r="E12" s="11">
        <v>153439</v>
      </c>
      <c r="F12" s="11"/>
      <c r="G12" s="11"/>
      <c r="H12" s="11"/>
      <c r="I12" s="11"/>
      <c r="J12" s="11"/>
      <c r="K12" s="11"/>
      <c r="L12" s="11"/>
      <c r="M12" s="11">
        <v>28211</v>
      </c>
      <c r="N12" s="11"/>
      <c r="O12" s="11">
        <v>197007</v>
      </c>
      <c r="P12" s="11"/>
      <c r="Q12" s="11"/>
      <c r="R12" s="11"/>
      <c r="S12" s="46">
        <f t="shared" si="0"/>
        <v>378657</v>
      </c>
      <c r="T12" s="44">
        <f t="shared" si="1"/>
        <v>2.5012233408142959E-2</v>
      </c>
      <c r="U12" s="47">
        <f t="shared" si="4"/>
        <v>3.9769451118947305</v>
      </c>
      <c r="V12" s="25">
        <f>0.17/9*V$7</f>
        <v>22890.046666666665</v>
      </c>
      <c r="W12" s="48">
        <f t="shared" si="2"/>
        <v>401547.04666666669</v>
      </c>
      <c r="X12" s="44">
        <f t="shared" si="3"/>
        <v>2.4558403969461528E-2</v>
      </c>
      <c r="Y12" s="47">
        <f t="shared" si="5"/>
        <v>4.0275782509916906</v>
      </c>
      <c r="Z12" s="25">
        <f t="shared" si="6"/>
        <v>68468.830266858742</v>
      </c>
      <c r="AA12" s="48">
        <f t="shared" si="7"/>
        <v>470015.87693352543</v>
      </c>
      <c r="AB12" s="44">
        <f t="shared" si="8"/>
        <v>2.4558403969461528E-2</v>
      </c>
      <c r="AC12" s="47">
        <f t="shared" si="9"/>
        <v>4.0275782509916906</v>
      </c>
    </row>
    <row r="13" spans="1:29" x14ac:dyDescent="0.25">
      <c r="A13" s="41" t="s">
        <v>45</v>
      </c>
      <c r="C13" s="11">
        <v>61680</v>
      </c>
      <c r="D13" s="11"/>
      <c r="E13" s="11">
        <v>38360</v>
      </c>
      <c r="F13" s="11"/>
      <c r="G13" s="11"/>
      <c r="H13" s="11"/>
      <c r="I13" s="11"/>
      <c r="J13" s="11"/>
      <c r="K13" s="11">
        <f>+K7</f>
        <v>4169104</v>
      </c>
      <c r="L13" s="11"/>
      <c r="M13" s="11">
        <v>97451</v>
      </c>
      <c r="N13" s="11"/>
      <c r="O13" s="11">
        <v>0</v>
      </c>
      <c r="P13" s="11"/>
      <c r="Q13" s="11"/>
      <c r="R13" s="11"/>
      <c r="S13" s="46">
        <f t="shared" si="0"/>
        <v>4366595</v>
      </c>
      <c r="T13" s="44">
        <f t="shared" si="1"/>
        <v>0.28843595480561562</v>
      </c>
      <c r="U13" s="47">
        <f t="shared" si="4"/>
        <v>45.861316814092888</v>
      </c>
      <c r="V13" s="25">
        <f>0.25*V7</f>
        <v>302956.5</v>
      </c>
      <c r="W13" s="48">
        <f t="shared" si="2"/>
        <v>4669551.5</v>
      </c>
      <c r="X13" s="44">
        <f t="shared" si="3"/>
        <v>0.28558728807785455</v>
      </c>
      <c r="Y13" s="47">
        <f t="shared" si="5"/>
        <v>46.836315244768144</v>
      </c>
      <c r="Z13" s="25">
        <f t="shared" si="6"/>
        <v>796217.35916105844</v>
      </c>
      <c r="AA13" s="48">
        <f t="shared" si="7"/>
        <v>5465768.8591610584</v>
      </c>
      <c r="AB13" s="44">
        <f t="shared" si="8"/>
        <v>0.28558728807785455</v>
      </c>
      <c r="AC13" s="47">
        <f t="shared" si="9"/>
        <v>46.836315244768144</v>
      </c>
    </row>
    <row r="14" spans="1:29" x14ac:dyDescent="0.25">
      <c r="A14" s="41" t="s">
        <v>46</v>
      </c>
      <c r="C14" s="11">
        <v>46260</v>
      </c>
      <c r="D14" s="11"/>
      <c r="E14" s="11">
        <v>45245</v>
      </c>
      <c r="F14" s="11"/>
      <c r="G14" s="11"/>
      <c r="H14" s="11"/>
      <c r="I14" s="11"/>
      <c r="J14" s="11"/>
      <c r="K14" s="11"/>
      <c r="L14" s="11"/>
      <c r="M14" s="11"/>
      <c r="N14" s="11"/>
      <c r="O14" s="11">
        <v>168331</v>
      </c>
      <c r="P14" s="11"/>
      <c r="Q14" s="11"/>
      <c r="R14" s="11"/>
      <c r="S14" s="46">
        <f t="shared" si="0"/>
        <v>259836</v>
      </c>
      <c r="T14" s="44">
        <f t="shared" si="1"/>
        <v>1.7163498046618004E-2</v>
      </c>
      <c r="U14" s="47">
        <f t="shared" si="4"/>
        <v>2.7289961894122627</v>
      </c>
      <c r="V14" s="25">
        <f>0.08*V7</f>
        <v>96946.08</v>
      </c>
      <c r="W14" s="48">
        <f t="shared" si="2"/>
        <v>356782.08000000002</v>
      </c>
      <c r="X14" s="44">
        <f t="shared" si="3"/>
        <v>2.1820602398747748E-2</v>
      </c>
      <c r="Y14" s="47">
        <f t="shared" si="5"/>
        <v>3.5785787933946307</v>
      </c>
      <c r="Z14" s="25">
        <f t="shared" si="6"/>
        <v>60835.839487708719</v>
      </c>
      <c r="AA14" s="48">
        <f t="shared" si="7"/>
        <v>417617.91948770871</v>
      </c>
      <c r="AB14" s="44">
        <f t="shared" si="8"/>
        <v>2.1820602398747748E-2</v>
      </c>
      <c r="AC14" s="47">
        <f t="shared" si="9"/>
        <v>3.5785787933946307</v>
      </c>
    </row>
    <row r="15" spans="1:29" x14ac:dyDescent="0.25">
      <c r="A15" s="41" t="s">
        <v>47</v>
      </c>
      <c r="C15" s="11"/>
      <c r="D15" s="11"/>
      <c r="E15" s="11">
        <v>25573</v>
      </c>
      <c r="F15" s="11"/>
      <c r="G15" s="11"/>
      <c r="H15" s="11"/>
      <c r="I15" s="11"/>
      <c r="J15" s="11"/>
      <c r="K15" s="11"/>
      <c r="L15" s="11"/>
      <c r="M15" s="11"/>
      <c r="N15" s="11"/>
      <c r="O15" s="11">
        <v>0</v>
      </c>
      <c r="P15" s="11"/>
      <c r="Q15" s="11"/>
      <c r="R15" s="11"/>
      <c r="S15" s="46">
        <f t="shared" si="0"/>
        <v>25573</v>
      </c>
      <c r="T15" s="44">
        <f t="shared" si="1"/>
        <v>1.6892275725694755E-3</v>
      </c>
      <c r="U15" s="47">
        <f t="shared" si="4"/>
        <v>0.26858718403854659</v>
      </c>
      <c r="V15" s="25">
        <f>0.17/9*V$7</f>
        <v>22890.046666666665</v>
      </c>
      <c r="W15" s="48">
        <f t="shared" si="2"/>
        <v>48463.046666666662</v>
      </c>
      <c r="X15" s="44">
        <f t="shared" si="3"/>
        <v>2.9639741781461969E-3</v>
      </c>
      <c r="Y15" s="47">
        <f t="shared" si="5"/>
        <v>0.4860917652159763</v>
      </c>
      <c r="Z15" s="25">
        <f t="shared" si="6"/>
        <v>8263.5600086715967</v>
      </c>
      <c r="AA15" s="48">
        <f t="shared" si="7"/>
        <v>56726.606675338262</v>
      </c>
      <c r="AB15" s="44">
        <f t="shared" si="8"/>
        <v>2.9639741781461969E-3</v>
      </c>
      <c r="AC15" s="47">
        <f t="shared" si="9"/>
        <v>0.4860917652159763</v>
      </c>
    </row>
    <row r="16" spans="1:29" x14ac:dyDescent="0.25">
      <c r="A16" s="41" t="s">
        <v>48</v>
      </c>
      <c r="C16" s="11"/>
      <c r="D16" s="11"/>
      <c r="E16" s="11">
        <v>25573</v>
      </c>
      <c r="F16" s="11"/>
      <c r="G16" s="11"/>
      <c r="H16" s="11"/>
      <c r="I16" s="11"/>
      <c r="J16" s="11"/>
      <c r="K16" s="11"/>
      <c r="L16" s="11"/>
      <c r="M16" s="11"/>
      <c r="N16" s="11"/>
      <c r="O16" s="11">
        <v>168331</v>
      </c>
      <c r="P16" s="11"/>
      <c r="Q16" s="11"/>
      <c r="R16" s="11"/>
      <c r="S16" s="46">
        <f t="shared" si="0"/>
        <v>193904</v>
      </c>
      <c r="T16" s="44">
        <f t="shared" si="1"/>
        <v>1.280835190362928E-2</v>
      </c>
      <c r="U16" s="47">
        <f t="shared" si="4"/>
        <v>2.0365279526770554</v>
      </c>
      <c r="V16" s="25">
        <f>0.17/9*V$7</f>
        <v>22890.046666666665</v>
      </c>
      <c r="W16" s="48">
        <f t="shared" si="2"/>
        <v>216794.04666666666</v>
      </c>
      <c r="X16" s="44">
        <f t="shared" si="3"/>
        <v>1.3259008677590807E-2</v>
      </c>
      <c r="Y16" s="47">
        <f t="shared" si="5"/>
        <v>2.1744774231248925</v>
      </c>
      <c r="Z16" s="25">
        <f t="shared" si="6"/>
        <v>36966.116193123169</v>
      </c>
      <c r="AA16" s="48">
        <f t="shared" si="7"/>
        <v>253760.16285978982</v>
      </c>
      <c r="AB16" s="44">
        <f t="shared" si="8"/>
        <v>1.3259008677590807E-2</v>
      </c>
      <c r="AC16" s="47">
        <f t="shared" si="9"/>
        <v>2.1744774231248925</v>
      </c>
    </row>
    <row r="17" spans="1:29" x14ac:dyDescent="0.25">
      <c r="A17" s="41" t="s">
        <v>49</v>
      </c>
      <c r="C17" s="11"/>
      <c r="D17" s="11"/>
      <c r="E17" s="11">
        <v>25573</v>
      </c>
      <c r="F17" s="11"/>
      <c r="G17" s="11"/>
      <c r="H17" s="11"/>
      <c r="I17" s="11"/>
      <c r="J17" s="11"/>
      <c r="K17" s="11"/>
      <c r="L17" s="11"/>
      <c r="M17" s="11"/>
      <c r="N17" s="11"/>
      <c r="O17" s="11">
        <v>57259</v>
      </c>
      <c r="P17" s="11"/>
      <c r="Q17" s="11"/>
      <c r="R17" s="11"/>
      <c r="S17" s="46">
        <f t="shared" si="0"/>
        <v>82832</v>
      </c>
      <c r="T17" s="44">
        <f t="shared" si="1"/>
        <v>5.47147766359343E-3</v>
      </c>
      <c r="U17" s="47">
        <f t="shared" si="4"/>
        <v>0.86996494851135542</v>
      </c>
      <c r="V17" s="25">
        <f>0.17/9*V$7</f>
        <v>22890.046666666665</v>
      </c>
      <c r="W17" s="48">
        <f t="shared" si="2"/>
        <v>105722.04666666666</v>
      </c>
      <c r="X17" s="44">
        <f t="shared" si="3"/>
        <v>6.4659041874950331E-3</v>
      </c>
      <c r="Y17" s="47">
        <f t="shared" si="5"/>
        <v>1.0604082867491855</v>
      </c>
      <c r="Z17" s="25">
        <f t="shared" si="6"/>
        <v>18026.940874736152</v>
      </c>
      <c r="AA17" s="48">
        <f t="shared" si="7"/>
        <v>123748.98754140281</v>
      </c>
      <c r="AB17" s="44">
        <f t="shared" si="8"/>
        <v>6.4659041874950323E-3</v>
      </c>
      <c r="AC17" s="47">
        <f t="shared" si="9"/>
        <v>1.0604082867491853</v>
      </c>
    </row>
    <row r="18" spans="1:29" x14ac:dyDescent="0.25">
      <c r="A18" s="41" t="s">
        <v>50</v>
      </c>
      <c r="C18" s="11"/>
      <c r="D18" s="11"/>
      <c r="E18" s="11">
        <v>9836</v>
      </c>
      <c r="F18" s="11"/>
      <c r="G18" s="11"/>
      <c r="H18" s="11"/>
      <c r="I18" s="11"/>
      <c r="J18" s="11"/>
      <c r="K18" s="11"/>
      <c r="L18" s="11"/>
      <c r="M18" s="11"/>
      <c r="N18" s="11"/>
      <c r="O18" s="11">
        <v>0</v>
      </c>
      <c r="P18" s="11"/>
      <c r="Q18" s="11"/>
      <c r="R18" s="11"/>
      <c r="S18" s="46">
        <f t="shared" si="0"/>
        <v>9836</v>
      </c>
      <c r="T18" s="44">
        <f t="shared" si="1"/>
        <v>6.4971815601585115E-4</v>
      </c>
      <c r="U18" s="47">
        <f t="shared" si="4"/>
        <v>0.10330518680652033</v>
      </c>
      <c r="V18" s="25">
        <f>0.17/9*V$7</f>
        <v>22890.046666666665</v>
      </c>
      <c r="W18" s="48">
        <f t="shared" si="2"/>
        <v>32726.046666666665</v>
      </c>
      <c r="X18" s="44">
        <f t="shared" si="3"/>
        <v>2.0015076216725832E-3</v>
      </c>
      <c r="Y18" s="47">
        <f t="shared" si="5"/>
        <v>0.32824724995430365</v>
      </c>
      <c r="Z18" s="25">
        <f t="shared" si="6"/>
        <v>5580.2032492231619</v>
      </c>
      <c r="AA18" s="48">
        <f t="shared" si="7"/>
        <v>38306.249915889828</v>
      </c>
      <c r="AB18" s="44">
        <f t="shared" si="8"/>
        <v>2.0015076216725832E-3</v>
      </c>
      <c r="AC18" s="47">
        <f t="shared" si="9"/>
        <v>0.32824724995430365</v>
      </c>
    </row>
    <row r="19" spans="1:29" x14ac:dyDescent="0.25">
      <c r="A19" s="41" t="s">
        <v>51</v>
      </c>
      <c r="C19" s="13"/>
      <c r="D19" s="11"/>
      <c r="E19" s="13">
        <v>20655</v>
      </c>
      <c r="F19" s="11"/>
      <c r="G19" s="13"/>
      <c r="H19" s="11"/>
      <c r="I19" s="13"/>
      <c r="J19" s="11"/>
      <c r="K19" s="13"/>
      <c r="L19" s="11"/>
      <c r="M19" s="13"/>
      <c r="N19" s="11"/>
      <c r="O19" s="13">
        <v>0</v>
      </c>
      <c r="P19" s="11"/>
      <c r="Q19" s="13"/>
      <c r="R19" s="11"/>
      <c r="S19" s="49">
        <f t="shared" si="0"/>
        <v>20655</v>
      </c>
      <c r="T19" s="44">
        <f t="shared" si="1"/>
        <v>1.3643684945615498E-3</v>
      </c>
      <c r="U19" s="47">
        <f t="shared" si="4"/>
        <v>0.21693459063528642</v>
      </c>
      <c r="V19" s="25">
        <f>0.17/9*V$7</f>
        <v>22890.046666666665</v>
      </c>
      <c r="W19" s="50">
        <f t="shared" si="2"/>
        <v>43545.046666666662</v>
      </c>
      <c r="X19" s="44">
        <f t="shared" si="3"/>
        <v>2.6631919118478404E-3</v>
      </c>
      <c r="Y19" s="47">
        <f t="shared" si="5"/>
        <v>0.43676347354304584</v>
      </c>
      <c r="Z19" s="25">
        <f t="shared" si="6"/>
        <v>7424.9790502317792</v>
      </c>
      <c r="AA19" s="48">
        <f t="shared" si="7"/>
        <v>50970.025716898439</v>
      </c>
      <c r="AB19" s="44">
        <f t="shared" si="8"/>
        <v>2.6631919118478404E-3</v>
      </c>
      <c r="AC19" s="47">
        <f t="shared" si="9"/>
        <v>0.43676347354304584</v>
      </c>
    </row>
    <row r="20" spans="1:29" x14ac:dyDescent="0.25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51"/>
      <c r="T20" s="44"/>
      <c r="U20" s="47"/>
      <c r="V20" s="25"/>
      <c r="W20" s="39"/>
      <c r="X20" s="44"/>
      <c r="Y20" s="45"/>
      <c r="AA20" s="39"/>
      <c r="AB20" s="20"/>
      <c r="AC20" s="40"/>
    </row>
    <row r="21" spans="1:29" x14ac:dyDescent="0.25">
      <c r="A21" s="41" t="s">
        <v>52</v>
      </c>
      <c r="B21" s="41"/>
      <c r="C21" s="52">
        <f>SUM(C9:C19)</f>
        <v>137495</v>
      </c>
      <c r="D21" s="52"/>
      <c r="E21" s="52">
        <f>SUM(E9:E19)</f>
        <v>422940</v>
      </c>
      <c r="F21" s="52"/>
      <c r="G21" s="52">
        <f>SUM(G9:G19)</f>
        <v>1511267</v>
      </c>
      <c r="H21" s="52"/>
      <c r="I21" s="52">
        <f>SUM(I9:I19)</f>
        <v>364408</v>
      </c>
      <c r="J21" s="52"/>
      <c r="K21" s="52">
        <f>SUM(K9:K19)</f>
        <v>4169104</v>
      </c>
      <c r="L21" s="52"/>
      <c r="M21" s="52">
        <f>SUM(M9:M19)</f>
        <v>182083</v>
      </c>
      <c r="N21" s="52"/>
      <c r="O21" s="52">
        <f>SUM(O9:O19)</f>
        <v>1001081</v>
      </c>
      <c r="P21" s="52"/>
      <c r="Q21" s="52">
        <f>SUM(Q9:Q19)</f>
        <v>739599</v>
      </c>
      <c r="R21" s="52"/>
      <c r="S21" s="46">
        <f>SUM(C21:Q21)</f>
        <v>8527977</v>
      </c>
      <c r="T21" s="44"/>
      <c r="U21" s="47"/>
      <c r="V21" s="53">
        <f>SUM(V9:V19)</f>
        <v>605912.99999999988</v>
      </c>
      <c r="W21" s="43">
        <f>+V21+S21</f>
        <v>9133890</v>
      </c>
      <c r="X21" s="44"/>
      <c r="Y21" s="45"/>
      <c r="Z21" s="42">
        <f>SUM(Z9:Z20)</f>
        <v>1557443.3164871614</v>
      </c>
      <c r="AA21" s="43">
        <f>SUM(AA9:AA20)</f>
        <v>10691333.316487163</v>
      </c>
      <c r="AB21" s="20"/>
      <c r="AC21" s="40"/>
    </row>
    <row r="22" spans="1:29" x14ac:dyDescent="0.25">
      <c r="S22" s="39"/>
      <c r="T22" s="44"/>
      <c r="U22" s="47"/>
      <c r="V22" s="25"/>
      <c r="W22" s="48">
        <f>+V22+S22</f>
        <v>0</v>
      </c>
      <c r="X22" s="44"/>
      <c r="Y22" s="45"/>
      <c r="AA22" s="39"/>
      <c r="AB22" s="20"/>
      <c r="AC22" s="40"/>
    </row>
    <row r="23" spans="1:29" ht="13.8" thickBot="1" x14ac:dyDescent="0.3">
      <c r="A23" s="41" t="s">
        <v>53</v>
      </c>
      <c r="B23" s="41"/>
      <c r="C23" s="54">
        <f>+C7-C21</f>
        <v>109226</v>
      </c>
      <c r="D23" s="41"/>
      <c r="E23" s="54">
        <f>+E7-E21</f>
        <v>837897</v>
      </c>
      <c r="F23" s="41"/>
      <c r="G23" s="54">
        <f>+G7-G21</f>
        <v>0</v>
      </c>
      <c r="H23" s="41"/>
      <c r="I23" s="54">
        <f>+I7-I21</f>
        <v>452129</v>
      </c>
      <c r="J23" s="41"/>
      <c r="K23" s="54">
        <f>+K7-K21</f>
        <v>0</v>
      </c>
      <c r="L23" s="41"/>
      <c r="M23" s="54">
        <f>+M7-M21</f>
        <v>1002816</v>
      </c>
      <c r="N23" s="41"/>
      <c r="O23" s="54">
        <f>+O7-O21</f>
        <v>3499141</v>
      </c>
      <c r="P23" s="41"/>
      <c r="Q23" s="54">
        <f>+Q7-Q21</f>
        <v>709686</v>
      </c>
      <c r="R23" s="41"/>
      <c r="S23" s="55">
        <f>+S7-S21</f>
        <v>6610895</v>
      </c>
      <c r="T23" s="56">
        <f>+S23/$S$7</f>
        <v>0.43668345963952926</v>
      </c>
      <c r="U23" s="57">
        <f>159*T23</f>
        <v>69.432670082685149</v>
      </c>
      <c r="V23" s="42">
        <f>+V7-V21</f>
        <v>605913.00000000012</v>
      </c>
      <c r="W23" s="58">
        <f>+V23+S23</f>
        <v>7216808</v>
      </c>
      <c r="X23" s="56">
        <f>+W23/$W$7</f>
        <v>0.44137614186256757</v>
      </c>
      <c r="Y23" s="57">
        <f>164*X23</f>
        <v>72.385687265461087</v>
      </c>
      <c r="Z23" s="42">
        <f>+Z7-Z21</f>
        <v>1230556.6835128386</v>
      </c>
      <c r="AA23" s="58">
        <f>+Z23+W23</f>
        <v>8447364.6835128386</v>
      </c>
      <c r="AB23" s="56">
        <f>+AA23/$AA7</f>
        <v>0.44137614186256757</v>
      </c>
      <c r="AC23" s="57">
        <f>164*AB23</f>
        <v>72.385687265461087</v>
      </c>
    </row>
    <row r="24" spans="1:29" x14ac:dyDescent="0.25">
      <c r="U24" s="25"/>
      <c r="V24" s="25"/>
      <c r="Y24" s="25"/>
    </row>
    <row r="25" spans="1:29" x14ac:dyDescent="0.25">
      <c r="U25" s="25"/>
    </row>
    <row r="26" spans="1:29" x14ac:dyDescent="0.25">
      <c r="U26" s="25"/>
    </row>
    <row r="27" spans="1:29" x14ac:dyDescent="0.25">
      <c r="U27" s="25"/>
    </row>
    <row r="28" spans="1:29" x14ac:dyDescent="0.25">
      <c r="U28" s="25"/>
    </row>
    <row r="29" spans="1:29" x14ac:dyDescent="0.25">
      <c r="U29" s="25"/>
    </row>
  </sheetData>
  <mergeCells count="3">
    <mergeCell ref="A1:S1"/>
    <mergeCell ref="A2:S2"/>
    <mergeCell ref="A3:S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A6" sqref="A6"/>
    </sheetView>
  </sheetViews>
  <sheetFormatPr defaultRowHeight="13.2" x14ac:dyDescent="0.25"/>
  <cols>
    <col min="1" max="1" width="27.6640625" bestFit="1" customWidth="1"/>
    <col min="2" max="2" width="12.88671875" bestFit="1" customWidth="1"/>
    <col min="3" max="3" width="7.44140625" customWidth="1"/>
    <col min="4" max="4" width="6.88671875" customWidth="1"/>
    <col min="5" max="5" width="6.109375" customWidth="1"/>
    <col min="6" max="6" width="2.5546875" customWidth="1"/>
    <col min="7" max="7" width="27.33203125" bestFit="1" customWidth="1"/>
    <col min="8" max="8" width="11.33203125" customWidth="1"/>
    <col min="9" max="9" width="7.44140625" customWidth="1"/>
    <col min="10" max="10" width="5.6640625" customWidth="1"/>
    <col min="11" max="11" width="3.6640625" bestFit="1" customWidth="1"/>
    <col min="13" max="13" width="12.88671875" bestFit="1" customWidth="1"/>
    <col min="14" max="14" width="10.33203125" bestFit="1" customWidth="1"/>
    <col min="15" max="15" width="11.33203125" bestFit="1" customWidth="1"/>
  </cols>
  <sheetData>
    <row r="1" spans="1:15" ht="15.6" x14ac:dyDescent="0.3">
      <c r="A1" s="227" t="s">
        <v>234</v>
      </c>
      <c r="B1" s="227"/>
      <c r="C1" s="227"/>
      <c r="D1" s="227"/>
      <c r="E1" s="227"/>
      <c r="F1" s="227"/>
      <c r="G1" s="227"/>
      <c r="H1" s="221"/>
      <c r="I1" s="221"/>
      <c r="J1" s="221"/>
    </row>
    <row r="2" spans="1:15" ht="15" x14ac:dyDescent="0.25">
      <c r="A2" s="228" t="s">
        <v>1</v>
      </c>
      <c r="B2" s="228"/>
      <c r="C2" s="228"/>
      <c r="D2" s="228"/>
      <c r="E2" s="228"/>
      <c r="F2" s="228"/>
      <c r="G2" s="228"/>
      <c r="H2" s="221"/>
      <c r="I2" s="221"/>
      <c r="J2" s="221"/>
    </row>
    <row r="4" spans="1:15" x14ac:dyDescent="0.25">
      <c r="A4" s="223" t="s">
        <v>2</v>
      </c>
      <c r="B4" s="223"/>
      <c r="C4" s="224"/>
      <c r="D4" s="224"/>
      <c r="E4" s="59"/>
      <c r="F4" s="59"/>
      <c r="G4" s="223" t="s">
        <v>3</v>
      </c>
      <c r="H4" s="223"/>
      <c r="I4" s="224"/>
      <c r="J4" s="224"/>
    </row>
    <row r="5" spans="1:15" x14ac:dyDescent="0.25">
      <c r="B5" s="3" t="s">
        <v>4</v>
      </c>
      <c r="C5" s="3" t="s">
        <v>5</v>
      </c>
      <c r="D5" s="3" t="s">
        <v>6</v>
      </c>
      <c r="E5" s="4"/>
      <c r="F5" s="4"/>
      <c r="H5" s="3" t="s">
        <v>4</v>
      </c>
      <c r="I5" s="3" t="s">
        <v>5</v>
      </c>
      <c r="J5" s="3" t="s">
        <v>6</v>
      </c>
    </row>
    <row r="6" spans="1:15" ht="20.25" customHeight="1" x14ac:dyDescent="0.25">
      <c r="B6" s="4"/>
      <c r="C6" s="4"/>
      <c r="D6" s="59">
        <v>138</v>
      </c>
      <c r="E6" s="4"/>
      <c r="F6" s="4"/>
      <c r="J6">
        <v>164</v>
      </c>
    </row>
    <row r="7" spans="1:15" ht="18.75" customHeight="1" x14ac:dyDescent="0.25">
      <c r="A7" t="s">
        <v>235</v>
      </c>
      <c r="B7" s="11">
        <f>3000</f>
        <v>3000</v>
      </c>
      <c r="C7" s="24">
        <f t="shared" ref="C7:C39" si="0">+B7/B$40</f>
        <v>1.6844075015200375E-4</v>
      </c>
      <c r="D7" s="60">
        <f t="shared" ref="D7:D38" si="1">+C7*D$6</f>
        <v>2.3244823520976517E-2</v>
      </c>
      <c r="E7" s="11"/>
      <c r="F7" s="11"/>
      <c r="G7" t="s">
        <v>235</v>
      </c>
      <c r="H7" s="11">
        <v>0</v>
      </c>
      <c r="I7" s="24">
        <f t="shared" ref="I7:I23" si="2">+H7/H$40</f>
        <v>0</v>
      </c>
      <c r="J7" s="60">
        <f t="shared" ref="J7:J38" si="3">+I7*J$6</f>
        <v>0</v>
      </c>
      <c r="M7" s="10"/>
      <c r="N7" s="10"/>
      <c r="O7" s="10"/>
    </row>
    <row r="8" spans="1:15" x14ac:dyDescent="0.25">
      <c r="A8" t="s">
        <v>236</v>
      </c>
      <c r="B8" s="11">
        <f>996</f>
        <v>996</v>
      </c>
      <c r="C8" s="24">
        <f t="shared" si="0"/>
        <v>5.5922329050465245E-5</v>
      </c>
      <c r="D8" s="60">
        <f t="shared" si="1"/>
        <v>7.717281408964204E-3</v>
      </c>
      <c r="E8" s="11"/>
      <c r="F8" s="11"/>
      <c r="G8" t="s">
        <v>236</v>
      </c>
      <c r="H8" s="11">
        <v>0</v>
      </c>
      <c r="I8" s="24">
        <f t="shared" si="2"/>
        <v>0</v>
      </c>
      <c r="J8" s="60">
        <f t="shared" si="3"/>
        <v>0</v>
      </c>
      <c r="M8" s="10"/>
      <c r="N8" s="10"/>
      <c r="O8" s="10"/>
    </row>
    <row r="9" spans="1:15" x14ac:dyDescent="0.25">
      <c r="A9" t="s">
        <v>237</v>
      </c>
      <c r="B9" s="11">
        <f>3498</f>
        <v>3498</v>
      </c>
      <c r="C9" s="24">
        <f t="shared" si="0"/>
        <v>1.9640191467723637E-4</v>
      </c>
      <c r="D9" s="60">
        <f>+C9*D$6</f>
        <v>2.7103464225458618E-2</v>
      </c>
      <c r="E9" s="11"/>
      <c r="F9" s="11"/>
      <c r="G9" t="s">
        <v>237</v>
      </c>
      <c r="H9" s="11">
        <v>0</v>
      </c>
      <c r="I9" s="24">
        <f t="shared" si="2"/>
        <v>0</v>
      </c>
      <c r="J9" s="60">
        <f t="shared" si="3"/>
        <v>0</v>
      </c>
      <c r="M9" s="10"/>
      <c r="N9" s="10"/>
      <c r="O9" s="10"/>
    </row>
    <row r="10" spans="1:15" x14ac:dyDescent="0.25">
      <c r="A10" t="s">
        <v>238</v>
      </c>
      <c r="B10" s="11">
        <f>996</f>
        <v>996</v>
      </c>
      <c r="C10" s="24">
        <f t="shared" si="0"/>
        <v>5.5922329050465245E-5</v>
      </c>
      <c r="D10" s="60">
        <f>+C10*D$6</f>
        <v>7.717281408964204E-3</v>
      </c>
      <c r="E10" s="11"/>
      <c r="F10" s="11"/>
      <c r="G10" t="s">
        <v>238</v>
      </c>
      <c r="H10" s="11">
        <v>0</v>
      </c>
      <c r="I10" s="24">
        <f t="shared" si="2"/>
        <v>0</v>
      </c>
      <c r="J10" s="60">
        <f t="shared" si="3"/>
        <v>0</v>
      </c>
      <c r="M10" s="10"/>
      <c r="N10" s="10"/>
      <c r="O10" s="10"/>
    </row>
    <row r="11" spans="1:15" x14ac:dyDescent="0.25">
      <c r="A11" t="s">
        <v>54</v>
      </c>
      <c r="B11" s="11">
        <f>991613+401861+66243</f>
        <v>1459717</v>
      </c>
      <c r="C11" s="24">
        <f t="shared" si="0"/>
        <v>8.1958608829877475E-2</v>
      </c>
      <c r="D11" s="60">
        <f>+C11*D$6</f>
        <v>11.310288018523092</v>
      </c>
      <c r="E11" s="61"/>
      <c r="F11" s="61"/>
      <c r="G11" t="s">
        <v>54</v>
      </c>
      <c r="H11" s="11">
        <f>125777+1383997+308433</f>
        <v>1818207</v>
      </c>
      <c r="I11" s="24">
        <f t="shared" si="2"/>
        <v>8.906351558137722E-2</v>
      </c>
      <c r="J11" s="60">
        <f>+I11*J$6</f>
        <v>14.606416555345865</v>
      </c>
      <c r="M11" s="10"/>
      <c r="N11" s="10"/>
      <c r="O11" s="10"/>
    </row>
    <row r="12" spans="1:15" x14ac:dyDescent="0.25">
      <c r="A12" t="s">
        <v>55</v>
      </c>
      <c r="B12" s="11">
        <f>47004+109571</f>
        <v>156575</v>
      </c>
      <c r="C12" s="24">
        <f t="shared" si="0"/>
        <v>8.7912034850166614E-3</v>
      </c>
      <c r="D12" s="60">
        <f>+C12*D$6</f>
        <v>1.2131860809322992</v>
      </c>
      <c r="E12" s="11"/>
      <c r="F12" s="11"/>
      <c r="G12" t="s">
        <v>55</v>
      </c>
      <c r="H12" s="11">
        <f>34738+305826+859436</f>
        <v>1200000</v>
      </c>
      <c r="I12" s="24">
        <f t="shared" si="2"/>
        <v>5.8781106165388577E-2</v>
      </c>
      <c r="J12" s="60">
        <f t="shared" si="3"/>
        <v>9.6401014111237266</v>
      </c>
      <c r="M12" s="10"/>
      <c r="N12" s="10"/>
      <c r="O12" s="10"/>
    </row>
    <row r="13" spans="1:15" x14ac:dyDescent="0.25">
      <c r="A13" t="s">
        <v>56</v>
      </c>
      <c r="B13" s="141">
        <f>99996</f>
        <v>99996</v>
      </c>
      <c r="C13" s="24">
        <f t="shared" si="0"/>
        <v>5.6144670840665885E-3</v>
      </c>
      <c r="D13" s="60">
        <f>+C13*D$6</f>
        <v>0.7747964576011892</v>
      </c>
      <c r="E13" s="11"/>
      <c r="F13" s="11"/>
      <c r="G13" t="s">
        <v>56</v>
      </c>
      <c r="H13" s="11">
        <v>0</v>
      </c>
      <c r="I13" s="24">
        <f t="shared" si="2"/>
        <v>0</v>
      </c>
      <c r="J13" s="60">
        <f t="shared" si="3"/>
        <v>0</v>
      </c>
      <c r="K13" s="63"/>
      <c r="M13" s="10"/>
      <c r="N13" s="10"/>
      <c r="O13" s="10"/>
    </row>
    <row r="14" spans="1:15" x14ac:dyDescent="0.25">
      <c r="A14" t="s">
        <v>67</v>
      </c>
      <c r="B14" s="11">
        <f>11988</f>
        <v>11988</v>
      </c>
      <c r="C14" s="24">
        <f t="shared" si="0"/>
        <v>6.7308923760740693E-4</v>
      </c>
      <c r="D14" s="60">
        <f t="shared" si="1"/>
        <v>9.288631478982215E-2</v>
      </c>
      <c r="E14" s="11"/>
      <c r="F14" s="11"/>
      <c r="G14" t="s">
        <v>67</v>
      </c>
      <c r="H14" s="11">
        <v>0</v>
      </c>
      <c r="I14" s="24">
        <f t="shared" si="2"/>
        <v>0</v>
      </c>
      <c r="J14" s="60">
        <f t="shared" si="3"/>
        <v>0</v>
      </c>
      <c r="K14" s="63"/>
      <c r="M14" s="10"/>
      <c r="N14" s="10"/>
      <c r="O14" s="10"/>
    </row>
    <row r="15" spans="1:15" x14ac:dyDescent="0.25">
      <c r="A15" t="s">
        <v>239</v>
      </c>
      <c r="B15" s="11">
        <v>68004</v>
      </c>
      <c r="C15" s="24">
        <f t="shared" si="0"/>
        <v>3.8182149244456206E-3</v>
      </c>
      <c r="D15" s="60">
        <f>+C15*D$6</f>
        <v>0.52691365957349567</v>
      </c>
      <c r="E15" s="11"/>
      <c r="F15" s="11"/>
      <c r="G15" t="s">
        <v>239</v>
      </c>
      <c r="H15" s="11">
        <f>93103+11790</f>
        <v>104893</v>
      </c>
      <c r="I15" s="24">
        <f t="shared" si="2"/>
        <v>5.1381054741717535E-3</v>
      </c>
      <c r="J15" s="60">
        <f t="shared" si="3"/>
        <v>0.84264929776416753</v>
      </c>
      <c r="K15" s="63"/>
      <c r="M15" s="10"/>
      <c r="N15" s="10"/>
      <c r="O15" s="10"/>
    </row>
    <row r="16" spans="1:15" x14ac:dyDescent="0.25">
      <c r="A16" t="s">
        <v>57</v>
      </c>
      <c r="B16" s="141">
        <f>18000+44394</f>
        <v>62394</v>
      </c>
      <c r="C16" s="24">
        <f t="shared" si="0"/>
        <v>3.5032307216613739E-3</v>
      </c>
      <c r="D16" s="60">
        <f>+C16*D$6+0.03</f>
        <v>0.51344583958926959</v>
      </c>
      <c r="E16" s="11"/>
      <c r="F16" s="11"/>
      <c r="G16" t="s">
        <v>57</v>
      </c>
      <c r="H16" s="11">
        <f>24256+521143+246877</f>
        <v>792276</v>
      </c>
      <c r="I16" s="24">
        <f t="shared" si="2"/>
        <v>3.8809049723574497E-2</v>
      </c>
      <c r="J16" s="60">
        <f t="shared" si="3"/>
        <v>6.3646841546662172</v>
      </c>
      <c r="K16" s="63"/>
      <c r="M16" s="10"/>
      <c r="N16" s="10"/>
      <c r="O16" s="10"/>
    </row>
    <row r="17" spans="1:15" x14ac:dyDescent="0.25">
      <c r="A17" t="s">
        <v>61</v>
      </c>
      <c r="B17" s="11">
        <f>60996+3953519</f>
        <v>4014515</v>
      </c>
      <c r="C17" s="24">
        <f t="shared" si="0"/>
        <v>0.22540263936549043</v>
      </c>
      <c r="D17" s="142">
        <f>+C17*D$6</f>
        <v>31.105564232437679</v>
      </c>
      <c r="E17" s="11"/>
      <c r="F17" s="11"/>
      <c r="G17" t="s">
        <v>61</v>
      </c>
      <c r="H17" s="11">
        <f>123530+2342961+2006678+646626</f>
        <v>5119795</v>
      </c>
      <c r="I17" s="24">
        <f t="shared" si="2"/>
        <v>0.25078934453335466</v>
      </c>
      <c r="J17" s="60">
        <f t="shared" si="3"/>
        <v>41.129452503470162</v>
      </c>
      <c r="K17" s="63"/>
      <c r="M17" s="10"/>
      <c r="N17" s="10"/>
      <c r="O17" s="10"/>
    </row>
    <row r="18" spans="1:15" x14ac:dyDescent="0.25">
      <c r="A18" t="s">
        <v>59</v>
      </c>
      <c r="B18" s="11">
        <f>293501+58140</f>
        <v>351641</v>
      </c>
      <c r="C18" s="24">
        <f t="shared" si="0"/>
        <v>1.9743557941400248E-2</v>
      </c>
      <c r="D18" s="142">
        <f>+C18*D$6</f>
        <v>2.7246109959132343</v>
      </c>
      <c r="E18" s="11"/>
      <c r="F18" s="11"/>
      <c r="G18" t="s">
        <v>59</v>
      </c>
      <c r="H18" s="11">
        <f>108575</f>
        <v>108575</v>
      </c>
      <c r="I18" s="24">
        <f t="shared" si="2"/>
        <v>5.3184655015892203E-3</v>
      </c>
      <c r="J18" s="60">
        <f t="shared" si="3"/>
        <v>0.87222834226063217</v>
      </c>
      <c r="K18" s="63"/>
      <c r="M18" s="10"/>
      <c r="N18" s="10"/>
      <c r="O18" s="10"/>
    </row>
    <row r="19" spans="1:15" x14ac:dyDescent="0.25">
      <c r="A19" t="s">
        <v>62</v>
      </c>
      <c r="B19" s="11">
        <f>25982</f>
        <v>25982</v>
      </c>
      <c r="C19" s="24">
        <f t="shared" si="0"/>
        <v>1.4588091901497871E-3</v>
      </c>
      <c r="D19" s="60">
        <f t="shared" si="1"/>
        <v>0.20131566824067063</v>
      </c>
      <c r="E19" s="11"/>
      <c r="F19" s="11"/>
      <c r="G19" t="s">
        <v>62</v>
      </c>
      <c r="H19" s="11">
        <v>0</v>
      </c>
      <c r="I19" s="24">
        <f t="shared" si="2"/>
        <v>0</v>
      </c>
      <c r="J19" s="60">
        <f t="shared" si="3"/>
        <v>0</v>
      </c>
      <c r="K19" s="63"/>
      <c r="M19" s="10"/>
      <c r="N19" s="10"/>
      <c r="O19" s="10"/>
    </row>
    <row r="20" spans="1:15" x14ac:dyDescent="0.25">
      <c r="A20" t="s">
        <v>63</v>
      </c>
      <c r="B20" s="11">
        <f>10370</f>
        <v>10370</v>
      </c>
      <c r="C20" s="24">
        <f t="shared" si="0"/>
        <v>5.8224352635875961E-4</v>
      </c>
      <c r="D20" s="60">
        <f t="shared" si="1"/>
        <v>8.0349606637508827E-2</v>
      </c>
      <c r="E20" s="11"/>
      <c r="F20" s="11"/>
      <c r="G20" t="s">
        <v>63</v>
      </c>
      <c r="H20" s="11">
        <f>15273+1934</f>
        <v>17207</v>
      </c>
      <c r="I20" s="24">
        <f t="shared" si="2"/>
        <v>8.4287207815653435E-4</v>
      </c>
      <c r="J20" s="60">
        <f t="shared" si="3"/>
        <v>0.13823102081767163</v>
      </c>
      <c r="K20" s="63"/>
      <c r="M20" s="10"/>
      <c r="N20" s="10"/>
      <c r="O20" s="10"/>
    </row>
    <row r="21" spans="1:15" x14ac:dyDescent="0.25">
      <c r="A21" t="s">
        <v>240</v>
      </c>
      <c r="B21" s="11">
        <f>5004</f>
        <v>5004</v>
      </c>
      <c r="C21" s="24">
        <f t="shared" si="0"/>
        <v>2.8095917125354222E-4</v>
      </c>
      <c r="D21" s="60">
        <f t="shared" si="1"/>
        <v>3.8772365632988824E-2</v>
      </c>
      <c r="E21" s="11"/>
      <c r="F21" s="11"/>
      <c r="G21" t="s">
        <v>240</v>
      </c>
      <c r="H21" s="11">
        <v>0</v>
      </c>
      <c r="I21" s="24">
        <f t="shared" si="2"/>
        <v>0</v>
      </c>
      <c r="J21" s="60">
        <f t="shared" si="3"/>
        <v>0</v>
      </c>
      <c r="K21" s="63"/>
      <c r="M21" s="10"/>
      <c r="N21" s="10"/>
      <c r="O21" s="10"/>
    </row>
    <row r="22" spans="1:15" x14ac:dyDescent="0.25">
      <c r="A22" t="s">
        <v>64</v>
      </c>
      <c r="B22" s="11">
        <f>3000+129816</f>
        <v>132816</v>
      </c>
      <c r="C22" s="24">
        <f t="shared" si="0"/>
        <v>7.45720889072951E-3</v>
      </c>
      <c r="D22" s="60">
        <f>+C22*D$6</f>
        <v>1.0290948269206723</v>
      </c>
      <c r="E22" s="11"/>
      <c r="F22" s="11"/>
      <c r="G22" t="s">
        <v>64</v>
      </c>
      <c r="H22" s="11">
        <v>0</v>
      </c>
      <c r="I22" s="24">
        <f t="shared" si="2"/>
        <v>0</v>
      </c>
      <c r="J22" s="60">
        <f t="shared" si="3"/>
        <v>0</v>
      </c>
      <c r="K22" s="63"/>
      <c r="M22" s="10"/>
      <c r="N22" s="10"/>
      <c r="O22" s="10"/>
    </row>
    <row r="23" spans="1:15" x14ac:dyDescent="0.25">
      <c r="A23" t="s">
        <v>65</v>
      </c>
      <c r="B23" s="11">
        <f>18996+891107+112635</f>
        <v>1022738</v>
      </c>
      <c r="C23" s="24">
        <f t="shared" si="0"/>
        <v>5.7423585309653337E-2</v>
      </c>
      <c r="D23" s="60">
        <f t="shared" si="1"/>
        <v>7.9244547727321608</v>
      </c>
      <c r="E23" s="11"/>
      <c r="F23" s="11"/>
      <c r="G23" t="s">
        <v>65</v>
      </c>
      <c r="H23" s="11">
        <f>37464+1069899+379224</f>
        <v>1486587</v>
      </c>
      <c r="I23" s="24">
        <f t="shared" si="2"/>
        <v>7.2819356892572087E-2</v>
      </c>
      <c r="J23" s="60">
        <f t="shared" si="3"/>
        <v>11.942374530381823</v>
      </c>
      <c r="K23" s="63"/>
      <c r="M23" s="10"/>
      <c r="N23" s="10"/>
      <c r="O23" s="10"/>
    </row>
    <row r="24" spans="1:15" x14ac:dyDescent="0.25">
      <c r="A24" t="s">
        <v>66</v>
      </c>
      <c r="B24" s="11">
        <f>5004+810548+70578</f>
        <v>886130</v>
      </c>
      <c r="C24" s="24">
        <f t="shared" si="0"/>
        <v>4.9753467310731693E-2</v>
      </c>
      <c r="D24" s="60">
        <f t="shared" si="1"/>
        <v>6.8659784888809741</v>
      </c>
      <c r="E24" s="11"/>
      <c r="F24" s="11"/>
      <c r="G24" t="s">
        <v>66</v>
      </c>
      <c r="H24" s="11">
        <f>24616+669968+227119</f>
        <v>921703</v>
      </c>
      <c r="I24" s="24">
        <f>+H24/H$40-0.001</f>
        <v>4.4148934913297626E-2</v>
      </c>
      <c r="J24" s="60">
        <f t="shared" si="3"/>
        <v>7.2404253257808104</v>
      </c>
      <c r="K24" s="63"/>
      <c r="M24" s="10"/>
      <c r="N24" s="10"/>
      <c r="O24" s="10"/>
    </row>
    <row r="25" spans="1:15" x14ac:dyDescent="0.25">
      <c r="A25" t="s">
        <v>241</v>
      </c>
      <c r="B25" s="11">
        <f>498</f>
        <v>498</v>
      </c>
      <c r="C25" s="24">
        <f t="shared" si="0"/>
        <v>2.7961164525232622E-5</v>
      </c>
      <c r="D25" s="60">
        <f t="shared" si="1"/>
        <v>3.858640704482102E-3</v>
      </c>
      <c r="E25" s="11"/>
      <c r="F25" s="11"/>
      <c r="G25" t="s">
        <v>241</v>
      </c>
      <c r="H25" s="11">
        <v>0</v>
      </c>
      <c r="I25" s="24">
        <f>+H25/H$40</f>
        <v>0</v>
      </c>
      <c r="J25" s="60">
        <f t="shared" si="3"/>
        <v>0</v>
      </c>
      <c r="K25" s="11"/>
      <c r="M25" s="10"/>
      <c r="N25" s="10"/>
      <c r="O25" s="10"/>
    </row>
    <row r="26" spans="1:15" x14ac:dyDescent="0.25">
      <c r="A26" s="143" t="s">
        <v>68</v>
      </c>
      <c r="B26" s="144">
        <f>66996+4552197+208249-2</f>
        <v>4827440</v>
      </c>
      <c r="C26" s="145">
        <f t="shared" si="0"/>
        <v>0.27104587163792965</v>
      </c>
      <c r="D26" s="146">
        <f t="shared" si="1"/>
        <v>37.404330286034295</v>
      </c>
      <c r="E26" s="143"/>
      <c r="F26" s="143"/>
      <c r="G26" s="143" t="s">
        <v>68</v>
      </c>
      <c r="H26" s="144">
        <f>100352+2145026+526597</f>
        <v>2771975</v>
      </c>
      <c r="I26" s="84">
        <f>+H26/H$40-0.002</f>
        <v>0.13378313063566916</v>
      </c>
      <c r="J26" s="9">
        <f t="shared" si="3"/>
        <v>21.94043342424974</v>
      </c>
      <c r="K26" s="11"/>
      <c r="M26" s="10"/>
      <c r="N26" s="10"/>
      <c r="O26" s="10"/>
    </row>
    <row r="27" spans="1:15" x14ac:dyDescent="0.25">
      <c r="A27" t="s">
        <v>70</v>
      </c>
      <c r="B27" s="63">
        <f>30000+457717+3779417</f>
        <v>4267134</v>
      </c>
      <c r="C27" s="24">
        <f t="shared" si="0"/>
        <v>0.23958641731970678</v>
      </c>
      <c r="D27" s="60">
        <f t="shared" si="1"/>
        <v>33.062925590119534</v>
      </c>
      <c r="E27" s="63"/>
      <c r="F27" s="63"/>
      <c r="G27" t="s">
        <v>70</v>
      </c>
      <c r="H27" s="11">
        <f>234483+2434299+2973047-1</f>
        <v>5641828</v>
      </c>
      <c r="I27" s="24">
        <f t="shared" ref="I27:I39" si="4">+H27/H$40</f>
        <v>0.27636074219571827</v>
      </c>
      <c r="J27" s="60">
        <f t="shared" si="3"/>
        <v>45.323161720097794</v>
      </c>
      <c r="K27" s="11"/>
      <c r="M27" s="10"/>
      <c r="N27" s="10"/>
      <c r="O27" s="10"/>
    </row>
    <row r="28" spans="1:15" x14ac:dyDescent="0.25">
      <c r="A28" t="s">
        <v>71</v>
      </c>
      <c r="B28" s="11">
        <f>34286</f>
        <v>34286</v>
      </c>
      <c r="C28" s="24">
        <f t="shared" si="0"/>
        <v>1.9250531865705335E-3</v>
      </c>
      <c r="D28" s="60">
        <f t="shared" si="1"/>
        <v>0.26565733974673361</v>
      </c>
      <c r="E28" s="11"/>
      <c r="F28" s="11"/>
      <c r="G28" t="s">
        <v>71</v>
      </c>
      <c r="H28" s="11">
        <f>164757</f>
        <v>164757</v>
      </c>
      <c r="I28" s="24">
        <f t="shared" si="4"/>
        <v>8.070498923742439E-3</v>
      </c>
      <c r="J28" s="60">
        <f t="shared" si="3"/>
        <v>1.3235618234937601</v>
      </c>
      <c r="K28" s="63"/>
      <c r="M28" s="10"/>
      <c r="N28" s="10"/>
      <c r="O28" s="10"/>
    </row>
    <row r="29" spans="1:15" x14ac:dyDescent="0.25">
      <c r="A29" t="s">
        <v>242</v>
      </c>
      <c r="B29" s="11">
        <f>32004</f>
        <v>32004</v>
      </c>
      <c r="C29" s="24">
        <f t="shared" si="0"/>
        <v>1.7969259226215759E-3</v>
      </c>
      <c r="D29" s="60">
        <f t="shared" si="1"/>
        <v>0.24797577732177747</v>
      </c>
      <c r="E29" s="11"/>
      <c r="F29" s="11"/>
      <c r="G29" t="s">
        <v>242</v>
      </c>
      <c r="H29" s="11">
        <v>0</v>
      </c>
      <c r="I29" s="24">
        <f t="shared" si="4"/>
        <v>0</v>
      </c>
      <c r="J29" s="60">
        <f t="shared" si="3"/>
        <v>0</v>
      </c>
      <c r="K29" s="63"/>
    </row>
    <row r="30" spans="1:15" x14ac:dyDescent="0.25">
      <c r="A30" t="s">
        <v>72</v>
      </c>
      <c r="B30" s="11">
        <f>9000+134730+16825</f>
        <v>160555</v>
      </c>
      <c r="C30" s="24">
        <f t="shared" si="0"/>
        <v>9.0146682135516538E-3</v>
      </c>
      <c r="D30" s="60">
        <f t="shared" si="1"/>
        <v>1.2440242134701283</v>
      </c>
      <c r="E30" s="11"/>
      <c r="F30" s="11"/>
      <c r="G30" t="s">
        <v>72</v>
      </c>
      <c r="H30" s="63">
        <f>121284+77776</f>
        <v>199060</v>
      </c>
      <c r="I30" s="24">
        <f t="shared" si="4"/>
        <v>9.750805827735208E-3</v>
      </c>
      <c r="J30" s="60">
        <f t="shared" si="3"/>
        <v>1.599132155748574</v>
      </c>
      <c r="K30" s="11"/>
    </row>
    <row r="31" spans="1:15" x14ac:dyDescent="0.25">
      <c r="A31" t="s">
        <v>243</v>
      </c>
      <c r="B31" s="11">
        <f>12000</f>
        <v>12000</v>
      </c>
      <c r="C31" s="24">
        <f t="shared" si="0"/>
        <v>6.7376300060801501E-4</v>
      </c>
      <c r="D31" s="60">
        <f t="shared" si="1"/>
        <v>9.2979294083906067E-2</v>
      </c>
      <c r="E31" s="61"/>
      <c r="F31" s="61"/>
      <c r="G31" t="s">
        <v>243</v>
      </c>
      <c r="H31" s="11">
        <v>0</v>
      </c>
      <c r="I31" s="24">
        <f t="shared" si="4"/>
        <v>0</v>
      </c>
      <c r="J31" s="60">
        <f t="shared" si="3"/>
        <v>0</v>
      </c>
      <c r="K31" s="11"/>
    </row>
    <row r="32" spans="1:15" x14ac:dyDescent="0.25">
      <c r="A32" t="s">
        <v>244</v>
      </c>
      <c r="B32" s="11">
        <f>3996</f>
        <v>3996</v>
      </c>
      <c r="C32" s="24">
        <f t="shared" si="0"/>
        <v>2.2436307920246898E-4</v>
      </c>
      <c r="D32" s="60">
        <f>+C32*D$6</f>
        <v>3.0962104929940719E-2</v>
      </c>
      <c r="E32" s="11"/>
      <c r="F32" s="11"/>
      <c r="G32" t="s">
        <v>244</v>
      </c>
      <c r="H32" s="11">
        <v>0</v>
      </c>
      <c r="I32" s="24">
        <f t="shared" si="4"/>
        <v>0</v>
      </c>
      <c r="J32" s="60">
        <f t="shared" si="3"/>
        <v>0</v>
      </c>
      <c r="K32" s="63"/>
    </row>
    <row r="33" spans="1:11" x14ac:dyDescent="0.25">
      <c r="A33" t="s">
        <v>245</v>
      </c>
      <c r="B33" s="11">
        <f>14004</f>
        <v>14004</v>
      </c>
      <c r="C33" s="24">
        <f t="shared" si="0"/>
        <v>7.8628142170955346E-4</v>
      </c>
      <c r="D33" s="60">
        <f t="shared" si="1"/>
        <v>0.10850683619591837</v>
      </c>
      <c r="E33" s="11"/>
      <c r="F33" s="11"/>
      <c r="G33" t="s">
        <v>245</v>
      </c>
      <c r="H33" s="11">
        <v>0</v>
      </c>
      <c r="I33" s="24">
        <f t="shared" si="4"/>
        <v>0</v>
      </c>
      <c r="J33" s="60">
        <f t="shared" si="3"/>
        <v>0</v>
      </c>
      <c r="K33" s="63"/>
    </row>
    <row r="34" spans="1:11" x14ac:dyDescent="0.25">
      <c r="A34" t="s">
        <v>73</v>
      </c>
      <c r="B34" s="11">
        <f>14004+59136</f>
        <v>73140</v>
      </c>
      <c r="C34" s="24">
        <f>+B34/B$40+0.002</f>
        <v>6.1065854887058513E-3</v>
      </c>
      <c r="D34" s="142">
        <f>+C34*D$6</f>
        <v>0.84270879744140748</v>
      </c>
      <c r="E34" s="21"/>
      <c r="F34" s="21"/>
      <c r="G34" t="s">
        <v>73</v>
      </c>
      <c r="H34" s="11">
        <v>0</v>
      </c>
      <c r="I34" s="24">
        <f t="shared" si="4"/>
        <v>0</v>
      </c>
      <c r="J34" s="60">
        <f>+I34*J$6</f>
        <v>0</v>
      </c>
      <c r="K34" s="63"/>
    </row>
    <row r="35" spans="1:11" x14ac:dyDescent="0.25">
      <c r="A35" t="s">
        <v>246</v>
      </c>
      <c r="B35" s="11">
        <f>47004</f>
        <v>47004</v>
      </c>
      <c r="C35" s="24">
        <f t="shared" si="0"/>
        <v>2.6391296733815944E-3</v>
      </c>
      <c r="D35" s="60">
        <f>+C35*D$6+0.2</f>
        <v>0.56419989492666001</v>
      </c>
      <c r="E35" s="11"/>
      <c r="F35" s="11"/>
      <c r="G35" t="s">
        <v>246</v>
      </c>
      <c r="H35" s="11">
        <v>0</v>
      </c>
      <c r="I35" s="24">
        <f t="shared" si="4"/>
        <v>0</v>
      </c>
      <c r="J35" s="60">
        <f t="shared" si="3"/>
        <v>0</v>
      </c>
    </row>
    <row r="36" spans="1:11" x14ac:dyDescent="0.25">
      <c r="A36" t="s">
        <v>247</v>
      </c>
      <c r="B36" s="11">
        <f>6996</f>
        <v>6996</v>
      </c>
      <c r="C36" s="24">
        <f t="shared" si="0"/>
        <v>3.9280382935447274E-4</v>
      </c>
      <c r="D36" s="60">
        <f t="shared" si="1"/>
        <v>5.4206928450917236E-2</v>
      </c>
      <c r="E36" s="11"/>
      <c r="F36" s="11"/>
      <c r="G36" t="s">
        <v>247</v>
      </c>
      <c r="H36" s="11">
        <v>0</v>
      </c>
      <c r="I36" s="24">
        <f t="shared" si="4"/>
        <v>0</v>
      </c>
      <c r="J36" s="60">
        <f t="shared" si="3"/>
        <v>0</v>
      </c>
    </row>
    <row r="37" spans="1:11" x14ac:dyDescent="0.25">
      <c r="A37" t="s">
        <v>248</v>
      </c>
      <c r="B37" s="11">
        <f>9000</f>
        <v>9000</v>
      </c>
      <c r="C37" s="24">
        <f t="shared" si="0"/>
        <v>5.0532225045601118E-4</v>
      </c>
      <c r="D37" s="60">
        <f t="shared" si="1"/>
        <v>6.9734470562929543E-2</v>
      </c>
      <c r="E37" s="11"/>
      <c r="F37" s="11"/>
      <c r="G37" t="s">
        <v>248</v>
      </c>
      <c r="H37" s="11">
        <v>0</v>
      </c>
      <c r="I37" s="24">
        <f t="shared" si="4"/>
        <v>0</v>
      </c>
      <c r="J37" s="60">
        <f t="shared" si="3"/>
        <v>0</v>
      </c>
    </row>
    <row r="38" spans="1:11" x14ac:dyDescent="0.25">
      <c r="A38" t="s">
        <v>249</v>
      </c>
      <c r="B38" s="11">
        <f>6000</f>
        <v>6000</v>
      </c>
      <c r="C38" s="24">
        <f t="shared" si="0"/>
        <v>3.3688150030400751E-4</v>
      </c>
      <c r="D38" s="60">
        <f t="shared" si="1"/>
        <v>4.6489647041953033E-2</v>
      </c>
      <c r="E38" s="61"/>
      <c r="F38" s="61"/>
      <c r="G38" t="s">
        <v>249</v>
      </c>
      <c r="H38" s="11">
        <v>0</v>
      </c>
      <c r="I38" s="24">
        <f t="shared" si="4"/>
        <v>0</v>
      </c>
      <c r="J38" s="60">
        <f t="shared" si="3"/>
        <v>0</v>
      </c>
    </row>
    <row r="39" spans="1:11" x14ac:dyDescent="0.25">
      <c r="A39" t="s">
        <v>250</v>
      </c>
      <c r="B39" s="13">
        <v>0</v>
      </c>
      <c r="C39" s="27">
        <f t="shared" si="0"/>
        <v>0</v>
      </c>
      <c r="D39" s="16">
        <f>+C39*D$6</f>
        <v>0</v>
      </c>
      <c r="E39" s="11"/>
      <c r="F39" s="11"/>
      <c r="G39" t="s">
        <v>250</v>
      </c>
      <c r="H39" s="13">
        <f>67860</f>
        <v>67860</v>
      </c>
      <c r="I39" s="27">
        <f t="shared" si="4"/>
        <v>3.324071553652724E-3</v>
      </c>
      <c r="J39" s="16">
        <f>+I39*J$6</f>
        <v>0.54514773479904677</v>
      </c>
    </row>
    <row r="40" spans="1:11" x14ac:dyDescent="0.25">
      <c r="A40" t="s">
        <v>74</v>
      </c>
      <c r="B40" s="11">
        <f>SUM(B7:B39)</f>
        <v>17810417</v>
      </c>
      <c r="C40" s="24">
        <f>SUM(C7:C39)</f>
        <v>1.0020000000000004</v>
      </c>
      <c r="D40" s="8">
        <f>SUM(D7:D39)-0.5</f>
        <v>138.00600000000003</v>
      </c>
      <c r="E40" s="11"/>
      <c r="F40" s="11"/>
      <c r="G40" t="s">
        <v>75</v>
      </c>
      <c r="H40" s="11">
        <f>SUM(H7:H39)</f>
        <v>20414723</v>
      </c>
      <c r="I40" s="24">
        <f>SUM(I7:I39)</f>
        <v>0.99700000000000011</v>
      </c>
      <c r="J40" s="8">
        <f>SUM(J7:J39)</f>
        <v>163.50799999999998</v>
      </c>
    </row>
    <row r="41" spans="1:11" x14ac:dyDescent="0.25">
      <c r="B41" s="11"/>
      <c r="C41" s="24"/>
      <c r="D41" s="8"/>
      <c r="E41" s="11"/>
      <c r="F41" s="11"/>
      <c r="H41" s="11"/>
      <c r="I41" s="24"/>
      <c r="J41" s="8"/>
    </row>
    <row r="42" spans="1:11" x14ac:dyDescent="0.25">
      <c r="A42" s="29" t="s">
        <v>76</v>
      </c>
      <c r="B42" s="10"/>
      <c r="D42" s="8">
        <f>+D40-D26</f>
        <v>100.60166971396573</v>
      </c>
      <c r="G42" s="29" t="s">
        <v>76</v>
      </c>
      <c r="H42" s="10"/>
      <c r="J42" s="8">
        <f>J40-J26</f>
        <v>141.56756657575025</v>
      </c>
    </row>
    <row r="43" spans="1:11" x14ac:dyDescent="0.25">
      <c r="A43" s="29" t="s">
        <v>77</v>
      </c>
      <c r="D43" s="8">
        <f>D26</f>
        <v>37.404330286034295</v>
      </c>
      <c r="G43" s="29" t="s">
        <v>77</v>
      </c>
      <c r="J43" s="8">
        <f>J26</f>
        <v>21.94043342424974</v>
      </c>
    </row>
    <row r="46" spans="1:11" x14ac:dyDescent="0.25">
      <c r="A46" s="10" t="s">
        <v>229</v>
      </c>
      <c r="B46" s="10"/>
      <c r="H46" s="10"/>
    </row>
    <row r="47" spans="1:11" x14ac:dyDescent="0.25">
      <c r="A47" t="s">
        <v>251</v>
      </c>
      <c r="B47" s="5"/>
      <c r="H47" s="5"/>
    </row>
    <row r="49" spans="1:1" x14ac:dyDescent="0.25">
      <c r="A49" s="20"/>
    </row>
    <row r="50" spans="1:1" x14ac:dyDescent="0.25">
      <c r="A50" s="65"/>
    </row>
    <row r="51" spans="1:1" x14ac:dyDescent="0.25">
      <c r="A51" s="66"/>
    </row>
    <row r="52" spans="1:1" x14ac:dyDescent="0.25">
      <c r="A52" s="66"/>
    </row>
    <row r="53" spans="1:1" x14ac:dyDescent="0.25">
      <c r="A53" s="66"/>
    </row>
    <row r="54" spans="1:1" x14ac:dyDescent="0.25">
      <c r="A54" s="66"/>
    </row>
  </sheetData>
  <mergeCells count="4">
    <mergeCell ref="A1:J1"/>
    <mergeCell ref="A2:J2"/>
    <mergeCell ref="A4:D4"/>
    <mergeCell ref="G4:J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topLeftCell="H1" workbookViewId="0"/>
  </sheetViews>
  <sheetFormatPr defaultColWidth="9.109375" defaultRowHeight="13.8" x14ac:dyDescent="0.25"/>
  <cols>
    <col min="1" max="1" width="16.6640625" style="170" customWidth="1"/>
    <col min="2" max="2" width="13.6640625" style="170" customWidth="1"/>
    <col min="3" max="3" width="12.109375" style="157" bestFit="1" customWidth="1"/>
    <col min="4" max="4" width="12.109375" style="157" customWidth="1"/>
    <col min="5" max="5" width="14" style="157" customWidth="1"/>
    <col min="6" max="7" width="13.109375" style="157" customWidth="1"/>
    <col min="8" max="8" width="12.88671875" style="157" bestFit="1" customWidth="1"/>
    <col min="9" max="9" width="13.109375" style="157" customWidth="1"/>
    <col min="10" max="10" width="11.6640625" style="157" bestFit="1" customWidth="1"/>
    <col min="11" max="11" width="15.109375" style="157" customWidth="1"/>
    <col min="12" max="12" width="13.44140625" style="157" bestFit="1" customWidth="1"/>
    <col min="13" max="13" width="10.6640625" style="157" customWidth="1"/>
    <col min="14" max="14" width="11.6640625" style="157" bestFit="1" customWidth="1"/>
    <col min="15" max="15" width="13.44140625" style="157" bestFit="1" customWidth="1"/>
    <col min="16" max="16" width="11.6640625" style="157" bestFit="1" customWidth="1"/>
    <col min="17" max="17" width="16.109375" style="157" customWidth="1"/>
    <col min="18" max="18" width="9.109375" style="158"/>
    <col min="19" max="19" width="9.109375" style="157"/>
    <col min="20" max="20" width="15.33203125" style="157" customWidth="1"/>
    <col min="21" max="21" width="9.109375" style="158"/>
    <col min="22" max="22" width="9.109375" style="157"/>
    <col min="23" max="23" width="15.5546875" style="157" customWidth="1"/>
    <col min="24" max="16384" width="9.109375" style="157"/>
  </cols>
  <sheetData>
    <row r="1" spans="1:21" s="150" customFormat="1" ht="41.4" x14ac:dyDescent="0.25">
      <c r="A1" s="147" t="s">
        <v>252</v>
      </c>
      <c r="B1" s="147" t="s">
        <v>253</v>
      </c>
      <c r="C1" s="147" t="s">
        <v>254</v>
      </c>
      <c r="D1" s="147" t="s">
        <v>255</v>
      </c>
      <c r="E1" s="147" t="s">
        <v>256</v>
      </c>
      <c r="F1" s="147" t="s">
        <v>257</v>
      </c>
      <c r="G1" s="147" t="s">
        <v>258</v>
      </c>
      <c r="H1" s="147" t="s">
        <v>259</v>
      </c>
      <c r="I1" s="147" t="s">
        <v>260</v>
      </c>
      <c r="J1" s="148" t="s">
        <v>261</v>
      </c>
      <c r="K1" s="148" t="s">
        <v>262</v>
      </c>
      <c r="L1" s="149" t="s">
        <v>263</v>
      </c>
      <c r="M1" s="148" t="s">
        <v>264</v>
      </c>
      <c r="N1" s="148" t="s">
        <v>265</v>
      </c>
      <c r="O1" s="149" t="s">
        <v>266</v>
      </c>
      <c r="R1" s="151"/>
      <c r="U1" s="151"/>
    </row>
    <row r="2" spans="1:21" ht="15.75" customHeight="1" x14ac:dyDescent="0.25">
      <c r="A2" s="152" t="s">
        <v>267</v>
      </c>
      <c r="B2" s="153">
        <v>1117</v>
      </c>
      <c r="C2" s="154">
        <f>(+D2/$D$19*$C$19)+43259+0.4</f>
        <v>335373.48155519227</v>
      </c>
      <c r="D2" s="154">
        <f>814848-60000-96000</f>
        <v>658848</v>
      </c>
      <c r="E2" s="154">
        <f>+B2/$B$20*$E$19</f>
        <v>42492.102594339623</v>
      </c>
      <c r="F2" s="154">
        <f>+[2]Sheet2!H2*$F$23</f>
        <v>237577.58304869349</v>
      </c>
      <c r="G2" s="154">
        <f>+[2]Sheet2!E2*$G$23</f>
        <v>383101.59605911328</v>
      </c>
      <c r="H2" s="154">
        <f>+[2]Sheet2!B2*$H$19</f>
        <v>524454.64695817488</v>
      </c>
      <c r="I2" s="154">
        <f>55189-0.4</f>
        <v>55188.6</v>
      </c>
      <c r="J2" s="155">
        <f>(+B2/($B$17)*$J$21)</f>
        <v>97007.098902270067</v>
      </c>
      <c r="K2" s="155">
        <f>+B2/$B$19*$K$19</f>
        <v>113920.0783415999</v>
      </c>
      <c r="L2" s="156">
        <f>SUM(C2:K2)</f>
        <v>2447963.1874593841</v>
      </c>
      <c r="M2" s="155">
        <v>4329</v>
      </c>
      <c r="N2" s="155">
        <v>320666</v>
      </c>
      <c r="O2" s="156">
        <f>SUM(L2:N2)</f>
        <v>2772958.1874593841</v>
      </c>
      <c r="P2" s="10"/>
    </row>
    <row r="3" spans="1:21" ht="15.75" customHeight="1" x14ac:dyDescent="0.25">
      <c r="A3" s="152" t="s">
        <v>45</v>
      </c>
      <c r="B3" s="153">
        <v>0</v>
      </c>
      <c r="C3" s="154">
        <v>0</v>
      </c>
      <c r="D3" s="154">
        <v>96000</v>
      </c>
      <c r="E3" s="154">
        <v>0</v>
      </c>
      <c r="F3" s="154">
        <v>0</v>
      </c>
      <c r="G3" s="154">
        <v>0</v>
      </c>
      <c r="H3" s="154">
        <v>0</v>
      </c>
      <c r="I3" s="154">
        <v>0</v>
      </c>
      <c r="J3" s="155">
        <f t="shared" ref="J3:J15" si="0">(+B3/($B$17)*$J$21)</f>
        <v>0</v>
      </c>
      <c r="K3" s="155">
        <v>0</v>
      </c>
      <c r="L3" s="156">
        <f>SUM(C3:K3)</f>
        <v>96000</v>
      </c>
      <c r="M3" s="155">
        <v>170</v>
      </c>
      <c r="N3" s="155">
        <v>12575</v>
      </c>
      <c r="O3" s="156">
        <f t="shared" ref="O3:O16" si="1">SUM(L3:N3)</f>
        <v>108745</v>
      </c>
      <c r="P3" s="10"/>
    </row>
    <row r="4" spans="1:21" ht="15.75" customHeight="1" x14ac:dyDescent="0.25">
      <c r="A4" s="159" t="s">
        <v>51</v>
      </c>
      <c r="B4" s="153">
        <v>0</v>
      </c>
      <c r="C4" s="154">
        <v>0</v>
      </c>
      <c r="D4" s="154">
        <v>60000</v>
      </c>
      <c r="E4" s="154">
        <v>0</v>
      </c>
      <c r="F4" s="154">
        <v>0</v>
      </c>
      <c r="G4" s="154">
        <v>0</v>
      </c>
      <c r="H4" s="154">
        <v>0</v>
      </c>
      <c r="I4" s="154">
        <v>0</v>
      </c>
      <c r="J4" s="155">
        <f t="shared" si="0"/>
        <v>0</v>
      </c>
      <c r="K4" s="155">
        <v>0</v>
      </c>
      <c r="L4" s="156">
        <f>SUM(C4:K4)</f>
        <v>60000</v>
      </c>
      <c r="M4" s="155">
        <v>106</v>
      </c>
      <c r="N4" s="155">
        <v>7860</v>
      </c>
      <c r="O4" s="156">
        <f t="shared" si="1"/>
        <v>67966</v>
      </c>
      <c r="P4" s="10"/>
    </row>
    <row r="5" spans="1:21" ht="15.75" customHeight="1" x14ac:dyDescent="0.25">
      <c r="A5" s="152" t="s">
        <v>46</v>
      </c>
      <c r="B5" s="153">
        <v>417</v>
      </c>
      <c r="C5" s="154">
        <f>180900+0.4</f>
        <v>180900.4</v>
      </c>
      <c r="D5" s="154">
        <v>407166</v>
      </c>
      <c r="E5" s="154">
        <f>+B5/$B$20*$E$19</f>
        <v>15863.211084905661</v>
      </c>
      <c r="F5" s="154">
        <f>+[2]Sheet2!H3*$F$23</f>
        <v>246398.9599974296</v>
      </c>
      <c r="G5" s="154">
        <f>+[2]Sheet2!E3*$G$23</f>
        <v>133252.72906403942</v>
      </c>
      <c r="H5" s="154">
        <f>+[2]Sheet2!B3*$H$19</f>
        <v>195790.14125475287</v>
      </c>
      <c r="I5" s="154">
        <f>55189-0.4</f>
        <v>55188.6</v>
      </c>
      <c r="J5" s="155">
        <f t="shared" si="0"/>
        <v>36214.825642118725</v>
      </c>
      <c r="K5" s="155">
        <f>+B5/$B$19*$K$19</f>
        <v>42528.802747043119</v>
      </c>
      <c r="L5" s="156">
        <f t="shared" ref="L5:L16" si="2">SUM(C5:K5)</f>
        <v>1313303.6697902896</v>
      </c>
      <c r="M5" s="155">
        <v>2323</v>
      </c>
      <c r="N5" s="155">
        <v>172034</v>
      </c>
      <c r="O5" s="156">
        <f t="shared" si="1"/>
        <v>1487660.6697902896</v>
      </c>
      <c r="P5" s="10"/>
    </row>
    <row r="6" spans="1:21" ht="15.75" customHeight="1" x14ac:dyDescent="0.25">
      <c r="A6" s="152" t="s">
        <v>48</v>
      </c>
      <c r="B6" s="153">
        <v>274</v>
      </c>
      <c r="C6" s="154">
        <v>130607</v>
      </c>
      <c r="D6" s="154">
        <v>293966</v>
      </c>
      <c r="E6" s="154">
        <f>+B6/$B$20*$E$19</f>
        <v>10423.308962264151</v>
      </c>
      <c r="F6" s="154">
        <f>+[2]Sheet2!H4*$F$23</f>
        <v>119907.27573595516</v>
      </c>
      <c r="G6" s="154">
        <f>+[2]Sheet2!E4*$G$23</f>
        <v>66626.36453201971</v>
      </c>
      <c r="H6" s="154">
        <f>+[2]Sheet2!B4*$H$19</f>
        <v>85765.785297845374</v>
      </c>
      <c r="I6" s="154">
        <v>55189</v>
      </c>
      <c r="J6" s="155">
        <f t="shared" si="0"/>
        <v>23795.832676116381</v>
      </c>
      <c r="K6" s="155">
        <f>+B6/$B$19*$K$19</f>
        <v>27944.585018440801</v>
      </c>
      <c r="L6" s="156">
        <f t="shared" si="2"/>
        <v>814225.15222264163</v>
      </c>
      <c r="M6" s="155">
        <v>1440</v>
      </c>
      <c r="N6" s="155">
        <v>106658</v>
      </c>
      <c r="O6" s="156">
        <f t="shared" si="1"/>
        <v>922323.15222264163</v>
      </c>
      <c r="P6" s="10"/>
    </row>
    <row r="7" spans="1:21" ht="15.75" customHeight="1" x14ac:dyDescent="0.25">
      <c r="A7" s="152" t="s">
        <v>50</v>
      </c>
      <c r="B7" s="153">
        <v>270</v>
      </c>
      <c r="C7" s="154">
        <v>70778</v>
      </c>
      <c r="D7" s="154">
        <v>159306</v>
      </c>
      <c r="E7" s="154">
        <f>+B7/$B$20*$E$19</f>
        <v>10271.143867924529</v>
      </c>
      <c r="F7" s="154">
        <f>+[2]Sheet2!H5*$F$23</f>
        <v>218786.23871450959</v>
      </c>
      <c r="G7" s="154">
        <f>+[2]Sheet2!E5*$G$23</f>
        <v>49969.773399014775</v>
      </c>
      <c r="H7" s="154">
        <f>+[2]Sheet2!B5*$H$19</f>
        <v>84513.730038022812</v>
      </c>
      <c r="I7" s="154">
        <v>55189</v>
      </c>
      <c r="J7" s="155">
        <f t="shared" si="0"/>
        <v>23448.448257486943</v>
      </c>
      <c r="K7" s="155">
        <f>+B7/$B$19*$K$19</f>
        <v>27536.634872186187</v>
      </c>
      <c r="L7" s="156">
        <f t="shared" si="2"/>
        <v>699798.96914914483</v>
      </c>
      <c r="M7" s="155">
        <v>1238</v>
      </c>
      <c r="N7" s="155">
        <v>91669</v>
      </c>
      <c r="O7" s="156">
        <f t="shared" si="1"/>
        <v>792705.96914914483</v>
      </c>
      <c r="P7" s="10"/>
    </row>
    <row r="8" spans="1:21" ht="15.75" customHeight="1" x14ac:dyDescent="0.25">
      <c r="A8" s="152" t="s">
        <v>49</v>
      </c>
      <c r="B8" s="153">
        <v>2610</v>
      </c>
      <c r="C8" s="154">
        <v>618209</v>
      </c>
      <c r="D8" s="154">
        <v>1397692</v>
      </c>
      <c r="E8" s="154">
        <f>+B8/$B$20*$E$19</f>
        <v>99287.724056603765</v>
      </c>
      <c r="F8" s="154">
        <f>+[2]Sheet2!H6*$F$23</f>
        <v>1189163.0024243102</v>
      </c>
      <c r="G8" s="154">
        <f>+[2]Sheet2!E6*$G$23</f>
        <v>516354.32512315275</v>
      </c>
      <c r="H8" s="154">
        <f>+[2]Sheet2!B6*$H$19</f>
        <v>612724.54277566541</v>
      </c>
      <c r="I8" s="154">
        <v>55189</v>
      </c>
      <c r="J8" s="155">
        <f t="shared" si="0"/>
        <v>226668.33315570714</v>
      </c>
      <c r="K8" s="155">
        <f>+B8/$B$19*$K$19</f>
        <v>266187.47043113312</v>
      </c>
      <c r="L8" s="156">
        <f t="shared" si="2"/>
        <v>4981475.397966573</v>
      </c>
      <c r="M8" s="155">
        <v>8810</v>
      </c>
      <c r="N8" s="155">
        <v>652539</v>
      </c>
      <c r="O8" s="156">
        <f t="shared" si="1"/>
        <v>5642824.397966573</v>
      </c>
      <c r="P8" s="10"/>
    </row>
    <row r="9" spans="1:21" ht="15.75" customHeight="1" x14ac:dyDescent="0.25">
      <c r="A9" s="152" t="s">
        <v>43</v>
      </c>
      <c r="B9" s="153">
        <v>400</v>
      </c>
      <c r="C9" s="154">
        <v>0</v>
      </c>
      <c r="D9" s="154">
        <v>765587</v>
      </c>
      <c r="E9" s="154">
        <f>+B9/$B$20*$E$19</f>
        <v>15216.509433962263</v>
      </c>
      <c r="F9" s="154">
        <f>+[2]Sheet2!H7*$F$23</f>
        <v>116598.12090948194</v>
      </c>
      <c r="G9" s="154">
        <f>+[2]Sheet2!E7*$G$23</f>
        <v>124924.43349753696</v>
      </c>
      <c r="H9" s="154">
        <f>+[2]Sheet2!B7*$H$19</f>
        <v>46952.072243346003</v>
      </c>
      <c r="I9" s="154">
        <v>55189</v>
      </c>
      <c r="J9" s="155">
        <f t="shared" si="0"/>
        <v>34738.441862943626</v>
      </c>
      <c r="K9" s="155">
        <f>+B9/$B$19*$K$19-0.5</f>
        <v>40794.514625461023</v>
      </c>
      <c r="L9" s="156">
        <f t="shared" si="2"/>
        <v>1200000.0925727317</v>
      </c>
      <c r="M9" s="155">
        <v>0</v>
      </c>
      <c r="N9" s="155">
        <v>0</v>
      </c>
      <c r="O9" s="156">
        <f t="shared" si="1"/>
        <v>1200000.0925727317</v>
      </c>
      <c r="P9" s="10"/>
    </row>
    <row r="10" spans="1:21" ht="15.75" customHeight="1" x14ac:dyDescent="0.25">
      <c r="A10" s="152" t="s">
        <v>268</v>
      </c>
      <c r="B10" s="153">
        <v>1375</v>
      </c>
      <c r="C10" s="154">
        <v>0</v>
      </c>
      <c r="D10" s="154">
        <v>2342961</v>
      </c>
      <c r="E10" s="154">
        <v>0</v>
      </c>
      <c r="F10" s="154">
        <f>+[2]Sheet2!H8*$F$23</f>
        <v>803371.71421192586</v>
      </c>
      <c r="G10" s="154">
        <f>+[2]Sheet2!E8*$G$23</f>
        <v>416414.77832512319</v>
      </c>
      <c r="H10" s="154">
        <f>+[2]Sheet2!B8*$H$19</f>
        <v>645590.99334600754</v>
      </c>
      <c r="I10" s="154">
        <v>55189</v>
      </c>
      <c r="J10" s="155">
        <f t="shared" si="0"/>
        <v>119413.39390386871</v>
      </c>
      <c r="K10" s="155">
        <f>+B10/$B$19*$K$19</f>
        <v>140232.86277502225</v>
      </c>
      <c r="L10" s="156">
        <f t="shared" si="2"/>
        <v>4523173.7425619476</v>
      </c>
      <c r="M10" s="155">
        <v>8000</v>
      </c>
      <c r="N10" s="155">
        <v>592505</v>
      </c>
      <c r="O10" s="156">
        <f t="shared" si="1"/>
        <v>5123678.7425619476</v>
      </c>
      <c r="P10" s="10"/>
    </row>
    <row r="11" spans="1:21" ht="15.75" customHeight="1" x14ac:dyDescent="0.25">
      <c r="A11" s="152" t="s">
        <v>269</v>
      </c>
      <c r="B11" s="153">
        <v>1400</v>
      </c>
      <c r="C11" s="154">
        <v>0</v>
      </c>
      <c r="D11" s="154">
        <f>688135-145675</f>
        <v>542460</v>
      </c>
      <c r="E11" s="154">
        <v>0</v>
      </c>
      <c r="F11" s="154">
        <f>+[2]Sheet2!H10*$F$23</f>
        <v>383198.10495769401</v>
      </c>
      <c r="G11" s="154">
        <f>+[2]Sheet2!E9*$G$21</f>
        <v>0</v>
      </c>
      <c r="H11" s="154">
        <f>+[2]Sheet2!B10*$H$19</f>
        <v>273887.08808618505</v>
      </c>
      <c r="I11" s="154">
        <v>0</v>
      </c>
      <c r="J11" s="155">
        <f t="shared" si="0"/>
        <v>121584.54652030268</v>
      </c>
      <c r="K11" s="155">
        <f>+B11/$B$19*$K$19</f>
        <v>142782.55118911355</v>
      </c>
      <c r="L11" s="156">
        <f t="shared" si="2"/>
        <v>1463912.2907532954</v>
      </c>
      <c r="M11" s="155">
        <v>2589</v>
      </c>
      <c r="N11" s="155">
        <v>191762</v>
      </c>
      <c r="O11" s="156">
        <f t="shared" si="1"/>
        <v>1658263.2907532954</v>
      </c>
      <c r="P11" s="10"/>
    </row>
    <row r="12" spans="1:21" ht="15.75" customHeight="1" x14ac:dyDescent="0.25">
      <c r="A12" s="159" t="s">
        <v>270</v>
      </c>
      <c r="B12" s="153">
        <v>0</v>
      </c>
      <c r="C12" s="154">
        <v>0</v>
      </c>
      <c r="D12" s="154">
        <v>145675</v>
      </c>
      <c r="E12" s="154">
        <v>0</v>
      </c>
      <c r="F12" s="154">
        <v>0</v>
      </c>
      <c r="G12" s="154">
        <v>0</v>
      </c>
      <c r="H12" s="154">
        <v>0</v>
      </c>
      <c r="I12" s="154">
        <v>0</v>
      </c>
      <c r="J12" s="155">
        <f t="shared" si="0"/>
        <v>0</v>
      </c>
      <c r="K12" s="155">
        <v>0</v>
      </c>
      <c r="L12" s="156">
        <f>SUM(C12:K12)</f>
        <v>145675</v>
      </c>
      <c r="M12" s="155">
        <v>258</v>
      </c>
      <c r="N12" s="155">
        <v>19082</v>
      </c>
      <c r="O12" s="156">
        <f t="shared" si="1"/>
        <v>165015</v>
      </c>
      <c r="P12" s="10"/>
    </row>
    <row r="13" spans="1:21" ht="15.75" customHeight="1" x14ac:dyDescent="0.25">
      <c r="A13" s="152" t="s">
        <v>271</v>
      </c>
      <c r="B13" s="153">
        <v>0</v>
      </c>
      <c r="C13" s="154">
        <v>0</v>
      </c>
      <c r="D13" s="154">
        <v>0</v>
      </c>
      <c r="E13" s="154">
        <v>0</v>
      </c>
      <c r="F13" s="154">
        <v>0</v>
      </c>
      <c r="G13" s="160">
        <v>140000</v>
      </c>
      <c r="H13" s="154">
        <v>0</v>
      </c>
      <c r="I13" s="154">
        <v>0</v>
      </c>
      <c r="J13" s="155">
        <f t="shared" si="0"/>
        <v>0</v>
      </c>
      <c r="K13" s="155">
        <v>0</v>
      </c>
      <c r="L13" s="156">
        <f t="shared" si="2"/>
        <v>140000</v>
      </c>
      <c r="M13" s="155">
        <v>248</v>
      </c>
      <c r="N13" s="155">
        <v>18339</v>
      </c>
      <c r="O13" s="156">
        <f t="shared" si="1"/>
        <v>158587</v>
      </c>
      <c r="P13" s="10"/>
    </row>
    <row r="14" spans="1:21" ht="15.75" customHeight="1" x14ac:dyDescent="0.25">
      <c r="A14" s="152" t="s">
        <v>272</v>
      </c>
      <c r="B14" s="153">
        <v>170</v>
      </c>
      <c r="C14" s="154">
        <v>0</v>
      </c>
      <c r="D14" s="154">
        <v>0</v>
      </c>
      <c r="E14" s="154">
        <v>0</v>
      </c>
      <c r="F14" s="154">
        <f>+[2]Sheet2!H11*$F$23</f>
        <v>0</v>
      </c>
      <c r="G14" s="154">
        <v>0</v>
      </c>
      <c r="H14" s="154">
        <f>+[2]Sheet2!B11*$H$19</f>
        <v>0</v>
      </c>
      <c r="I14" s="154">
        <v>0</v>
      </c>
      <c r="J14" s="155">
        <f t="shared" si="0"/>
        <v>14763.837791751039</v>
      </c>
      <c r="K14" s="154">
        <v>0</v>
      </c>
      <c r="L14" s="156">
        <f t="shared" si="2"/>
        <v>14763.837791751039</v>
      </c>
      <c r="M14" s="154">
        <v>26</v>
      </c>
      <c r="N14" s="155">
        <v>1934</v>
      </c>
      <c r="O14" s="156">
        <f t="shared" si="1"/>
        <v>16723.837791751037</v>
      </c>
      <c r="P14" s="10"/>
    </row>
    <row r="15" spans="1:21" ht="15.75" customHeight="1" x14ac:dyDescent="0.25">
      <c r="A15" s="152" t="s">
        <v>273</v>
      </c>
      <c r="B15" s="153">
        <v>1350</v>
      </c>
      <c r="C15" s="154">
        <v>0</v>
      </c>
      <c r="D15" s="154">
        <v>0</v>
      </c>
      <c r="E15" s="154">
        <v>0</v>
      </c>
      <c r="F15" s="154">
        <v>0</v>
      </c>
      <c r="G15" s="154">
        <v>0</v>
      </c>
      <c r="H15" s="154">
        <f>+[2]Sheet2!B12*$H$19</f>
        <v>0</v>
      </c>
      <c r="I15" s="154">
        <v>55189</v>
      </c>
      <c r="J15" s="155">
        <f t="shared" si="0"/>
        <v>117242.24128743472</v>
      </c>
      <c r="K15" s="155">
        <v>0</v>
      </c>
      <c r="L15" s="156">
        <f t="shared" si="2"/>
        <v>172431.24128743471</v>
      </c>
      <c r="M15" s="155">
        <v>305</v>
      </c>
      <c r="N15" s="155">
        <v>22587</v>
      </c>
      <c r="O15" s="156">
        <f t="shared" si="1"/>
        <v>195323.24128743471</v>
      </c>
      <c r="P15" s="10"/>
    </row>
    <row r="16" spans="1:21" ht="15.75" customHeight="1" thickBot="1" x14ac:dyDescent="0.3">
      <c r="A16" s="161" t="s">
        <v>274</v>
      </c>
      <c r="B16" s="162">
        <v>0</v>
      </c>
      <c r="C16" s="154">
        <v>0</v>
      </c>
      <c r="D16" s="154">
        <v>0</v>
      </c>
      <c r="E16" s="154">
        <v>0</v>
      </c>
      <c r="F16" s="154">
        <f>+[2]Sheet2!H13*$F$23</f>
        <v>0</v>
      </c>
      <c r="G16" s="154">
        <v>0</v>
      </c>
      <c r="H16" s="154">
        <f>+[2]Sheet2!B13*$H$19</f>
        <v>0</v>
      </c>
      <c r="I16" s="163">
        <v>0</v>
      </c>
      <c r="J16" s="155">
        <v>90000</v>
      </c>
      <c r="K16" s="154">
        <v>0</v>
      </c>
      <c r="L16" s="156">
        <f t="shared" si="2"/>
        <v>90000</v>
      </c>
      <c r="M16" s="154">
        <v>158</v>
      </c>
      <c r="N16" s="155">
        <v>11790</v>
      </c>
      <c r="O16" s="156">
        <f t="shared" si="1"/>
        <v>101948</v>
      </c>
      <c r="P16" s="10"/>
    </row>
    <row r="17" spans="1:15" s="169" customFormat="1" ht="24" customHeight="1" thickBot="1" x14ac:dyDescent="0.3">
      <c r="A17" s="164" t="s">
        <v>275</v>
      </c>
      <c r="B17" s="165">
        <f>SUM(B2:B16)</f>
        <v>9383</v>
      </c>
      <c r="C17" s="166">
        <f>SUM(C2:C11)</f>
        <v>1335867.8815551922</v>
      </c>
      <c r="D17" s="166">
        <f>SUM(D2:D16)</f>
        <v>6869661</v>
      </c>
      <c r="E17" s="166">
        <f>SUM(E2:E11)</f>
        <v>193554</v>
      </c>
      <c r="F17" s="166">
        <f>SUM(F2:F11)</f>
        <v>3315001</v>
      </c>
      <c r="G17" s="166">
        <f>SUM(G2:G16)</f>
        <v>1830644</v>
      </c>
      <c r="H17" s="166">
        <f>SUM(H2:H16)</f>
        <v>2469679</v>
      </c>
      <c r="I17" s="166">
        <f>SUM(I2:I16)</f>
        <v>441511.2</v>
      </c>
      <c r="J17" s="167">
        <f>SUM(J2:J16)</f>
        <v>904877</v>
      </c>
      <c r="K17" s="167">
        <f>SUM(K2:K11)</f>
        <v>801927.49999999988</v>
      </c>
      <c r="L17" s="168">
        <f>SUM(L2:L16)</f>
        <v>18162722.581555195</v>
      </c>
      <c r="M17" s="167">
        <f>SUM(M2:M16)</f>
        <v>30000</v>
      </c>
      <c r="N17" s="167">
        <f>SUM(N2:N16)</f>
        <v>2222000</v>
      </c>
      <c r="O17" s="168">
        <f>SUM(O2:O16)</f>
        <v>20414722.581555195</v>
      </c>
    </row>
    <row r="18" spans="1:15" ht="15.75" customHeight="1" thickBot="1" x14ac:dyDescent="0.3">
      <c r="F18" s="171"/>
      <c r="K18" s="171"/>
      <c r="L18" s="172">
        <f>+L26</f>
        <v>2800000</v>
      </c>
      <c r="M18" s="157" t="s">
        <v>276</v>
      </c>
    </row>
    <row r="19" spans="1:15" ht="15.75" customHeight="1" thickTop="1" x14ac:dyDescent="0.25">
      <c r="A19" s="170" t="s">
        <v>277</v>
      </c>
      <c r="B19" s="173">
        <f>SUM(B2:B11)</f>
        <v>7863</v>
      </c>
      <c r="C19" s="171">
        <v>1335867</v>
      </c>
      <c r="D19" s="157">
        <f>SUM(D2:D8)-60000</f>
        <v>3012978</v>
      </c>
      <c r="E19" s="171">
        <v>193554</v>
      </c>
      <c r="F19" s="157">
        <v>2668213</v>
      </c>
      <c r="G19" s="157">
        <v>1592794</v>
      </c>
      <c r="H19" s="171">
        <v>2469679</v>
      </c>
      <c r="I19" s="171">
        <v>391552</v>
      </c>
      <c r="J19" s="171">
        <f>904877</f>
        <v>904877</v>
      </c>
      <c r="K19" s="171">
        <v>801928</v>
      </c>
      <c r="L19" s="171">
        <f>L17+L18</f>
        <v>20962722.581555195</v>
      </c>
    </row>
    <row r="20" spans="1:15" ht="15.75" customHeight="1" x14ac:dyDescent="0.25">
      <c r="A20" s="170" t="s">
        <v>44</v>
      </c>
      <c r="B20" s="173">
        <f>SUM(B2:B9)</f>
        <v>5088</v>
      </c>
      <c r="F20" s="157">
        <v>31932</v>
      </c>
      <c r="G20" s="174">
        <v>237850</v>
      </c>
      <c r="J20" s="175">
        <v>-90000</v>
      </c>
    </row>
    <row r="21" spans="1:15" ht="15.75" customHeight="1" x14ac:dyDescent="0.25">
      <c r="A21" s="170" t="s">
        <v>278</v>
      </c>
      <c r="F21" s="157">
        <v>352833</v>
      </c>
      <c r="G21" s="171">
        <f>SUM(G19:G20)</f>
        <v>1830644</v>
      </c>
      <c r="J21" s="157">
        <f>SUM(J19:J20)</f>
        <v>814877</v>
      </c>
      <c r="L21" s="171"/>
    </row>
    <row r="22" spans="1:15" ht="15.75" customHeight="1" x14ac:dyDescent="0.25">
      <c r="F22" s="174">
        <v>262023</v>
      </c>
      <c r="G22" s="174">
        <f>-G13</f>
        <v>-140000</v>
      </c>
    </row>
    <row r="23" spans="1:15" ht="15.75" customHeight="1" x14ac:dyDescent="0.25">
      <c r="F23" s="171">
        <f>SUM(F19:F22)</f>
        <v>3315001</v>
      </c>
      <c r="G23" s="157">
        <f>SUM(G21:G22)</f>
        <v>1690644</v>
      </c>
    </row>
    <row r="24" spans="1:15" ht="15.75" customHeight="1" x14ac:dyDescent="0.25"/>
    <row r="25" spans="1:15" ht="15.75" customHeight="1" thickBot="1" x14ac:dyDescent="0.3">
      <c r="A25" s="1"/>
    </row>
    <row r="26" spans="1:15" ht="15.75" customHeight="1" thickBot="1" x14ac:dyDescent="0.3">
      <c r="A26" s="176" t="s">
        <v>279</v>
      </c>
      <c r="B26" s="177">
        <v>1350</v>
      </c>
      <c r="C26" s="178">
        <v>343063</v>
      </c>
      <c r="D26" s="179">
        <v>1671548</v>
      </c>
      <c r="E26" s="179">
        <v>0</v>
      </c>
      <c r="F26" s="179">
        <v>0</v>
      </c>
      <c r="G26" s="179">
        <v>486268</v>
      </c>
      <c r="H26" s="179">
        <v>299121</v>
      </c>
      <c r="I26" s="179">
        <v>0</v>
      </c>
      <c r="J26" s="179">
        <f>+[2]Sheet2!D23*$H$19</f>
        <v>0</v>
      </c>
      <c r="K26" s="180">
        <v>0</v>
      </c>
      <c r="L26" s="181">
        <f>SUM(C26:K26)</f>
        <v>2800000</v>
      </c>
      <c r="M26"/>
      <c r="N26"/>
      <c r="O26"/>
    </row>
    <row r="27" spans="1:15" ht="15.75" customHeight="1" x14ac:dyDescent="0.25">
      <c r="A27" s="1"/>
    </row>
    <row r="28" spans="1:15" ht="15.75" customHeight="1" x14ac:dyDescent="0.25">
      <c r="A28" s="1"/>
    </row>
    <row r="29" spans="1:15" ht="15.75" customHeight="1" x14ac:dyDescent="0.25">
      <c r="A29" s="1"/>
    </row>
    <row r="30" spans="1:15" ht="15.75" customHeight="1" x14ac:dyDescent="0.25"/>
    <row r="31" spans="1:15" ht="15.75" customHeight="1" x14ac:dyDescent="0.25"/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opLeftCell="A11" workbookViewId="0">
      <selection activeCell="K20" sqref="K20"/>
    </sheetView>
  </sheetViews>
  <sheetFormatPr defaultRowHeight="13.2" x14ac:dyDescent="0.25"/>
  <cols>
    <col min="1" max="1" width="29.6640625" bestFit="1" customWidth="1"/>
    <col min="2" max="2" width="1.5546875" customWidth="1"/>
    <col min="3" max="3" width="12.5546875" customWidth="1"/>
    <col min="4" max="4" width="1.5546875" customWidth="1"/>
    <col min="5" max="5" width="9.33203125" bestFit="1" customWidth="1"/>
    <col min="6" max="6" width="1.5546875" customWidth="1"/>
    <col min="7" max="7" width="5.6640625" customWidth="1"/>
    <col min="8" max="8" width="1.5546875" customWidth="1"/>
    <col min="9" max="9" width="11.88671875" bestFit="1" customWidth="1"/>
    <col min="10" max="10" width="1.5546875" customWidth="1"/>
    <col min="12" max="12" width="1.5546875" customWidth="1"/>
    <col min="13" max="13" width="6.5546875" customWidth="1"/>
    <col min="14" max="14" width="1.88671875" customWidth="1"/>
  </cols>
  <sheetData>
    <row r="1" spans="1:14" ht="15.6" x14ac:dyDescent="0.3">
      <c r="A1" s="220" t="s">
        <v>78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"/>
    </row>
    <row r="2" spans="1:14" x14ac:dyDescent="0.25">
      <c r="A2" s="222" t="s">
        <v>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1"/>
    </row>
    <row r="4" spans="1:14" x14ac:dyDescent="0.25">
      <c r="C4" s="223" t="s">
        <v>2</v>
      </c>
      <c r="D4" s="223"/>
      <c r="E4" s="223"/>
      <c r="F4" s="223"/>
      <c r="G4" s="223"/>
      <c r="I4" s="223" t="s">
        <v>3</v>
      </c>
      <c r="J4" s="223"/>
      <c r="K4" s="223"/>
      <c r="L4" s="224"/>
      <c r="M4" s="224"/>
    </row>
    <row r="5" spans="1:14" x14ac:dyDescent="0.25">
      <c r="C5" s="3" t="s">
        <v>4</v>
      </c>
      <c r="D5" s="2"/>
      <c r="E5" s="3" t="s">
        <v>5</v>
      </c>
      <c r="F5" s="4"/>
      <c r="G5" s="4" t="s">
        <v>6</v>
      </c>
      <c r="I5" s="3" t="s">
        <v>4</v>
      </c>
      <c r="J5" s="2"/>
      <c r="K5" s="3" t="s">
        <v>5</v>
      </c>
      <c r="M5" s="2" t="s">
        <v>6</v>
      </c>
    </row>
    <row r="7" spans="1:14" x14ac:dyDescent="0.25">
      <c r="A7" t="s">
        <v>20</v>
      </c>
      <c r="C7" s="5">
        <f>'[1]Legal Revised '!P56</f>
        <v>53359418.428571433</v>
      </c>
      <c r="E7" s="24">
        <v>1</v>
      </c>
      <c r="F7" s="7"/>
      <c r="G7">
        <v>133</v>
      </c>
      <c r="I7" s="5">
        <f>'[1]Legal Revised '!R56</f>
        <v>57269780</v>
      </c>
      <c r="K7" s="24">
        <v>1</v>
      </c>
      <c r="M7">
        <v>133</v>
      </c>
    </row>
    <row r="8" spans="1:14" x14ac:dyDescent="0.25">
      <c r="A8" t="s">
        <v>79</v>
      </c>
      <c r="C8" s="5"/>
      <c r="E8" s="24"/>
      <c r="F8" s="7"/>
      <c r="G8" s="7"/>
      <c r="I8" s="5"/>
      <c r="K8" s="24"/>
    </row>
    <row r="9" spans="1:14" x14ac:dyDescent="0.25">
      <c r="A9" t="s">
        <v>9</v>
      </c>
      <c r="C9" s="67">
        <f>2717692+2906040+216620</f>
        <v>5840352</v>
      </c>
      <c r="E9" s="24">
        <f t="shared" ref="E9:E17" si="0">+C9/$C$7</f>
        <v>0.10945306699356321</v>
      </c>
      <c r="F9" s="7"/>
      <c r="G9" s="8">
        <f>+G$7*E9</f>
        <v>14.557257910143907</v>
      </c>
      <c r="I9" s="11">
        <f>2540772+189392+4747871+477099</f>
        <v>7955134</v>
      </c>
      <c r="K9" s="24">
        <f t="shared" ref="K9:K14" si="1">+I9/$I$7</f>
        <v>0.13890631324234176</v>
      </c>
      <c r="M9" s="8">
        <f>+M$7*K9</f>
        <v>18.474539661231454</v>
      </c>
    </row>
    <row r="10" spans="1:14" x14ac:dyDescent="0.25">
      <c r="A10" t="s">
        <v>80</v>
      </c>
      <c r="C10" s="68">
        <v>1210952</v>
      </c>
      <c r="E10" s="24">
        <f t="shared" si="0"/>
        <v>2.2694250343470623E-2</v>
      </c>
      <c r="F10" s="7"/>
      <c r="G10" s="8">
        <f t="shared" ref="G10:G21" si="2">+G$7*E10</f>
        <v>3.018335295681593</v>
      </c>
      <c r="I10" s="11">
        <f>1058744+67743</f>
        <v>1126487</v>
      </c>
      <c r="K10" s="24">
        <f t="shared" si="1"/>
        <v>1.9669832850763527E-2</v>
      </c>
      <c r="M10" s="8">
        <f t="shared" ref="M10:M22" si="3">+M$7*K10</f>
        <v>2.6160877691515489</v>
      </c>
    </row>
    <row r="11" spans="1:14" x14ac:dyDescent="0.25">
      <c r="A11" t="s">
        <v>81</v>
      </c>
      <c r="C11" s="68">
        <v>284052</v>
      </c>
      <c r="E11" s="24">
        <f t="shared" si="0"/>
        <v>5.3233713628314892E-3</v>
      </c>
      <c r="F11" s="7"/>
      <c r="G11" s="8">
        <f t="shared" si="2"/>
        <v>0.7080083912565881</v>
      </c>
      <c r="I11" s="11">
        <f>248349+15890</f>
        <v>264239</v>
      </c>
      <c r="K11" s="24">
        <f t="shared" si="1"/>
        <v>4.6139342599185815E-3</v>
      </c>
      <c r="M11" s="8">
        <f t="shared" si="3"/>
        <v>0.61365325656917136</v>
      </c>
    </row>
    <row r="12" spans="1:14" x14ac:dyDescent="0.25">
      <c r="A12" t="s">
        <v>82</v>
      </c>
      <c r="C12" s="68">
        <v>8221</v>
      </c>
      <c r="E12" s="24">
        <f t="shared" si="0"/>
        <v>1.5406839583540223E-4</v>
      </c>
      <c r="F12" s="7"/>
      <c r="G12" s="8">
        <f t="shared" si="2"/>
        <v>2.0491096646108497E-2</v>
      </c>
      <c r="I12" s="11">
        <v>0</v>
      </c>
      <c r="K12" s="24">
        <f t="shared" si="1"/>
        <v>0</v>
      </c>
      <c r="M12" s="8">
        <f t="shared" si="3"/>
        <v>0</v>
      </c>
    </row>
    <row r="13" spans="1:14" x14ac:dyDescent="0.25">
      <c r="A13" t="s">
        <v>18</v>
      </c>
      <c r="C13" s="67">
        <f>509567+403061</f>
        <v>912628</v>
      </c>
      <c r="E13" s="24">
        <f t="shared" si="0"/>
        <v>1.7103409798622002E-2</v>
      </c>
      <c r="F13" s="7"/>
      <c r="G13" s="8">
        <f t="shared" si="2"/>
        <v>2.2747535032167261</v>
      </c>
      <c r="I13" s="11">
        <f>352399+679212+66007</f>
        <v>1097618</v>
      </c>
      <c r="K13" s="24">
        <f t="shared" si="1"/>
        <v>1.9165745005481075E-2</v>
      </c>
      <c r="M13" s="8">
        <f>+M$7*K13-0.06</f>
        <v>2.4890440857289828</v>
      </c>
    </row>
    <row r="14" spans="1:14" hidden="1" x14ac:dyDescent="0.25">
      <c r="A14" t="s">
        <v>83</v>
      </c>
      <c r="C14" s="69"/>
      <c r="D14" s="20"/>
      <c r="E14" s="24">
        <f t="shared" si="0"/>
        <v>0</v>
      </c>
      <c r="F14" s="7"/>
      <c r="G14" s="8">
        <f t="shared" si="2"/>
        <v>0</v>
      </c>
      <c r="H14" s="20"/>
      <c r="I14" s="21"/>
      <c r="J14" s="20"/>
      <c r="K14" s="24">
        <f t="shared" si="1"/>
        <v>0</v>
      </c>
      <c r="M14" s="8">
        <f t="shared" si="3"/>
        <v>0</v>
      </c>
    </row>
    <row r="15" spans="1:14" x14ac:dyDescent="0.25">
      <c r="A15" t="s">
        <v>233</v>
      </c>
      <c r="C15" s="69">
        <f>798322+41464</f>
        <v>839786</v>
      </c>
      <c r="E15" s="24">
        <f t="shared" si="0"/>
        <v>1.5738289972634607E-2</v>
      </c>
      <c r="F15" s="7"/>
      <c r="G15" s="8">
        <f t="shared" si="2"/>
        <v>2.0931925663604027</v>
      </c>
      <c r="I15" s="21">
        <f>36253+759469+52291</f>
        <v>848013</v>
      </c>
      <c r="K15" s="62">
        <f>+I15/$I$7+0.0004</f>
        <v>1.5207338180799716E-2</v>
      </c>
      <c r="M15" s="8">
        <f t="shared" si="3"/>
        <v>2.0225759780463624</v>
      </c>
    </row>
    <row r="16" spans="1:14" x14ac:dyDescent="0.25">
      <c r="A16" t="s">
        <v>84</v>
      </c>
      <c r="C16" s="69">
        <f>237798+870918</f>
        <v>1108716</v>
      </c>
      <c r="E16" s="24">
        <f t="shared" si="0"/>
        <v>2.0778262444598447E-2</v>
      </c>
      <c r="F16" s="7"/>
      <c r="G16" s="8">
        <f t="shared" si="2"/>
        <v>2.7635089051315935</v>
      </c>
      <c r="I16" s="21">
        <f>761450+418943+75527</f>
        <v>1255920</v>
      </c>
      <c r="K16" s="24">
        <f t="shared" ref="K16:K23" si="4">+I16/$I$7</f>
        <v>2.1929890423884987E-2</v>
      </c>
      <c r="M16" s="8">
        <f t="shared" si="3"/>
        <v>2.9166754263767034</v>
      </c>
    </row>
    <row r="17" spans="1:13" x14ac:dyDescent="0.25">
      <c r="A17" t="s">
        <v>85</v>
      </c>
      <c r="C17" s="70">
        <f>101913+7658</f>
        <v>109571</v>
      </c>
      <c r="E17" s="24">
        <f t="shared" si="0"/>
        <v>2.0534519158351607E-3</v>
      </c>
      <c r="F17" s="7"/>
      <c r="G17" s="8">
        <f t="shared" si="2"/>
        <v>0.27310910480607636</v>
      </c>
      <c r="I17" s="21">
        <f>6695+133404+8964</f>
        <v>149063</v>
      </c>
      <c r="K17" s="24">
        <f t="shared" si="4"/>
        <v>2.6028212435947893E-3</v>
      </c>
      <c r="M17" s="8">
        <f t="shared" si="3"/>
        <v>0.34617522539810697</v>
      </c>
    </row>
    <row r="18" spans="1:13" x14ac:dyDescent="0.25">
      <c r="A18" t="s">
        <v>10</v>
      </c>
      <c r="C18" s="70">
        <f>1814858+50473+6780</f>
        <v>1872111</v>
      </c>
      <c r="E18" s="135">
        <f>+C18/$C$7-0.0002</f>
        <v>3.4884921371586268E-2</v>
      </c>
      <c r="F18" s="7"/>
      <c r="G18" s="8">
        <f t="shared" si="2"/>
        <v>4.6396945424209735</v>
      </c>
      <c r="I18" s="21">
        <f>5000000+2628539+488106</f>
        <v>8116645</v>
      </c>
      <c r="K18" s="24">
        <f t="shared" si="4"/>
        <v>0.14172649170295398</v>
      </c>
      <c r="M18" s="8">
        <f t="shared" si="3"/>
        <v>18.849623396492881</v>
      </c>
    </row>
    <row r="19" spans="1:13" x14ac:dyDescent="0.25">
      <c r="A19" t="s">
        <v>11</v>
      </c>
      <c r="C19" s="70">
        <f>3539036+2750000</f>
        <v>6289036</v>
      </c>
      <c r="E19" s="24">
        <f>+C19/$C$7</f>
        <v>0.1178617793298984</v>
      </c>
      <c r="F19" s="7"/>
      <c r="G19" s="8">
        <f t="shared" si="2"/>
        <v>15.675616650876487</v>
      </c>
      <c r="I19" s="21">
        <f>5000000+3000000</f>
        <v>8000000</v>
      </c>
      <c r="K19" s="24">
        <f t="shared" si="4"/>
        <v>0.13968972816029676</v>
      </c>
      <c r="M19" s="8">
        <f t="shared" si="3"/>
        <v>18.578733845319469</v>
      </c>
    </row>
    <row r="20" spans="1:13" x14ac:dyDescent="0.25">
      <c r="A20" t="s">
        <v>12</v>
      </c>
      <c r="C20" s="69">
        <v>57532</v>
      </c>
      <c r="E20" s="24">
        <f>+C20/$C$7</f>
        <v>1.0781976583386888E-3</v>
      </c>
      <c r="F20" s="7"/>
      <c r="G20" s="8">
        <f t="shared" si="2"/>
        <v>0.1434002885590456</v>
      </c>
      <c r="I20" s="21">
        <f>50301+3218</f>
        <v>53519</v>
      </c>
      <c r="K20" s="24">
        <f t="shared" si="4"/>
        <v>9.3450682017636529E-4</v>
      </c>
      <c r="M20" s="8">
        <f t="shared" si="3"/>
        <v>0.12428940708345658</v>
      </c>
    </row>
    <row r="21" spans="1:13" x14ac:dyDescent="0.25">
      <c r="A21" t="s">
        <v>25</v>
      </c>
      <c r="C21" s="69">
        <v>0</v>
      </c>
      <c r="E21" s="24">
        <f>+C21/$C$7</f>
        <v>0</v>
      </c>
      <c r="F21" s="7"/>
      <c r="G21" s="8">
        <f t="shared" si="2"/>
        <v>0</v>
      </c>
      <c r="I21" s="21">
        <f>94990+6078</f>
        <v>101068</v>
      </c>
      <c r="K21" s="24">
        <f t="shared" si="4"/>
        <v>1.7647701807131091E-3</v>
      </c>
      <c r="M21" s="136">
        <f t="shared" si="3"/>
        <v>0.23471443403484352</v>
      </c>
    </row>
    <row r="22" spans="1:13" x14ac:dyDescent="0.25">
      <c r="A22" t="s">
        <v>21</v>
      </c>
      <c r="C22" s="69">
        <f>345000+230279+313522+4350773</f>
        <v>5239574</v>
      </c>
      <c r="E22" s="24">
        <f>+C22/$C$7</f>
        <v>9.8193986259686394E-2</v>
      </c>
      <c r="F22" s="7"/>
      <c r="G22" s="136">
        <f>+G$7*E22</f>
        <v>13.05980017253829</v>
      </c>
      <c r="I22" s="69">
        <f>650000+250000+57586</f>
        <v>957586</v>
      </c>
      <c r="K22" s="24">
        <f t="shared" si="4"/>
        <v>1.672061600376324E-2</v>
      </c>
      <c r="M22" s="136">
        <f t="shared" si="3"/>
        <v>2.2238419285005109</v>
      </c>
    </row>
    <row r="23" spans="1:13" x14ac:dyDescent="0.25">
      <c r="A23" t="s">
        <v>86</v>
      </c>
      <c r="C23" s="137">
        <f>+C7-SUM(C9:C22)</f>
        <v>29586887.428571433</v>
      </c>
      <c r="E23" s="27">
        <f>+C23/$C$7</f>
        <v>0.55448294415309929</v>
      </c>
      <c r="F23" s="7"/>
      <c r="G23" s="64">
        <f>+G$7*E23-0.26</f>
        <v>73.4862315723622</v>
      </c>
      <c r="I23" s="13">
        <f>+I7-SUM(I9:I22)</f>
        <v>27344488</v>
      </c>
      <c r="K23" s="27">
        <f t="shared" si="4"/>
        <v>0.47746801192531207</v>
      </c>
      <c r="M23" s="138">
        <f>+M$7*K23</f>
        <v>63.503245586066505</v>
      </c>
    </row>
    <row r="24" spans="1:13" ht="16.5" customHeight="1" x14ac:dyDescent="0.25">
      <c r="A24" s="29" t="s">
        <v>27</v>
      </c>
      <c r="C24" s="139">
        <f>SUM(C9:C23)</f>
        <v>53359418.428571433</v>
      </c>
      <c r="E24" s="30">
        <f>SUM(E9:E23)</f>
        <v>0.99980000000000002</v>
      </c>
      <c r="F24" s="31"/>
      <c r="G24" s="8">
        <f>SUM(G9:G23)</f>
        <v>132.71339999999998</v>
      </c>
      <c r="I24" s="21">
        <f>SUM(I9:I23)</f>
        <v>57269780</v>
      </c>
      <c r="K24" s="30">
        <f>SUM(K9:K23)</f>
        <v>1.0004</v>
      </c>
      <c r="M24" s="136">
        <f>SUM(M9:M23)</f>
        <v>132.9932</v>
      </c>
    </row>
    <row r="25" spans="1:13" x14ac:dyDescent="0.25">
      <c r="C25" s="21"/>
      <c r="E25" s="30"/>
      <c r="F25" s="31"/>
      <c r="G25" s="8"/>
      <c r="I25" s="21"/>
      <c r="K25" s="30"/>
      <c r="M25" s="136"/>
    </row>
    <row r="26" spans="1:13" x14ac:dyDescent="0.25">
      <c r="C26" s="21"/>
      <c r="E26" s="30"/>
      <c r="F26" s="31"/>
      <c r="G26" s="8"/>
      <c r="I26" s="21"/>
      <c r="K26" s="30"/>
      <c r="M26" s="136"/>
    </row>
    <row r="27" spans="1:13" x14ac:dyDescent="0.25">
      <c r="A27" s="29" t="s">
        <v>87</v>
      </c>
      <c r="C27" s="65">
        <v>17391655</v>
      </c>
      <c r="E27" s="62">
        <f>+C27/C24-0.01</f>
        <v>0.31593411832778889</v>
      </c>
      <c r="F27" s="7"/>
      <c r="G27" s="8">
        <f>+G$7*E27</f>
        <v>42.019237737595923</v>
      </c>
      <c r="I27" s="21">
        <v>15205647</v>
      </c>
      <c r="K27" s="24">
        <f>+I27/I24</f>
        <v>0.265509086991429</v>
      </c>
      <c r="M27" s="136">
        <f>+M$7*K27</f>
        <v>35.312708569860057</v>
      </c>
    </row>
    <row r="28" spans="1:13" x14ac:dyDescent="0.25">
      <c r="C28" s="21"/>
      <c r="E28" s="30"/>
      <c r="F28" s="31"/>
      <c r="G28" s="8"/>
      <c r="I28" s="21"/>
      <c r="K28" s="30"/>
      <c r="M28" s="136"/>
    </row>
    <row r="29" spans="1:13" x14ac:dyDescent="0.25">
      <c r="A29" s="29" t="s">
        <v>88</v>
      </c>
      <c r="C29" s="13">
        <f>+C23-C27-1</f>
        <v>12195231.428571433</v>
      </c>
      <c r="E29" s="27">
        <f>+C29/C24</f>
        <v>0.2285488070844765</v>
      </c>
      <c r="F29" s="7"/>
      <c r="G29" s="64">
        <f>+G$7*E29+0.11</f>
        <v>30.506991342235374</v>
      </c>
      <c r="I29" s="13">
        <f>+I23-I27</f>
        <v>12138841</v>
      </c>
      <c r="K29" s="27">
        <f>+I29/I24</f>
        <v>0.2119589249338831</v>
      </c>
      <c r="M29" s="64">
        <f>+M$7*K29+1</f>
        <v>29.190537016206452</v>
      </c>
    </row>
    <row r="30" spans="1:13" x14ac:dyDescent="0.25">
      <c r="E30" s="72"/>
      <c r="G30" s="8"/>
      <c r="K30" s="72"/>
      <c r="M30" s="136"/>
    </row>
    <row r="31" spans="1:13" x14ac:dyDescent="0.25">
      <c r="A31" s="29" t="s">
        <v>89</v>
      </c>
      <c r="C31" s="5">
        <f>SUM(C27:C29)</f>
        <v>29586886.428571433</v>
      </c>
      <c r="E31" s="140">
        <f>SUM(E27:E29)+0.01</f>
        <v>0.5544829254122654</v>
      </c>
      <c r="F31" s="73"/>
      <c r="G31" s="71">
        <f>+G$7*E31-0.26</f>
        <v>73.48622907983129</v>
      </c>
      <c r="I31" s="5">
        <f>SUM(I27:I29)</f>
        <v>27344488</v>
      </c>
      <c r="K31" s="72">
        <f>SUM(K27:K29)</f>
        <v>0.47746801192531207</v>
      </c>
      <c r="M31" s="136">
        <f>+M$7*K31</f>
        <v>63.503245586066505</v>
      </c>
    </row>
    <row r="32" spans="1:13" x14ac:dyDescent="0.25">
      <c r="D32" s="32"/>
      <c r="G32" s="8"/>
      <c r="M32" s="103"/>
    </row>
    <row r="33" spans="1:7" x14ac:dyDescent="0.25">
      <c r="D33" s="32"/>
      <c r="G33" s="8"/>
    </row>
    <row r="34" spans="1:7" x14ac:dyDescent="0.25">
      <c r="A34" t="s">
        <v>229</v>
      </c>
      <c r="D34" s="32"/>
      <c r="G34" s="8"/>
    </row>
    <row r="35" spans="1:7" x14ac:dyDescent="0.25">
      <c r="A35" s="128" t="s">
        <v>230</v>
      </c>
      <c r="C35" s="20"/>
      <c r="D35" s="33"/>
      <c r="G35" s="8"/>
    </row>
    <row r="36" spans="1:7" x14ac:dyDescent="0.25">
      <c r="A36" s="32"/>
      <c r="C36" s="34"/>
      <c r="D36" s="33"/>
      <c r="G36" s="8"/>
    </row>
    <row r="37" spans="1:7" x14ac:dyDescent="0.25">
      <c r="A37" s="32"/>
      <c r="C37" s="20"/>
      <c r="D37" s="33"/>
      <c r="G37" s="8"/>
    </row>
    <row r="38" spans="1:7" x14ac:dyDescent="0.25">
      <c r="A38" s="32"/>
      <c r="C38" s="34"/>
      <c r="D38" s="33"/>
      <c r="G38" s="8"/>
    </row>
    <row r="39" spans="1:7" x14ac:dyDescent="0.25">
      <c r="A39" s="32"/>
      <c r="C39" s="20"/>
      <c r="D39" s="33"/>
    </row>
    <row r="40" spans="1:7" x14ac:dyDescent="0.25">
      <c r="A40" s="32"/>
      <c r="C40" s="20"/>
      <c r="D40" s="33"/>
    </row>
    <row r="41" spans="1:7" x14ac:dyDescent="0.25">
      <c r="A41" s="32"/>
      <c r="C41" s="20"/>
      <c r="D41" s="33"/>
    </row>
    <row r="42" spans="1:7" x14ac:dyDescent="0.25">
      <c r="A42" s="32"/>
      <c r="C42" s="20"/>
      <c r="D42" s="33"/>
    </row>
    <row r="43" spans="1:7" x14ac:dyDescent="0.25">
      <c r="A43" s="32"/>
      <c r="C43" s="20"/>
      <c r="D43" s="33"/>
    </row>
    <row r="44" spans="1:7" x14ac:dyDescent="0.25">
      <c r="A44" s="32"/>
      <c r="C44" s="20"/>
      <c r="D44" s="20"/>
    </row>
    <row r="45" spans="1:7" x14ac:dyDescent="0.25">
      <c r="A45" s="32"/>
    </row>
    <row r="46" spans="1:7" x14ac:dyDescent="0.25">
      <c r="A46" s="32"/>
    </row>
    <row r="47" spans="1:7" x14ac:dyDescent="0.25">
      <c r="A47" s="32"/>
    </row>
    <row r="48" spans="1:7" x14ac:dyDescent="0.25">
      <c r="A48" s="32"/>
    </row>
  </sheetData>
  <mergeCells count="4">
    <mergeCell ref="A1:M1"/>
    <mergeCell ref="A2:M2"/>
    <mergeCell ref="C4:G4"/>
    <mergeCell ref="I4:M4"/>
  </mergeCells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selection activeCell="B7" sqref="B7"/>
    </sheetView>
  </sheetViews>
  <sheetFormatPr defaultRowHeight="13.2" x14ac:dyDescent="0.25"/>
  <cols>
    <col min="1" max="1" width="13" customWidth="1"/>
    <col min="2" max="2" width="39.88671875" customWidth="1"/>
    <col min="3" max="3" width="9.109375" hidden="1" customWidth="1"/>
    <col min="4" max="4" width="14" bestFit="1" customWidth="1"/>
    <col min="5" max="5" width="22.33203125" hidden="1" customWidth="1"/>
    <col min="6" max="6" width="18.109375" hidden="1" customWidth="1"/>
    <col min="7" max="7" width="17.5546875" hidden="1" customWidth="1"/>
    <col min="8" max="8" width="19.44140625" hidden="1" customWidth="1"/>
    <col min="9" max="9" width="14.33203125" hidden="1" customWidth="1"/>
    <col min="10" max="10" width="25.5546875" hidden="1" customWidth="1"/>
    <col min="11" max="11" width="20.109375" hidden="1" customWidth="1"/>
    <col min="12" max="12" width="13.5546875" hidden="1" customWidth="1"/>
    <col min="14" max="14" width="14" bestFit="1" customWidth="1"/>
    <col min="15" max="15" width="2" style="66" customWidth="1"/>
    <col min="16" max="16" width="14" bestFit="1" customWidth="1"/>
    <col min="17" max="17" width="2" customWidth="1"/>
    <col min="18" max="18" width="9.33203125" customWidth="1"/>
  </cols>
  <sheetData>
    <row r="1" spans="1:16" x14ac:dyDescent="0.25">
      <c r="A1" s="41" t="s">
        <v>280</v>
      </c>
    </row>
    <row r="2" spans="1:16" x14ac:dyDescent="0.25">
      <c r="A2" s="41" t="s">
        <v>281</v>
      </c>
    </row>
    <row r="3" spans="1:16" x14ac:dyDescent="0.25">
      <c r="A3" s="41"/>
    </row>
    <row r="4" spans="1:16" ht="13.8" thickBot="1" x14ac:dyDescent="0.3">
      <c r="A4" s="81" t="str">
        <f ca="1">CELL("filename",A1)</f>
        <v>O:\Fin_Ops\Finrpt\2002\2002 Plan\Group\[EA Alloc to Other BUs - Support.xls]Detail - Outside Legal</v>
      </c>
      <c r="N4" s="109">
        <f>+P4-D73</f>
        <v>8715674.5899999999</v>
      </c>
      <c r="O4" s="82"/>
      <c r="P4" s="182">
        <f>31100000-SUM(P74:P76)</f>
        <v>20450000</v>
      </c>
    </row>
    <row r="5" spans="1:16" s="189" customFormat="1" ht="30.75" customHeight="1" thickBot="1" x14ac:dyDescent="0.3">
      <c r="A5" s="183" t="s">
        <v>101</v>
      </c>
      <c r="B5" s="184" t="s">
        <v>102</v>
      </c>
      <c r="C5" s="185" t="s">
        <v>103</v>
      </c>
      <c r="D5" s="186" t="s">
        <v>282</v>
      </c>
      <c r="E5" s="187" t="s">
        <v>104</v>
      </c>
      <c r="F5" s="184" t="s">
        <v>105</v>
      </c>
      <c r="G5" s="185" t="s">
        <v>106</v>
      </c>
      <c r="H5" s="184" t="s">
        <v>107</v>
      </c>
      <c r="I5" s="187" t="s">
        <v>108</v>
      </c>
      <c r="J5" s="184" t="s">
        <v>109</v>
      </c>
      <c r="K5" s="188" t="s">
        <v>110</v>
      </c>
      <c r="L5" s="188" t="s">
        <v>111</v>
      </c>
      <c r="N5" s="186" t="s">
        <v>283</v>
      </c>
      <c r="O5" s="190"/>
      <c r="P5" s="186" t="s">
        <v>3</v>
      </c>
    </row>
    <row r="6" spans="1:16" s="91" customFormat="1" ht="10.199999999999999" x14ac:dyDescent="0.2">
      <c r="A6" s="83">
        <v>100055</v>
      </c>
      <c r="B6" s="85" t="s">
        <v>112</v>
      </c>
      <c r="C6" s="86"/>
      <c r="D6" s="191">
        <v>607513.29</v>
      </c>
      <c r="E6" s="87">
        <f>+'[3]Jan ext legal'!E5+'[3]Feb ext legal'!E5+'[3]Mar ext legal'!E5+'[3]Apr ext legal'!E5+'[3]May ext legal'!E5+'[3]Jun ext legal'!E5+'[3]Jul ext legal'!E5</f>
        <v>607513.29</v>
      </c>
      <c r="F6" s="88">
        <f>+'[3]Jan ext legal'!F5+'[3]Feb ext legal'!F5+'[3]Mar ext legal'!F5+'[3]Apr ext legal'!F5+'[3]May ext legal'!F5+'[3]Jun ext legal'!F5+'[3]Jul ext legal'!F5</f>
        <v>0</v>
      </c>
      <c r="G6" s="87">
        <f>+'[3]Jan ext legal'!G5+'[3]Feb ext legal'!G5+'[3]Mar ext legal'!G5+'[3]Apr ext legal'!G5+'[3]May ext legal'!G5+'[3]Jun ext legal'!G5+'[3]Jul ext legal'!G5</f>
        <v>0</v>
      </c>
      <c r="H6" s="88">
        <f>+'[3]Jan ext legal'!H5+'[3]Feb ext legal'!H5+'[3]Mar ext legal'!H5+'[3]Apr ext legal'!H5+'[3]May ext legal'!H5+'[3]Jun ext legal'!H5+'[3]Jul ext legal'!H5</f>
        <v>0</v>
      </c>
      <c r="I6" s="87">
        <f>+'[3]Jan ext legal'!I5+'[3]Feb ext legal'!I5+'[3]Mar ext legal'!I5+'[3]Apr ext legal'!I5+'[3]May ext legal'!I5+'[3]Jun ext legal'!I5+'[3]Jul ext legal'!I5</f>
        <v>0</v>
      </c>
      <c r="J6" s="88">
        <f>+'[3]Jan ext legal'!K5+'[3]Feb ext legal'!K5+'[3]Mar ext legal'!K5+'[3]Apr ext legal'!K5+'[3]May ext legal'!K5+'[3]Jun ext legal'!K5+'[3]Jul ext legal'!K5</f>
        <v>0</v>
      </c>
      <c r="K6" s="88">
        <f>+'[3]Jan ext legal'!L5+'[3]Feb ext legal'!L5+'[3]Mar ext legal'!L5+'[3]Apr ext legal'!L5+'[3]May ext legal'!L5+'[3]Jun ext legal'!L5+'[3]Jul ext legal'!L5</f>
        <v>0</v>
      </c>
      <c r="L6" s="88">
        <f>+'[3]Jan ext legal'!M5+'[3]Feb ext legal'!M5+'[3]Mar ext legal'!M5+'[3]Apr ext legal'!M5+'[3]May ext legal'!M5+'[3]Jun ext legal'!M5+'[3]Jul ext legal'!M5</f>
        <v>0</v>
      </c>
      <c r="M6" s="89">
        <f t="shared" ref="M6:M69" si="0">+D6/D$73</f>
        <v>5.1772323399372988E-2</v>
      </c>
      <c r="N6" s="89">
        <f>+N$4*M6</f>
        <v>451230.72351717757</v>
      </c>
      <c r="O6" s="90"/>
      <c r="P6" s="89">
        <f>SUM(D6+N6)</f>
        <v>1058744.0135171777</v>
      </c>
    </row>
    <row r="7" spans="1:16" s="91" customFormat="1" ht="10.199999999999999" hidden="1" x14ac:dyDescent="0.2">
      <c r="A7" s="92">
        <v>100106</v>
      </c>
      <c r="B7" s="91" t="s">
        <v>113</v>
      </c>
      <c r="C7" s="91" t="s">
        <v>114</v>
      </c>
      <c r="D7" s="192">
        <v>0</v>
      </c>
      <c r="E7" s="93">
        <f>+'[3]Jan ext legal'!E6+'[3]Feb ext legal'!E6+'[3]Mar ext legal'!E6+'[3]Apr ext legal'!E6+'[3]May ext legal'!E6+'[3]Jun ext legal'!E6+'[3]Jul ext legal'!E6</f>
        <v>0</v>
      </c>
      <c r="F7" s="94">
        <f>+'[3]Jan ext legal'!F6+'[3]Feb ext legal'!F6+'[3]Mar ext legal'!F6+'[3]Apr ext legal'!F6+'[3]May ext legal'!F6+'[3]Jun ext legal'!F6+'[3]Jul ext legal'!F6</f>
        <v>0</v>
      </c>
      <c r="G7" s="93">
        <f>+'[3]Jan ext legal'!G6+'[3]Feb ext legal'!G6+'[3]Mar ext legal'!G6+'[3]Apr ext legal'!G6+'[3]May ext legal'!G6+'[3]Jun ext legal'!G6+'[3]Jul ext legal'!G6</f>
        <v>0</v>
      </c>
      <c r="H7" s="94">
        <f>+'[3]Jan ext legal'!H6+'[3]Feb ext legal'!H6+'[3]Mar ext legal'!H6+'[3]Apr ext legal'!H6+'[3]May ext legal'!H6+'[3]Jun ext legal'!H6+'[3]Jul ext legal'!H6</f>
        <v>0</v>
      </c>
      <c r="I7" s="93">
        <f>+'[3]Jan ext legal'!I6+'[3]Feb ext legal'!I6+'[3]Mar ext legal'!I6+'[3]Apr ext legal'!I6+'[3]May ext legal'!I6+'[3]Jun ext legal'!I6+'[3]Jul ext legal'!I6</f>
        <v>0</v>
      </c>
      <c r="J7" s="94">
        <f>+'[3]Jan ext legal'!K6+'[3]Feb ext legal'!K6+'[3]Mar ext legal'!K6+'[3]Apr ext legal'!K6+'[3]May ext legal'!K6+'[3]Jun ext legal'!K6+'[3]Jul ext legal'!K6</f>
        <v>0</v>
      </c>
      <c r="K7" s="94">
        <f>+'[3]Jan ext legal'!L6+'[3]Feb ext legal'!L6+'[3]Mar ext legal'!L6+'[3]Apr ext legal'!L6+'[3]May ext legal'!L6+'[3]Jun ext legal'!L6+'[3]Jul ext legal'!L6</f>
        <v>0</v>
      </c>
      <c r="L7" s="94">
        <f>+'[3]Jan ext legal'!M6+'[3]Feb ext legal'!M6+'[3]Mar ext legal'!M6+'[3]Apr ext legal'!M6+'[3]May ext legal'!M6+'[3]Jun ext legal'!M6+'[3]Jul ext legal'!M6</f>
        <v>0</v>
      </c>
      <c r="M7" s="96">
        <f t="shared" si="0"/>
        <v>0</v>
      </c>
      <c r="N7" s="96">
        <f t="shared" ref="N7:N69" si="1">+N$4*M7</f>
        <v>0</v>
      </c>
      <c r="O7" s="95"/>
      <c r="P7" s="96">
        <f t="shared" ref="P7:P69" si="2">SUM(D7+N7)</f>
        <v>0</v>
      </c>
    </row>
    <row r="8" spans="1:16" s="91" customFormat="1" ht="10.199999999999999" x14ac:dyDescent="0.2">
      <c r="A8" s="83">
        <v>100663</v>
      </c>
      <c r="B8" s="85" t="s">
        <v>115</v>
      </c>
      <c r="C8" s="85" t="s">
        <v>114</v>
      </c>
      <c r="D8" s="191">
        <v>436924.23</v>
      </c>
      <c r="E8" s="87">
        <f>+'[3]Jan ext legal'!E7+'[3]Feb ext legal'!E7+'[3]Mar ext legal'!E7+'[3]Apr ext legal'!E7+'[3]May ext legal'!E7+'[3]Jun ext legal'!E7+'[3]Jul ext legal'!E7</f>
        <v>0</v>
      </c>
      <c r="F8" s="88">
        <f>+'[3]Jan ext legal'!F7+'[3]Feb ext legal'!F7+'[3]Mar ext legal'!F7+'[3]Apr ext legal'!F7+'[3]May ext legal'!F7+'[3]Jun ext legal'!F7+'[3]Jul ext legal'!F7</f>
        <v>0</v>
      </c>
      <c r="G8" s="87">
        <f>+'[3]Jan ext legal'!G7+'[3]Feb ext legal'!G7+'[3]Mar ext legal'!G7+'[3]Apr ext legal'!G7+'[3]May ext legal'!G7+'[3]Jun ext legal'!G7+'[3]Jul ext legal'!G7</f>
        <v>240967.85</v>
      </c>
      <c r="H8" s="88">
        <f>+'[3]Jan ext legal'!H7+'[3]Feb ext legal'!H7+'[3]Mar ext legal'!H7+'[3]Apr ext legal'!H7+'[3]May ext legal'!H7+'[3]Jun ext legal'!H7+'[3]Jul ext legal'!H7</f>
        <v>10621.78</v>
      </c>
      <c r="I8" s="87">
        <f>+'[3]Jan ext legal'!I7+'[3]Feb ext legal'!I7+'[3]Mar ext legal'!I7+'[3]Apr ext legal'!I7+'[3]May ext legal'!I7+'[3]Jun ext legal'!I7+'[3]Jul ext legal'!I7</f>
        <v>177674.08</v>
      </c>
      <c r="J8" s="88">
        <f>+'[3]Jan ext legal'!K7+'[3]Feb ext legal'!K7+'[3]Mar ext legal'!K7+'[3]Apr ext legal'!K7+'[3]May ext legal'!K7+'[3]Jun ext legal'!K7+'[3]Jul ext legal'!K7</f>
        <v>7660.52</v>
      </c>
      <c r="K8" s="88">
        <f>+'[3]Jan ext legal'!L7+'[3]Feb ext legal'!L7+'[3]Mar ext legal'!L7+'[3]Apr ext legal'!L7+'[3]May ext legal'!L7+'[3]Jun ext legal'!L7+'[3]Jul ext legal'!L7</f>
        <v>0</v>
      </c>
      <c r="L8" s="88">
        <f>+'[3]Jan ext legal'!M7+'[3]Feb ext legal'!M7+'[3]Mar ext legal'!M7+'[3]Apr ext legal'!M7+'[3]May ext legal'!M7+'[3]Jun ext legal'!M7+'[3]Jul ext legal'!M7</f>
        <v>0</v>
      </c>
      <c r="M8" s="89">
        <f t="shared" si="0"/>
        <v>3.7234712242397237E-2</v>
      </c>
      <c r="N8" s="89">
        <f t="shared" si="1"/>
        <v>324525.63535702351</v>
      </c>
      <c r="O8" s="90"/>
      <c r="P8" s="89">
        <f t="shared" si="2"/>
        <v>761449.86535702343</v>
      </c>
    </row>
    <row r="9" spans="1:16" s="91" customFormat="1" ht="10.199999999999999" x14ac:dyDescent="0.2">
      <c r="A9" s="83">
        <v>102564</v>
      </c>
      <c r="B9" s="85" t="s">
        <v>116</v>
      </c>
      <c r="C9" s="85" t="s">
        <v>114</v>
      </c>
      <c r="D9" s="191">
        <v>3841.81</v>
      </c>
      <c r="E9" s="87">
        <f>+'[3]Jan ext legal'!E8+'[3]Feb ext legal'!E8+'[3]Mar ext legal'!E8+'[3]Apr ext legal'!E8+'[3]May ext legal'!E8+'[3]Jun ext legal'!E8+'[3]Jul ext legal'!E8</f>
        <v>0</v>
      </c>
      <c r="F9" s="88">
        <f>+'[3]Jan ext legal'!F8+'[3]Feb ext legal'!F8+'[3]Mar ext legal'!F8+'[3]Apr ext legal'!F8+'[3]May ext legal'!F8+'[3]Jun ext legal'!F8+'[3]Jul ext legal'!F8</f>
        <v>0</v>
      </c>
      <c r="G9" s="87">
        <f>+'[3]Jan ext legal'!G8+'[3]Feb ext legal'!G8+'[3]Mar ext legal'!G8+'[3]Apr ext legal'!G8+'[3]May ext legal'!G8+'[3]Jun ext legal'!G8+'[3]Jul ext legal'!G8</f>
        <v>0</v>
      </c>
      <c r="H9" s="88">
        <f>+'[3]Jan ext legal'!H8+'[3]Feb ext legal'!H8+'[3]Mar ext legal'!H8+'[3]Apr ext legal'!H8+'[3]May ext legal'!H8+'[3]Jun ext legal'!H8+'[3]Jul ext legal'!H8</f>
        <v>0</v>
      </c>
      <c r="I9" s="87">
        <f>+'[3]Jan ext legal'!I8+'[3]Feb ext legal'!I8+'[3]Mar ext legal'!I8+'[3]Apr ext legal'!I8+'[3]May ext legal'!I8+'[3]Jun ext legal'!I8+'[3]Jul ext legal'!I8</f>
        <v>3841.81</v>
      </c>
      <c r="J9" s="88">
        <f>+'[3]Jan ext legal'!K8+'[3]Feb ext legal'!K8+'[3]Mar ext legal'!K8+'[3]Apr ext legal'!K8+'[3]May ext legal'!K8+'[3]Jun ext legal'!K8+'[3]Jul ext legal'!K8</f>
        <v>0</v>
      </c>
      <c r="K9" s="88">
        <f>+'[3]Jan ext legal'!L8+'[3]Feb ext legal'!L8+'[3]Mar ext legal'!L8+'[3]Apr ext legal'!L8+'[3]May ext legal'!L8+'[3]Jun ext legal'!L8+'[3]Jul ext legal'!L8</f>
        <v>0</v>
      </c>
      <c r="L9" s="88">
        <f>+'[3]Jan ext legal'!M8+'[3]Feb ext legal'!M8+'[3]Mar ext legal'!M8+'[3]Apr ext legal'!M8+'[3]May ext legal'!M8+'[3]Jun ext legal'!M8+'[3]Jul ext legal'!M8</f>
        <v>0</v>
      </c>
      <c r="M9" s="89">
        <f t="shared" si="0"/>
        <v>3.2739930637393157E-4</v>
      </c>
      <c r="N9" s="89">
        <f t="shared" si="1"/>
        <v>2853.5058153469004</v>
      </c>
      <c r="O9" s="90"/>
      <c r="P9" s="89">
        <f t="shared" si="2"/>
        <v>6695.3158153469003</v>
      </c>
    </row>
    <row r="10" spans="1:16" s="91" customFormat="1" ht="10.199999999999999" hidden="1" x14ac:dyDescent="0.2">
      <c r="A10" s="83">
        <v>103478</v>
      </c>
      <c r="B10" s="85" t="s">
        <v>117</v>
      </c>
      <c r="C10" s="85" t="s">
        <v>114</v>
      </c>
      <c r="D10" s="191">
        <v>0</v>
      </c>
      <c r="E10" s="87">
        <v>0</v>
      </c>
      <c r="F10" s="88">
        <f>+'[3]Jan ext legal'!F9+'[3]Feb ext legal'!F9+'[3]Mar ext legal'!F9+'[3]Apr ext legal'!F9+'[3]May ext legal'!F9+'[3]Jun ext legal'!F9+'[3]Jul ext legal'!F9</f>
        <v>17528.400000000001</v>
      </c>
      <c r="G10" s="87">
        <f>+'[3]Jan ext legal'!G9+'[3]Feb ext legal'!G9+'[3]Mar ext legal'!G9+'[3]Apr ext legal'!G9+'[3]May ext legal'!G9+'[3]Jun ext legal'!G9+'[3]Jul ext legal'!G9</f>
        <v>0</v>
      </c>
      <c r="H10" s="88">
        <f>+'[3]Jan ext legal'!H9+'[3]Feb ext legal'!H9+'[3]Mar ext legal'!H9+'[3]Apr ext legal'!H9+'[3]May ext legal'!H9+'[3]Jun ext legal'!H9+'[3]Jul ext legal'!H9</f>
        <v>0</v>
      </c>
      <c r="I10" s="87">
        <f>+'[3]Jan ext legal'!I9+'[3]Feb ext legal'!I9+'[3]Mar ext legal'!I9+'[3]Apr ext legal'!I9+'[3]May ext legal'!I9+'[3]Jun ext legal'!I9+'[3]Jul ext legal'!I9</f>
        <v>0</v>
      </c>
      <c r="J10" s="88">
        <f>+'[3]Jan ext legal'!K9+'[3]Feb ext legal'!K9+'[3]Mar ext legal'!K9+'[3]Apr ext legal'!K9+'[3]May ext legal'!K9+'[3]Jun ext legal'!K9+'[3]Jul ext legal'!K9</f>
        <v>0</v>
      </c>
      <c r="K10" s="88">
        <f>+'[3]Jan ext legal'!L9+'[3]Feb ext legal'!L9+'[3]Mar ext legal'!L9+'[3]Apr ext legal'!L9+'[3]May ext legal'!L9+'[3]Jun ext legal'!L9+'[3]Jul ext legal'!L9</f>
        <v>0</v>
      </c>
      <c r="L10" s="88">
        <f>+'[3]Jan ext legal'!M9+'[3]Feb ext legal'!M9+'[3]Mar ext legal'!M9+'[3]Apr ext legal'!M9+'[3]May ext legal'!M9+'[3]Jun ext legal'!M9+'[3]Jul ext legal'!M9</f>
        <v>7792.82</v>
      </c>
      <c r="M10" s="89">
        <f t="shared" si="0"/>
        <v>0</v>
      </c>
      <c r="N10" s="89">
        <f t="shared" si="1"/>
        <v>0</v>
      </c>
      <c r="O10" s="90"/>
      <c r="P10" s="89">
        <f t="shared" si="2"/>
        <v>0</v>
      </c>
    </row>
    <row r="11" spans="1:16" s="91" customFormat="1" ht="10.199999999999999" x14ac:dyDescent="0.2">
      <c r="A11" s="83">
        <v>105168</v>
      </c>
      <c r="B11" s="85" t="s">
        <v>120</v>
      </c>
      <c r="C11" s="85" t="s">
        <v>114</v>
      </c>
      <c r="D11" s="191">
        <v>28862.77</v>
      </c>
      <c r="E11" s="87">
        <f>+'[3]Jan ext legal'!E11+'[3]Feb ext legal'!E11+'[3]Mar ext legal'!E11+'[3]Apr ext legal'!E11+'[3]May ext legal'!E11+'[3]Jun ext legal'!E11+'[3]Jul ext legal'!E11</f>
        <v>0</v>
      </c>
      <c r="F11" s="88">
        <f>+'[3]Jan ext legal'!F11+'[3]Feb ext legal'!F11+'[3]Mar ext legal'!F11+'[3]Apr ext legal'!F11+'[3]May ext legal'!F11+'[3]Jun ext legal'!F11+'[3]Jul ext legal'!F11</f>
        <v>0</v>
      </c>
      <c r="G11" s="87">
        <f>+'[3]Jan ext legal'!G11+'[3]Feb ext legal'!G11+'[3]Mar ext legal'!G11+'[3]Apr ext legal'!G11+'[3]May ext legal'!G11+'[3]Jun ext legal'!G11+'[3]Jul ext legal'!G11</f>
        <v>0</v>
      </c>
      <c r="H11" s="88">
        <f>+'[3]Jan ext legal'!H11+'[3]Feb ext legal'!H11+'[3]Mar ext legal'!H11+'[3]Apr ext legal'!H11+'[3]May ext legal'!H11+'[3]Jun ext legal'!H11+'[3]Jul ext legal'!H11</f>
        <v>0</v>
      </c>
      <c r="I11" s="87">
        <f>+'[3]Jan ext legal'!I11+'[3]Feb ext legal'!I11+'[3]Mar ext legal'!I11+'[3]Apr ext legal'!I11+'[3]May ext legal'!I11+'[3]Jun ext legal'!I11+'[3]Jul ext legal'!I11</f>
        <v>0</v>
      </c>
      <c r="J11" s="88">
        <f>+'[3]Jan ext legal'!K11+'[3]Feb ext legal'!K11+'[3]Mar ext legal'!K11+'[3]Apr ext legal'!K11+'[3]May ext legal'!K11+'[3]Jun ext legal'!K11+'[3]Jul ext legal'!K11</f>
        <v>0</v>
      </c>
      <c r="K11" s="88">
        <f>+'[3]Jan ext legal'!L11+'[3]Feb ext legal'!L11+'[3]Mar ext legal'!L11+'[3]Apr ext legal'!L11+'[3]May ext legal'!L11+'[3]Jun ext legal'!L11+'[3]Jul ext legal'!L11</f>
        <v>28862.769999999997</v>
      </c>
      <c r="L11" s="88">
        <f>+'[3]Jan ext legal'!M11+'[3]Feb ext legal'!M11+'[3]Mar ext legal'!M11+'[3]Apr ext legal'!M11+'[3]May ext legal'!M11+'[3]Jun ext legal'!M11+'[3]Jul ext legal'!M11</f>
        <v>0</v>
      </c>
      <c r="M11" s="89">
        <f t="shared" si="0"/>
        <v>2.4596871990104456E-3</v>
      </c>
      <c r="N11" s="89">
        <f t="shared" si="1"/>
        <v>21437.833219763612</v>
      </c>
      <c r="O11" s="90"/>
      <c r="P11" s="89">
        <f t="shared" si="2"/>
        <v>50300.603219763609</v>
      </c>
    </row>
    <row r="12" spans="1:16" s="91" customFormat="1" ht="10.199999999999999" hidden="1" x14ac:dyDescent="0.2">
      <c r="A12" s="92">
        <v>105249</v>
      </c>
      <c r="B12" s="91" t="s">
        <v>121</v>
      </c>
      <c r="C12" s="85" t="s">
        <v>114</v>
      </c>
      <c r="D12" s="192">
        <v>0</v>
      </c>
      <c r="E12" s="93">
        <f>+'[3]Jan ext legal'!E12+'[3]Feb ext legal'!E12+'[3]Mar ext legal'!E12+'[3]Apr ext legal'!E12+'[3]May ext legal'!E12+'[3]Jun ext legal'!E12+'[3]Jul ext legal'!E12</f>
        <v>0</v>
      </c>
      <c r="F12" s="94">
        <f>+'[3]Jan ext legal'!F12+'[3]Feb ext legal'!F12+'[3]Mar ext legal'!F12+'[3]Apr ext legal'!F12+'[3]May ext legal'!F12+'[3]Jun ext legal'!F12+'[3]Jul ext legal'!F12</f>
        <v>0</v>
      </c>
      <c r="G12" s="93">
        <f>+'[3]Jan ext legal'!G12+'[3]Feb ext legal'!G12+'[3]Mar ext legal'!G12+'[3]Apr ext legal'!G12+'[3]May ext legal'!G12+'[3]Jun ext legal'!G12+'[3]Jul ext legal'!G12</f>
        <v>0</v>
      </c>
      <c r="H12" s="94">
        <f>+'[3]Jan ext legal'!H12+'[3]Feb ext legal'!H12+'[3]Mar ext legal'!H12+'[3]Apr ext legal'!H12+'[3]May ext legal'!H12+'[3]Jun ext legal'!H12+'[3]Jul ext legal'!H12</f>
        <v>0</v>
      </c>
      <c r="I12" s="93">
        <f>+'[3]Jan ext legal'!I12+'[3]Feb ext legal'!I12+'[3]Mar ext legal'!I12+'[3]Apr ext legal'!I12+'[3]May ext legal'!I12+'[3]Jun ext legal'!I12+'[3]Jul ext legal'!I12</f>
        <v>0</v>
      </c>
      <c r="J12" s="94">
        <f>+'[3]Jan ext legal'!K12+'[3]Feb ext legal'!K12+'[3]Mar ext legal'!K12+'[3]Apr ext legal'!K12+'[3]May ext legal'!K12+'[3]Jun ext legal'!K12+'[3]Jul ext legal'!K12</f>
        <v>0</v>
      </c>
      <c r="K12" s="94">
        <f>+'[3]Jan ext legal'!L12+'[3]Feb ext legal'!L12+'[3]Mar ext legal'!L12+'[3]Apr ext legal'!L12+'[3]May ext legal'!L12+'[3]Jun ext legal'!L12+'[3]Jul ext legal'!L12</f>
        <v>0</v>
      </c>
      <c r="L12" s="94">
        <f>+'[3]Jan ext legal'!M12+'[3]Feb ext legal'!M12+'[3]Mar ext legal'!M12+'[3]Apr ext legal'!M12+'[3]May ext legal'!M12+'[3]Jun ext legal'!M12+'[3]Jul ext legal'!M12</f>
        <v>0</v>
      </c>
      <c r="M12" s="96">
        <f t="shared" si="0"/>
        <v>0</v>
      </c>
      <c r="N12" s="96">
        <f t="shared" si="1"/>
        <v>0</v>
      </c>
      <c r="O12" s="95"/>
      <c r="P12" s="96">
        <f t="shared" si="2"/>
        <v>0</v>
      </c>
    </row>
    <row r="13" spans="1:16" s="91" customFormat="1" ht="10.199999999999999" x14ac:dyDescent="0.2">
      <c r="A13" s="92">
        <v>105713</v>
      </c>
      <c r="B13" s="91" t="s">
        <v>122</v>
      </c>
      <c r="C13" s="91" t="s">
        <v>114</v>
      </c>
      <c r="D13" s="192">
        <v>11214.54</v>
      </c>
      <c r="E13" s="93">
        <f>+'[3]Jan ext legal'!E13+'[3]Feb ext legal'!E13+'[3]Mar ext legal'!E13+'[3]Apr ext legal'!E13+'[3]May ext legal'!E13+'[3]Jun ext legal'!E13+'[3]Jul ext legal'!E13</f>
        <v>0</v>
      </c>
      <c r="F13" s="94">
        <f>+'[3]Jan ext legal'!F13+'[3]Feb ext legal'!F13+'[3]Mar ext legal'!F13+'[3]Apr ext legal'!F13+'[3]May ext legal'!F13+'[3]Jun ext legal'!F13+'[3]Jul ext legal'!F13</f>
        <v>0</v>
      </c>
      <c r="G13" s="93">
        <f>+'[3]Jan ext legal'!G13+'[3]Feb ext legal'!G13+'[3]Mar ext legal'!G13+'[3]Apr ext legal'!G13+'[3]May ext legal'!G13+'[3]Jun ext legal'!G13+'[3]Jul ext legal'!G13</f>
        <v>0</v>
      </c>
      <c r="H13" s="94">
        <f>+'[3]Jan ext legal'!H13+'[3]Feb ext legal'!H13+'[3]Mar ext legal'!H13+'[3]Apr ext legal'!H13+'[3]May ext legal'!H13+'[3]Jun ext legal'!H13+'[3]Jul ext legal'!H13</f>
        <v>0</v>
      </c>
      <c r="I13" s="93">
        <f>+'[3]Jan ext legal'!I13+'[3]Feb ext legal'!I13+'[3]Mar ext legal'!I13+'[3]Apr ext legal'!I13+'[3]May ext legal'!I13+'[3]Jun ext legal'!I13+'[3]Jul ext legal'!I13</f>
        <v>0</v>
      </c>
      <c r="J13" s="94">
        <f>+'[3]Jan ext legal'!K13+'[3]Feb ext legal'!K13+'[3]Mar ext legal'!K13+'[3]Apr ext legal'!K13+'[3]May ext legal'!K13+'[3]Jun ext legal'!K13+'[3]Jul ext legal'!K13</f>
        <v>11214.54</v>
      </c>
      <c r="K13" s="94">
        <f>+'[3]Jan ext legal'!L13+'[3]Feb ext legal'!L13+'[3]Mar ext legal'!L13+'[3]Apr ext legal'!L13+'[3]May ext legal'!L13+'[3]Jun ext legal'!L13+'[3]Jul ext legal'!L13</f>
        <v>0</v>
      </c>
      <c r="L13" s="94">
        <f>+'[3]Jan ext legal'!M13+'[3]Feb ext legal'!M13+'[3]Mar ext legal'!M13+'[3]Apr ext legal'!M13+'[3]May ext legal'!M13+'[3]Jun ext legal'!M13+'[3]Jul ext legal'!M13</f>
        <v>0</v>
      </c>
      <c r="M13" s="96">
        <f t="shared" si="0"/>
        <v>9.5570385242963883E-4</v>
      </c>
      <c r="N13" s="96">
        <f t="shared" si="1"/>
        <v>8329.6037821861137</v>
      </c>
      <c r="O13" s="95"/>
      <c r="P13" s="96">
        <f t="shared" si="2"/>
        <v>19544.143782186115</v>
      </c>
    </row>
    <row r="14" spans="1:16" s="91" customFormat="1" ht="10.199999999999999" x14ac:dyDescent="0.2">
      <c r="A14" s="92">
        <v>105751</v>
      </c>
      <c r="B14" s="91" t="s">
        <v>123</v>
      </c>
      <c r="C14" s="91" t="s">
        <v>124</v>
      </c>
      <c r="D14" s="192">
        <v>102342.67</v>
      </c>
      <c r="E14" s="93">
        <f>+'[3]Jan ext legal'!E14+'[3]Feb ext legal'!E14+'[3]Mar ext legal'!E14+'[3]Apr ext legal'!E14+'[3]May ext legal'!E14+'[3]Jun ext legal'!E14+'[3]Jul ext legal'!E14</f>
        <v>95299.11</v>
      </c>
      <c r="F14" s="94">
        <f>+'[3]Jan ext legal'!F14+'[3]Feb ext legal'!F14+'[3]Mar ext legal'!F14+'[3]Apr ext legal'!F14+'[3]May ext legal'!F14+'[3]Jun ext legal'!F14+'[3]Jul ext legal'!F14</f>
        <v>0</v>
      </c>
      <c r="G14" s="93">
        <f>+'[3]Jan ext legal'!G14+'[3]Feb ext legal'!G14+'[3]Mar ext legal'!G14+'[3]Apr ext legal'!G14+'[3]May ext legal'!G14+'[3]Jun ext legal'!G14+'[3]Jul ext legal'!G14</f>
        <v>0</v>
      </c>
      <c r="H14" s="94">
        <f>+'[3]Jan ext legal'!H14+'[3]Feb ext legal'!H14+'[3]Mar ext legal'!H14+'[3]Apr ext legal'!H14+'[3]May ext legal'!H14+'[3]Jun ext legal'!H14+'[3]Jul ext legal'!H14</f>
        <v>7043.56</v>
      </c>
      <c r="I14" s="93">
        <f>+'[3]Jan ext legal'!I14+'[3]Feb ext legal'!I14+'[3]Mar ext legal'!I14+'[3]Apr ext legal'!I14+'[3]May ext legal'!I14+'[3]Jun ext legal'!I14+'[3]Jul ext legal'!I14</f>
        <v>0</v>
      </c>
      <c r="J14" s="94">
        <f>+'[3]Jan ext legal'!K14+'[3]Feb ext legal'!K14+'[3]Mar ext legal'!K14+'[3]Apr ext legal'!K14+'[3]May ext legal'!K14+'[3]Jun ext legal'!K14+'[3]Jul ext legal'!K14</f>
        <v>0</v>
      </c>
      <c r="K14" s="94">
        <f>+'[3]Jan ext legal'!L14+'[3]Feb ext legal'!L14+'[3]Mar ext legal'!L14+'[3]Apr ext legal'!L14+'[3]May ext legal'!L14+'[3]Jun ext legal'!L14+'[3]Jul ext legal'!L14</f>
        <v>0</v>
      </c>
      <c r="L14" s="94">
        <f>+'[3]Jan ext legal'!M14+'[3]Feb ext legal'!M14+'[3]Mar ext legal'!M14+'[3]Apr ext legal'!M14+'[3]May ext legal'!M14+'[3]Jun ext legal'!M14+'[3]Jul ext legal'!M14</f>
        <v>0</v>
      </c>
      <c r="M14" s="96">
        <f t="shared" si="0"/>
        <v>8.7216492149419598E-3</v>
      </c>
      <c r="N14" s="96">
        <f t="shared" si="1"/>
        <v>76015.056445563081</v>
      </c>
      <c r="O14" s="95"/>
      <c r="P14" s="96">
        <f t="shared" si="2"/>
        <v>178357.72644556308</v>
      </c>
    </row>
    <row r="15" spans="1:16" s="91" customFormat="1" ht="10.199999999999999" hidden="1" x14ac:dyDescent="0.2">
      <c r="A15" s="92">
        <v>105999</v>
      </c>
      <c r="B15" s="91" t="s">
        <v>125</v>
      </c>
      <c r="D15" s="192">
        <v>0</v>
      </c>
      <c r="E15" s="93">
        <f>+'[3]Jan ext legal'!E15+'[3]Feb ext legal'!E15+'[3]Mar ext legal'!E15+'[3]Apr ext legal'!E15+'[3]May ext legal'!E15+'[3]Jun ext legal'!E15+'[3]Jul ext legal'!E15</f>
        <v>0</v>
      </c>
      <c r="F15" s="94">
        <f>+'[3]Jan ext legal'!F15+'[3]Feb ext legal'!F15+'[3]Mar ext legal'!F15+'[3]Apr ext legal'!F15+'[3]May ext legal'!F15+'[3]Jun ext legal'!F15+'[3]Jul ext legal'!F15</f>
        <v>0</v>
      </c>
      <c r="G15" s="93">
        <f>+'[3]Jan ext legal'!G15+'[3]Feb ext legal'!G15+'[3]Mar ext legal'!G15+'[3]Apr ext legal'!G15+'[3]May ext legal'!G15+'[3]Jun ext legal'!G15+'[3]Jul ext legal'!G15</f>
        <v>0</v>
      </c>
      <c r="H15" s="94">
        <f>+'[3]Jan ext legal'!H15+'[3]Feb ext legal'!H15+'[3]Mar ext legal'!H15+'[3]Apr ext legal'!H15+'[3]May ext legal'!H15+'[3]Jun ext legal'!H15+'[3]Jul ext legal'!H15</f>
        <v>0</v>
      </c>
      <c r="I15" s="93">
        <f>+'[3]Jan ext legal'!I15+'[3]Feb ext legal'!I15+'[3]Mar ext legal'!I15+'[3]Apr ext legal'!I15+'[3]May ext legal'!I15+'[3]Jun ext legal'!I15+'[3]Jul ext legal'!I15</f>
        <v>0</v>
      </c>
      <c r="J15" s="94">
        <f>+'[3]Jan ext legal'!K15+'[3]Feb ext legal'!K15+'[3]Mar ext legal'!K15+'[3]Apr ext legal'!K15+'[3]May ext legal'!K15+'[3]Jun ext legal'!K15+'[3]Jul ext legal'!K15</f>
        <v>0</v>
      </c>
      <c r="K15" s="94">
        <f>+'[3]Jan ext legal'!L15+'[3]Feb ext legal'!L15+'[3]Mar ext legal'!L15+'[3]Apr ext legal'!L15+'[3]May ext legal'!L15+'[3]Jun ext legal'!L15+'[3]Jul ext legal'!L15</f>
        <v>0</v>
      </c>
      <c r="L15" s="94">
        <f>+'[3]Jan ext legal'!M15+'[3]Feb ext legal'!M15+'[3]Mar ext legal'!M15+'[3]Apr ext legal'!M15+'[3]May ext legal'!M15+'[3]Jun ext legal'!M15+'[3]Jul ext legal'!M15</f>
        <v>0</v>
      </c>
      <c r="M15" s="96">
        <f t="shared" si="0"/>
        <v>0</v>
      </c>
      <c r="N15" s="96">
        <f t="shared" si="1"/>
        <v>0</v>
      </c>
      <c r="O15" s="95"/>
      <c r="P15" s="96">
        <f t="shared" si="2"/>
        <v>0</v>
      </c>
    </row>
    <row r="16" spans="1:16" s="91" customFormat="1" ht="10.199999999999999" hidden="1" x14ac:dyDescent="0.2">
      <c r="A16" s="92">
        <v>106005</v>
      </c>
      <c r="B16" s="91" t="s">
        <v>126</v>
      </c>
      <c r="D16" s="192">
        <v>0</v>
      </c>
      <c r="E16" s="93">
        <f>+'[3]Jan ext legal'!E16+'[3]Feb ext legal'!E16+'[3]Mar ext legal'!E16+'[3]Apr ext legal'!E16+'[3]May ext legal'!E16+'[3]Jun ext legal'!E16+'[3]Jul ext legal'!E16</f>
        <v>0</v>
      </c>
      <c r="F16" s="94">
        <f>+'[3]Jan ext legal'!F16+'[3]Feb ext legal'!F16+'[3]Mar ext legal'!F16+'[3]Apr ext legal'!F16+'[3]May ext legal'!F16+'[3]Jun ext legal'!F16+'[3]Jul ext legal'!F16</f>
        <v>0</v>
      </c>
      <c r="G16" s="93">
        <f>+'[3]Jan ext legal'!G16+'[3]Feb ext legal'!G16+'[3]Mar ext legal'!G16+'[3]Apr ext legal'!G16+'[3]May ext legal'!G16+'[3]Jun ext legal'!G16+'[3]Jul ext legal'!G16</f>
        <v>0</v>
      </c>
      <c r="H16" s="94">
        <f>+'[3]Jan ext legal'!H16+'[3]Feb ext legal'!H16+'[3]Mar ext legal'!H16+'[3]Apr ext legal'!H16+'[3]May ext legal'!H16+'[3]Jun ext legal'!H16+'[3]Jul ext legal'!H16</f>
        <v>0</v>
      </c>
      <c r="I16" s="93">
        <f>+'[3]Jan ext legal'!I16+'[3]Feb ext legal'!I16+'[3]Mar ext legal'!I16+'[3]Apr ext legal'!I16+'[3]May ext legal'!I16+'[3]Jun ext legal'!I16+'[3]Jul ext legal'!I16</f>
        <v>0</v>
      </c>
      <c r="J16" s="94">
        <f>+'[3]Jan ext legal'!K16+'[3]Feb ext legal'!K16+'[3]Mar ext legal'!K16+'[3]Apr ext legal'!K16+'[3]May ext legal'!K16+'[3]Jun ext legal'!K16+'[3]Jul ext legal'!K16</f>
        <v>0</v>
      </c>
      <c r="K16" s="94">
        <f>+'[3]Jan ext legal'!L16+'[3]Feb ext legal'!L16+'[3]Mar ext legal'!L16+'[3]Apr ext legal'!L16+'[3]May ext legal'!L16+'[3]Jun ext legal'!L16+'[3]Jul ext legal'!L16</f>
        <v>0</v>
      </c>
      <c r="L16" s="94">
        <f>+'[3]Jan ext legal'!M16+'[3]Feb ext legal'!M16+'[3]Mar ext legal'!M16+'[3]Apr ext legal'!M16+'[3]May ext legal'!M16+'[3]Jun ext legal'!M16+'[3]Jul ext legal'!M16</f>
        <v>0</v>
      </c>
      <c r="M16" s="96">
        <f t="shared" si="0"/>
        <v>0</v>
      </c>
      <c r="N16" s="96">
        <f t="shared" si="1"/>
        <v>0</v>
      </c>
      <c r="O16" s="95"/>
      <c r="P16" s="96">
        <f t="shared" si="2"/>
        <v>0</v>
      </c>
    </row>
    <row r="17" spans="1:16" s="91" customFormat="1" ht="10.199999999999999" hidden="1" x14ac:dyDescent="0.2">
      <c r="A17" s="83">
        <v>106042</v>
      </c>
      <c r="B17" s="85" t="s">
        <v>284</v>
      </c>
      <c r="C17" s="85" t="s">
        <v>114</v>
      </c>
      <c r="D17" s="191">
        <v>0</v>
      </c>
      <c r="E17" s="87">
        <f>+'[3]Jan ext legal'!E17+'[3]Feb ext legal'!E17+'[3]Mar ext legal'!E17+'[3]Apr ext legal'!E17+'[3]May ext legal'!E17+'[3]Jun ext legal'!E17+'[3]Jul ext legal'!E17</f>
        <v>102546.5</v>
      </c>
      <c r="F17" s="88">
        <f>+'[3]Jan ext legal'!F17+'[3]Feb ext legal'!F17+'[3]Mar ext legal'!F17+'[3]Apr ext legal'!F17+'[3]May ext legal'!F17+'[3]Jun ext legal'!F17+'[3]Jul ext legal'!F17</f>
        <v>0</v>
      </c>
      <c r="G17" s="87">
        <f>+'[3]Jan ext legal'!G17+'[3]Feb ext legal'!G17+'[3]Mar ext legal'!G17+'[3]Apr ext legal'!G17+'[3]May ext legal'!G17+'[3]Jun ext legal'!G17+'[3]Jul ext legal'!G17</f>
        <v>0</v>
      </c>
      <c r="H17" s="88">
        <f>+'[3]Jan ext legal'!H17+'[3]Feb ext legal'!H17+'[3]Mar ext legal'!H17+'[3]Apr ext legal'!H17+'[3]May ext legal'!H17+'[3]Jun ext legal'!H17+'[3]Jul ext legal'!H17</f>
        <v>0</v>
      </c>
      <c r="I17" s="87">
        <f>+'[3]Jan ext legal'!I17+'[3]Feb ext legal'!I17+'[3]Mar ext legal'!I17+'[3]Apr ext legal'!I17+'[3]May ext legal'!I17+'[3]Jun ext legal'!I17+'[3]Jul ext legal'!I17</f>
        <v>0</v>
      </c>
      <c r="J17" s="88">
        <f>+'[3]Jan ext legal'!K17+'[3]Feb ext legal'!K17+'[3]Mar ext legal'!K17+'[3]Apr ext legal'!K17+'[3]May ext legal'!K17+'[3]Jun ext legal'!K17+'[3]Jul ext legal'!K17</f>
        <v>12980.6</v>
      </c>
      <c r="K17" s="88">
        <f>+'[3]Jan ext legal'!L17+'[3]Feb ext legal'!L17+'[3]Mar ext legal'!L17+'[3]Apr ext legal'!L17+'[3]May ext legal'!L17+'[3]Jun ext legal'!L17+'[3]Jul ext legal'!L17</f>
        <v>0</v>
      </c>
      <c r="L17" s="88">
        <f>+'[3]Jan ext legal'!M17+'[3]Feb ext legal'!M17+'[3]Mar ext legal'!M17+'[3]Apr ext legal'!M17+'[3]May ext legal'!M17+'[3]Jun ext legal'!M17+'[3]Jul ext legal'!M17</f>
        <v>0</v>
      </c>
      <c r="M17" s="89">
        <f t="shared" si="0"/>
        <v>0</v>
      </c>
      <c r="N17" s="89">
        <f t="shared" si="1"/>
        <v>0</v>
      </c>
      <c r="O17" s="90"/>
      <c r="P17" s="89">
        <f t="shared" si="2"/>
        <v>0</v>
      </c>
    </row>
    <row r="18" spans="1:16" s="91" customFormat="1" ht="10.199999999999999" x14ac:dyDescent="0.2">
      <c r="A18" s="83">
        <v>106196</v>
      </c>
      <c r="B18" s="85" t="s">
        <v>127</v>
      </c>
      <c r="C18" s="85" t="s">
        <v>114</v>
      </c>
      <c r="D18" s="191">
        <v>20801.939999999999</v>
      </c>
      <c r="E18" s="87">
        <f>+'[3]Jan ext legal'!E18+'[3]Feb ext legal'!E18+'[3]Mar ext legal'!E18+'[3]Apr ext legal'!E18+'[3]May ext legal'!E18+'[3]Jun ext legal'!E18+'[3]Jul ext legal'!E18</f>
        <v>20801.939999999999</v>
      </c>
      <c r="F18" s="88">
        <f>+'[3]Jan ext legal'!F18+'[3]Feb ext legal'!F18+'[3]Mar ext legal'!F18+'[3]Apr ext legal'!F18+'[3]May ext legal'!F18+'[3]Jun ext legal'!F18+'[3]Jul ext legal'!F18</f>
        <v>0</v>
      </c>
      <c r="G18" s="87">
        <f>+'[3]Jan ext legal'!G18+'[3]Feb ext legal'!G18+'[3]Mar ext legal'!G18+'[3]Apr ext legal'!G18+'[3]May ext legal'!G18+'[3]Jun ext legal'!G18+'[3]Jul ext legal'!G18</f>
        <v>0</v>
      </c>
      <c r="H18" s="88">
        <f>+'[3]Jan ext legal'!H18+'[3]Feb ext legal'!H18+'[3]Mar ext legal'!H18+'[3]Apr ext legal'!H18+'[3]May ext legal'!H18+'[3]Jun ext legal'!H18+'[3]Jul ext legal'!H18</f>
        <v>0</v>
      </c>
      <c r="I18" s="87">
        <f>+'[3]Jan ext legal'!I18+'[3]Feb ext legal'!I18+'[3]Mar ext legal'!I18+'[3]Apr ext legal'!I18+'[3]May ext legal'!I18+'[3]Jun ext legal'!I18+'[3]Jul ext legal'!I18</f>
        <v>0</v>
      </c>
      <c r="J18" s="88">
        <f>+'[3]Jan ext legal'!K18+'[3]Feb ext legal'!K18+'[3]Mar ext legal'!K18+'[3]Apr ext legal'!K18+'[3]May ext legal'!K18+'[3]Jun ext legal'!K18+'[3]Jul ext legal'!K18</f>
        <v>0</v>
      </c>
      <c r="K18" s="88">
        <f>+'[3]Jan ext legal'!L18+'[3]Feb ext legal'!L18+'[3]Mar ext legal'!L18+'[3]Apr ext legal'!L18+'[3]May ext legal'!L18+'[3]Jun ext legal'!L18+'[3]Jul ext legal'!L18</f>
        <v>0</v>
      </c>
      <c r="L18" s="88">
        <f>+'[3]Jan ext legal'!M18+'[3]Feb ext legal'!M18+'[3]Mar ext legal'!M18+'[3]Apr ext legal'!M18+'[3]May ext legal'!M18+'[3]Jun ext legal'!M18+'[3]Jul ext legal'!M18</f>
        <v>0</v>
      </c>
      <c r="M18" s="89">
        <f t="shared" si="0"/>
        <v>1.7727427247136484E-3</v>
      </c>
      <c r="N18" s="89">
        <f t="shared" si="1"/>
        <v>15450.648720394111</v>
      </c>
      <c r="O18" s="90"/>
      <c r="P18" s="89">
        <f t="shared" si="2"/>
        <v>36252.588720394109</v>
      </c>
    </row>
    <row r="19" spans="1:16" s="91" customFormat="1" ht="10.199999999999999" x14ac:dyDescent="0.2">
      <c r="A19" s="92">
        <v>106230</v>
      </c>
      <c r="B19" s="91" t="s">
        <v>128</v>
      </c>
      <c r="D19" s="192">
        <v>1063397.8600000001</v>
      </c>
      <c r="E19" s="93">
        <f>+'[3]Jan ext legal'!E19+'[3]Feb ext legal'!E19+'[3]Mar ext legal'!E19+'[3]Apr ext legal'!E19+'[3]May ext legal'!E19+'[3]Jun ext legal'!E19+'[3]Jul ext legal'!E19</f>
        <v>1063397.8599999999</v>
      </c>
      <c r="F19" s="94">
        <f>+'[3]Jan ext legal'!F19+'[3]Feb ext legal'!F19+'[3]Mar ext legal'!F19+'[3]Apr ext legal'!F19+'[3]May ext legal'!F19+'[3]Jun ext legal'!F19+'[3]Jul ext legal'!F19</f>
        <v>0</v>
      </c>
      <c r="G19" s="93">
        <f>+'[3]Jan ext legal'!G19+'[3]Feb ext legal'!G19+'[3]Mar ext legal'!G19+'[3]Apr ext legal'!G19+'[3]May ext legal'!G19+'[3]Jun ext legal'!G19+'[3]Jul ext legal'!G19</f>
        <v>0</v>
      </c>
      <c r="H19" s="94">
        <f>+'[3]Jan ext legal'!H19+'[3]Feb ext legal'!H19+'[3]Mar ext legal'!H19+'[3]Apr ext legal'!H19+'[3]May ext legal'!H19+'[3]Jun ext legal'!H19+'[3]Jul ext legal'!H19</f>
        <v>0</v>
      </c>
      <c r="I19" s="93">
        <f>+'[3]Jan ext legal'!I19+'[3]Feb ext legal'!I19+'[3]Mar ext legal'!I19+'[3]Apr ext legal'!I19+'[3]May ext legal'!I19+'[3]Jun ext legal'!I19+'[3]Jul ext legal'!I19</f>
        <v>0</v>
      </c>
      <c r="J19" s="94">
        <f>+'[3]Jan ext legal'!K19+'[3]Feb ext legal'!K19+'[3]Mar ext legal'!K19+'[3]Apr ext legal'!K19+'[3]May ext legal'!K19+'[3]Jun ext legal'!K19+'[3]Jul ext legal'!K19</f>
        <v>0</v>
      </c>
      <c r="K19" s="94">
        <f>+'[3]Jan ext legal'!L19+'[3]Feb ext legal'!L19+'[3]Mar ext legal'!L19+'[3]Apr ext legal'!L19+'[3]May ext legal'!L19+'[3]Jun ext legal'!L19+'[3]Jul ext legal'!L19</f>
        <v>0</v>
      </c>
      <c r="L19" s="94">
        <f>+'[3]Jan ext legal'!M19+'[3]Feb ext legal'!M19+'[3]Mar ext legal'!M19+'[3]Apr ext legal'!M19+'[3]May ext legal'!M19+'[3]Jun ext legal'!M19+'[3]Jul ext legal'!M19</f>
        <v>0</v>
      </c>
      <c r="M19" s="96">
        <f t="shared" si="0"/>
        <v>9.0622837090726299E-2</v>
      </c>
      <c r="N19" s="96">
        <f t="shared" si="1"/>
        <v>789839.15850535268</v>
      </c>
      <c r="O19" s="95"/>
      <c r="P19" s="96">
        <f t="shared" si="2"/>
        <v>1853237.0185053528</v>
      </c>
    </row>
    <row r="20" spans="1:16" s="91" customFormat="1" ht="10.199999999999999" x14ac:dyDescent="0.2">
      <c r="A20" s="92">
        <v>106298</v>
      </c>
      <c r="B20" s="91" t="s">
        <v>129</v>
      </c>
      <c r="C20" s="91" t="s">
        <v>130</v>
      </c>
      <c r="D20" s="192">
        <v>124315.45</v>
      </c>
      <c r="E20" s="93">
        <f>+'[3]Jan ext legal'!E20+'[3]Feb ext legal'!E20+'[3]Mar ext legal'!E20+'[3]Apr ext legal'!E20+'[3]May ext legal'!E20+'[3]Jun ext legal'!E20+'[3]Jul ext legal'!E20</f>
        <v>148.63</v>
      </c>
      <c r="F20" s="94">
        <f>+'[3]Jan ext legal'!F20+'[3]Feb ext legal'!F20+'[3]Mar ext legal'!F20+'[3]Apr ext legal'!F20+'[3]May ext legal'!F20+'[3]Jun ext legal'!F20+'[3]Jul ext legal'!F20</f>
        <v>0</v>
      </c>
      <c r="G20" s="93">
        <f>+'[3]Jan ext legal'!G20+'[3]Feb ext legal'!G20+'[3]Mar ext legal'!G20+'[3]Apr ext legal'!G20+'[3]May ext legal'!G20+'[3]Jun ext legal'!G20+'[3]Jul ext legal'!G20</f>
        <v>108426.73000000001</v>
      </c>
      <c r="H20" s="94">
        <f>+'[3]Jan ext legal'!H20+'[3]Feb ext legal'!H20+'[3]Mar ext legal'!H20+'[3]Apr ext legal'!H20+'[3]May ext legal'!H20+'[3]Jun ext legal'!H20+'[3]Jul ext legal'!H20</f>
        <v>0</v>
      </c>
      <c r="I20" s="93">
        <f>+'[3]Jan ext legal'!I20+'[3]Feb ext legal'!I20+'[3]Mar ext legal'!I20+'[3]Apr ext legal'!I20+'[3]May ext legal'!I20+'[3]Jun ext legal'!I20+'[3]Jul ext legal'!I20</f>
        <v>0</v>
      </c>
      <c r="J20" s="94">
        <f>+'[3]Jan ext legal'!K20+'[3]Feb ext legal'!K20+'[3]Mar ext legal'!K20+'[3]Apr ext legal'!K20+'[3]May ext legal'!K20+'[3]Jun ext legal'!K20+'[3]Jul ext legal'!K20</f>
        <v>15740.09</v>
      </c>
      <c r="K20" s="94">
        <f>+'[3]Jan ext legal'!L20+'[3]Feb ext legal'!L20+'[3]Mar ext legal'!L20+'[3]Apr ext legal'!L20+'[3]May ext legal'!L20+'[3]Jun ext legal'!L20+'[3]Jul ext legal'!L20</f>
        <v>0</v>
      </c>
      <c r="L20" s="94">
        <f>+'[3]Jan ext legal'!M20+'[3]Feb ext legal'!M20+'[3]Mar ext legal'!M20+'[3]Apr ext legal'!M20+'[3]May ext legal'!M20+'[3]Jun ext legal'!M20+'[3]Jul ext legal'!M20</f>
        <v>0</v>
      </c>
      <c r="M20" s="96">
        <f t="shared" si="0"/>
        <v>1.0594171003137367E-2</v>
      </c>
      <c r="N20" s="96">
        <f t="shared" si="1"/>
        <v>92335.347014159153</v>
      </c>
      <c r="O20" s="95"/>
      <c r="P20" s="96">
        <f t="shared" si="2"/>
        <v>216650.79701415915</v>
      </c>
    </row>
    <row r="21" spans="1:16" s="91" customFormat="1" ht="10.199999999999999" x14ac:dyDescent="0.2">
      <c r="A21" s="92">
        <v>106303</v>
      </c>
      <c r="B21" s="91" t="s">
        <v>131</v>
      </c>
      <c r="C21" s="91" t="s">
        <v>132</v>
      </c>
      <c r="D21" s="192">
        <v>51352.160000000003</v>
      </c>
      <c r="E21" s="93">
        <f>+'[3]Jan ext legal'!E21+'[3]Feb ext legal'!E21+'[3]Mar ext legal'!E21+'[3]Apr ext legal'!E21+'[3]May ext legal'!E21+'[3]Jun ext legal'!E21+'[3]Jul ext legal'!E21</f>
        <v>0</v>
      </c>
      <c r="F21" s="94">
        <f>+'[3]Jan ext legal'!F21+'[3]Feb ext legal'!F21+'[3]Mar ext legal'!F21+'[3]Apr ext legal'!F21+'[3]May ext legal'!F21+'[3]Jun ext legal'!F21+'[3]Jul ext legal'!F21</f>
        <v>0</v>
      </c>
      <c r="G21" s="93">
        <f>+'[3]Jan ext legal'!G21+'[3]Feb ext legal'!G21+'[3]Mar ext legal'!G21+'[3]Apr ext legal'!G21+'[3]May ext legal'!G21+'[3]Jun ext legal'!G21+'[3]Jul ext legal'!G21</f>
        <v>36468.51</v>
      </c>
      <c r="H21" s="94">
        <f>+'[3]Jan ext legal'!H21+'[3]Feb ext legal'!H21+'[3]Mar ext legal'!H21+'[3]Apr ext legal'!H21+'[3]May ext legal'!H21+'[3]Jun ext legal'!H21+'[3]Jul ext legal'!H21</f>
        <v>14883.65</v>
      </c>
      <c r="I21" s="93">
        <f>+'[3]Jan ext legal'!I21+'[3]Feb ext legal'!I21+'[3]Mar ext legal'!I21+'[3]Apr ext legal'!I21+'[3]May ext legal'!I21+'[3]Jun ext legal'!I21+'[3]Jul ext legal'!I21</f>
        <v>0</v>
      </c>
      <c r="J21" s="94">
        <f>+'[3]Jan ext legal'!K21+'[3]Feb ext legal'!K21+'[3]Mar ext legal'!K21+'[3]Apr ext legal'!K21+'[3]May ext legal'!K21+'[3]Jun ext legal'!K21+'[3]Jul ext legal'!K21</f>
        <v>0</v>
      </c>
      <c r="K21" s="94">
        <f>+'[3]Jan ext legal'!L21+'[3]Feb ext legal'!L21+'[3]Mar ext legal'!L21+'[3]Apr ext legal'!L21+'[3]May ext legal'!L21+'[3]Jun ext legal'!L21+'[3]Jul ext legal'!L21</f>
        <v>0</v>
      </c>
      <c r="L21" s="94">
        <f>+'[3]Jan ext legal'!M21+'[3]Feb ext legal'!M21+'[3]Mar ext legal'!M21+'[3]Apr ext legal'!M21+'[3]May ext legal'!M21+'[3]Jun ext legal'!M21+'[3]Jul ext legal'!M21</f>
        <v>0</v>
      </c>
      <c r="M21" s="96">
        <f t="shared" si="0"/>
        <v>4.3762345261226226E-3</v>
      </c>
      <c r="N21" s="96">
        <f t="shared" si="1"/>
        <v>38141.836059207635</v>
      </c>
      <c r="O21" s="95"/>
      <c r="P21" s="96">
        <f t="shared" si="2"/>
        <v>89493.996059207639</v>
      </c>
    </row>
    <row r="22" spans="1:16" s="91" customFormat="1" ht="10.199999999999999" x14ac:dyDescent="0.2">
      <c r="A22" s="92">
        <v>106331</v>
      </c>
      <c r="B22" s="91" t="s">
        <v>133</v>
      </c>
      <c r="D22" s="192">
        <v>494716.81</v>
      </c>
      <c r="E22" s="93">
        <f>+'[3]Jan ext legal'!E22+'[3]Feb ext legal'!E22+'[3]Mar ext legal'!E22+'[3]Apr ext legal'!E22+'[3]May ext legal'!E22+'[3]Jun ext legal'!E22+'[3]Jul ext legal'!E22</f>
        <v>0</v>
      </c>
      <c r="F22" s="94">
        <f>+'[3]Jan ext legal'!F22+'[3]Feb ext legal'!F22+'[3]Mar ext legal'!F22+'[3]Apr ext legal'!F22+'[3]May ext legal'!F22+'[3]Jun ext legal'!F22+'[3]Jul ext legal'!F22</f>
        <v>0</v>
      </c>
      <c r="G22" s="93">
        <f>+'[3]Jan ext legal'!G22+'[3]Feb ext legal'!G22+'[3]Mar ext legal'!G22+'[3]Apr ext legal'!G22+'[3]May ext legal'!G22+'[3]Jun ext legal'!G22+'[3]Jul ext legal'!G22</f>
        <v>493843.73000000004</v>
      </c>
      <c r="H22" s="94">
        <f>+'[3]Jan ext legal'!H22+'[3]Feb ext legal'!H22+'[3]Mar ext legal'!H22+'[3]Apr ext legal'!H22+'[3]May ext legal'!H22+'[3]Jun ext legal'!H22+'[3]Jul ext legal'!H22</f>
        <v>873.08</v>
      </c>
      <c r="I22" s="93">
        <f>+'[3]Jan ext legal'!I22+'[3]Feb ext legal'!I22+'[3]Mar ext legal'!I22+'[3]Apr ext legal'!I22+'[3]May ext legal'!I22+'[3]Jun ext legal'!I22+'[3]Jul ext legal'!I22</f>
        <v>0</v>
      </c>
      <c r="J22" s="94">
        <f>+'[3]Jan ext legal'!K22+'[3]Feb ext legal'!K22+'[3]Mar ext legal'!K22+'[3]Apr ext legal'!K22+'[3]May ext legal'!K22+'[3]Jun ext legal'!K22+'[3]Jul ext legal'!K22</f>
        <v>0</v>
      </c>
      <c r="K22" s="94">
        <f>+'[3]Jan ext legal'!L22+'[3]Feb ext legal'!L22+'[3]Mar ext legal'!L22+'[3]Apr ext legal'!L22+'[3]May ext legal'!L22+'[3]Jun ext legal'!L22+'[3]Jul ext legal'!L22</f>
        <v>0</v>
      </c>
      <c r="L22" s="94">
        <f>+'[3]Jan ext legal'!M22+'[3]Feb ext legal'!M22+'[3]Mar ext legal'!M22+'[3]Apr ext legal'!M22+'[3]May ext legal'!M22+'[3]Jun ext legal'!M22+'[3]Jul ext legal'!M22</f>
        <v>0</v>
      </c>
      <c r="M22" s="96">
        <f t="shared" si="0"/>
        <v>4.2159799793723293E-2</v>
      </c>
      <c r="N22" s="96">
        <f t="shared" si="1"/>
        <v>367451.09578164131</v>
      </c>
      <c r="O22" s="95"/>
      <c r="P22" s="96">
        <f t="shared" si="2"/>
        <v>862167.90578164137</v>
      </c>
    </row>
    <row r="23" spans="1:16" s="91" customFormat="1" ht="10.199999999999999" hidden="1" x14ac:dyDescent="0.2">
      <c r="A23" s="92">
        <v>106580</v>
      </c>
      <c r="B23" s="91" t="s">
        <v>134</v>
      </c>
      <c r="D23" s="192">
        <v>0</v>
      </c>
      <c r="E23" s="93">
        <f>+'[3]Jan ext legal'!E23+'[3]Feb ext legal'!E23+'[3]Mar ext legal'!E23+'[3]Apr ext legal'!E23+'[3]May ext legal'!E23+'[3]Jun ext legal'!E23+'[3]Jul ext legal'!E23</f>
        <v>0</v>
      </c>
      <c r="F23" s="94">
        <f>+'[3]Jan ext legal'!F23+'[3]Feb ext legal'!F23+'[3]Mar ext legal'!F23+'[3]Apr ext legal'!F23+'[3]May ext legal'!F23+'[3]Jun ext legal'!F23+'[3]Jul ext legal'!F23</f>
        <v>0</v>
      </c>
      <c r="G23" s="93">
        <f>+'[3]Jan ext legal'!G23+'[3]Feb ext legal'!G23+'[3]Mar ext legal'!G23+'[3]Apr ext legal'!G23+'[3]May ext legal'!G23+'[3]Jun ext legal'!G23+'[3]Jul ext legal'!G23</f>
        <v>0</v>
      </c>
      <c r="H23" s="94">
        <f>+'[3]Jan ext legal'!H23+'[3]Feb ext legal'!H23+'[3]Mar ext legal'!H23+'[3]Apr ext legal'!H23+'[3]May ext legal'!H23+'[3]Jun ext legal'!H23+'[3]Jul ext legal'!H23</f>
        <v>0</v>
      </c>
      <c r="I23" s="93">
        <f>+'[3]Jan ext legal'!I23+'[3]Feb ext legal'!I23+'[3]Mar ext legal'!I23+'[3]Apr ext legal'!I23+'[3]May ext legal'!I23+'[3]Jun ext legal'!I23+'[3]Jul ext legal'!I23</f>
        <v>0</v>
      </c>
      <c r="J23" s="94">
        <f>+'[3]Jan ext legal'!K23+'[3]Feb ext legal'!K23+'[3]Mar ext legal'!K23+'[3]Apr ext legal'!K23+'[3]May ext legal'!K23+'[3]Jun ext legal'!K23+'[3]Jul ext legal'!K23</f>
        <v>0</v>
      </c>
      <c r="K23" s="94">
        <f>+'[3]Jan ext legal'!L23+'[3]Feb ext legal'!L23+'[3]Mar ext legal'!L23+'[3]Apr ext legal'!L23+'[3]May ext legal'!L23+'[3]Jun ext legal'!L23+'[3]Jul ext legal'!L23</f>
        <v>0</v>
      </c>
      <c r="L23" s="94">
        <f>+'[3]Jan ext legal'!M23+'[3]Feb ext legal'!M23+'[3]Mar ext legal'!M23+'[3]Apr ext legal'!M23+'[3]May ext legal'!M23+'[3]Jun ext legal'!M23+'[3]Jul ext legal'!M23</f>
        <v>0</v>
      </c>
      <c r="M23" s="96">
        <f t="shared" si="0"/>
        <v>0</v>
      </c>
      <c r="N23" s="96">
        <f t="shared" si="1"/>
        <v>0</v>
      </c>
      <c r="O23" s="95"/>
      <c r="P23" s="96">
        <f t="shared" si="2"/>
        <v>0</v>
      </c>
    </row>
    <row r="24" spans="1:16" s="91" customFormat="1" ht="10.199999999999999" hidden="1" x14ac:dyDescent="0.2">
      <c r="A24" s="92">
        <v>106582</v>
      </c>
      <c r="B24" s="91" t="s">
        <v>135</v>
      </c>
      <c r="C24" s="91" t="s">
        <v>136</v>
      </c>
      <c r="D24" s="192">
        <v>0</v>
      </c>
      <c r="E24" s="93">
        <f>+'[3]Jan ext legal'!E24+'[3]Feb ext legal'!E24+'[3]Mar ext legal'!E24+'[3]Apr ext legal'!E24+'[3]May ext legal'!E24+'[3]Jun ext legal'!E24+'[3]Jul ext legal'!E24</f>
        <v>0</v>
      </c>
      <c r="F24" s="94">
        <f>+'[3]Jan ext legal'!F24+'[3]Feb ext legal'!F24+'[3]Mar ext legal'!F24+'[3]Apr ext legal'!F24+'[3]May ext legal'!F24+'[3]Jun ext legal'!F24+'[3]Jul ext legal'!F24</f>
        <v>0</v>
      </c>
      <c r="G24" s="93">
        <f>+'[3]Jan ext legal'!G24+'[3]Feb ext legal'!G24+'[3]Mar ext legal'!G24+'[3]Apr ext legal'!G24+'[3]May ext legal'!G24+'[3]Jun ext legal'!G24+'[3]Jul ext legal'!G24</f>
        <v>0</v>
      </c>
      <c r="H24" s="94">
        <f>+'[3]Jan ext legal'!H24+'[3]Feb ext legal'!H24+'[3]Mar ext legal'!H24+'[3]Apr ext legal'!H24+'[3]May ext legal'!H24+'[3]Jun ext legal'!H24+'[3]Jul ext legal'!H24</f>
        <v>0</v>
      </c>
      <c r="I24" s="93">
        <f>+'[3]Jan ext legal'!I24+'[3]Feb ext legal'!I24+'[3]Mar ext legal'!I24+'[3]Apr ext legal'!I24+'[3]May ext legal'!I24+'[3]Jun ext legal'!I24+'[3]Jul ext legal'!I24</f>
        <v>0</v>
      </c>
      <c r="J24" s="94">
        <f>+'[3]Jan ext legal'!K24+'[3]Feb ext legal'!K24+'[3]Mar ext legal'!K24+'[3]Apr ext legal'!K24+'[3]May ext legal'!K24+'[3]Jun ext legal'!K24+'[3]Jul ext legal'!K24</f>
        <v>0</v>
      </c>
      <c r="K24" s="94">
        <f>+'[3]Jan ext legal'!L24+'[3]Feb ext legal'!L24+'[3]Mar ext legal'!L24+'[3]Apr ext legal'!L24+'[3]May ext legal'!L24+'[3]Jun ext legal'!L24+'[3]Jul ext legal'!L24</f>
        <v>0</v>
      </c>
      <c r="L24" s="94">
        <f>+'[3]Jan ext legal'!M24+'[3]Feb ext legal'!M24+'[3]Mar ext legal'!M24+'[3]Apr ext legal'!M24+'[3]May ext legal'!M24+'[3]Jun ext legal'!M24+'[3]Jul ext legal'!M24</f>
        <v>0</v>
      </c>
      <c r="M24" s="96">
        <f t="shared" si="0"/>
        <v>0</v>
      </c>
      <c r="N24" s="96">
        <f t="shared" si="1"/>
        <v>0</v>
      </c>
      <c r="O24" s="95"/>
      <c r="P24" s="96">
        <f t="shared" si="2"/>
        <v>0</v>
      </c>
    </row>
    <row r="25" spans="1:16" s="91" customFormat="1" ht="10.199999999999999" hidden="1" x14ac:dyDescent="0.2">
      <c r="A25" s="92">
        <v>106587</v>
      </c>
      <c r="B25" s="91" t="s">
        <v>137</v>
      </c>
      <c r="C25" s="91" t="s">
        <v>138</v>
      </c>
      <c r="D25" s="192">
        <v>0</v>
      </c>
      <c r="E25" s="93">
        <f>+'[3]Jan ext legal'!E25+'[3]Feb ext legal'!E25+'[3]Mar ext legal'!E25+'[3]Apr ext legal'!E25+'[3]May ext legal'!E25+'[3]Jun ext legal'!E25+'[3]Jul ext legal'!E25</f>
        <v>0</v>
      </c>
      <c r="F25" s="94">
        <f>+'[3]Jan ext legal'!F25+'[3]Feb ext legal'!F25+'[3]Mar ext legal'!F25+'[3]Apr ext legal'!F25+'[3]May ext legal'!F25+'[3]Jun ext legal'!F25+'[3]Jul ext legal'!F25</f>
        <v>0</v>
      </c>
      <c r="G25" s="93">
        <f>+'[3]Jan ext legal'!G25+'[3]Feb ext legal'!G25+'[3]Mar ext legal'!G25+'[3]Apr ext legal'!G25+'[3]May ext legal'!G25+'[3]Jun ext legal'!G25+'[3]Jul ext legal'!G25</f>
        <v>0</v>
      </c>
      <c r="H25" s="94">
        <f>+'[3]Jan ext legal'!H25+'[3]Feb ext legal'!H25+'[3]Mar ext legal'!H25+'[3]Apr ext legal'!H25+'[3]May ext legal'!H25+'[3]Jun ext legal'!H25+'[3]Jul ext legal'!H25</f>
        <v>0</v>
      </c>
      <c r="I25" s="93">
        <f>+'[3]Jan ext legal'!I25+'[3]Feb ext legal'!I25+'[3]Mar ext legal'!I25+'[3]Apr ext legal'!I25+'[3]May ext legal'!I25+'[3]Jun ext legal'!I25+'[3]Jul ext legal'!I25</f>
        <v>0</v>
      </c>
      <c r="J25" s="94">
        <f>+'[3]Jan ext legal'!K25+'[3]Feb ext legal'!K25+'[3]Mar ext legal'!K25+'[3]Apr ext legal'!K25+'[3]May ext legal'!K25+'[3]Jun ext legal'!K25+'[3]Jul ext legal'!K25</f>
        <v>0</v>
      </c>
      <c r="K25" s="94">
        <f>+'[3]Jan ext legal'!L25+'[3]Feb ext legal'!L25+'[3]Mar ext legal'!L25+'[3]Apr ext legal'!L25+'[3]May ext legal'!L25+'[3]Jun ext legal'!L25+'[3]Jul ext legal'!L25</f>
        <v>0</v>
      </c>
      <c r="L25" s="94">
        <f>+'[3]Jan ext legal'!M25+'[3]Feb ext legal'!M25+'[3]Mar ext legal'!M25+'[3]Apr ext legal'!M25+'[3]May ext legal'!M25+'[3]Jun ext legal'!M25+'[3]Jul ext legal'!M25</f>
        <v>0</v>
      </c>
      <c r="M25" s="96">
        <f t="shared" si="0"/>
        <v>0</v>
      </c>
      <c r="N25" s="96">
        <f t="shared" si="1"/>
        <v>0</v>
      </c>
      <c r="O25" s="95"/>
      <c r="P25" s="96">
        <f t="shared" si="2"/>
        <v>0</v>
      </c>
    </row>
    <row r="26" spans="1:16" s="91" customFormat="1" ht="10.199999999999999" hidden="1" x14ac:dyDescent="0.2">
      <c r="A26" s="92">
        <v>106588</v>
      </c>
      <c r="B26" s="91" t="s">
        <v>139</v>
      </c>
      <c r="C26" s="91" t="s">
        <v>140</v>
      </c>
      <c r="D26" s="192">
        <v>0</v>
      </c>
      <c r="E26" s="93">
        <f>+'[3]Jan ext legal'!E26+'[3]Feb ext legal'!E26+'[3]Mar ext legal'!E26+'[3]Apr ext legal'!E26+'[3]May ext legal'!E26+'[3]Jun ext legal'!E26+'[3]Jul ext legal'!E26</f>
        <v>0</v>
      </c>
      <c r="F26" s="94">
        <f>+'[3]Jan ext legal'!F26+'[3]Feb ext legal'!F26+'[3]Mar ext legal'!F26+'[3]Apr ext legal'!F26+'[3]May ext legal'!F26+'[3]Jun ext legal'!F26+'[3]Jul ext legal'!F26</f>
        <v>0</v>
      </c>
      <c r="G26" s="93">
        <f>+'[3]Jan ext legal'!G26+'[3]Feb ext legal'!G26+'[3]Mar ext legal'!G26+'[3]Apr ext legal'!G26+'[3]May ext legal'!G26+'[3]Jun ext legal'!G26+'[3]Jul ext legal'!G26</f>
        <v>0</v>
      </c>
      <c r="H26" s="94">
        <f>+'[3]Jan ext legal'!H26+'[3]Feb ext legal'!H26+'[3]Mar ext legal'!H26+'[3]Apr ext legal'!H26+'[3]May ext legal'!H26+'[3]Jun ext legal'!H26+'[3]Jul ext legal'!H26</f>
        <v>0</v>
      </c>
      <c r="I26" s="93">
        <f>+'[3]Jan ext legal'!I26+'[3]Feb ext legal'!I26+'[3]Mar ext legal'!I26+'[3]Apr ext legal'!I26+'[3]May ext legal'!I26+'[3]Jun ext legal'!I26+'[3]Jul ext legal'!I26</f>
        <v>0</v>
      </c>
      <c r="J26" s="94">
        <f>+'[3]Jan ext legal'!K26+'[3]Feb ext legal'!K26+'[3]Mar ext legal'!K26+'[3]Apr ext legal'!K26+'[3]May ext legal'!K26+'[3]Jun ext legal'!K26+'[3]Jul ext legal'!K26</f>
        <v>0</v>
      </c>
      <c r="K26" s="94">
        <f>+'[3]Jan ext legal'!L26+'[3]Feb ext legal'!L26+'[3]Mar ext legal'!L26+'[3]Apr ext legal'!L26+'[3]May ext legal'!L26+'[3]Jun ext legal'!L26+'[3]Jul ext legal'!L26</f>
        <v>0</v>
      </c>
      <c r="L26" s="94">
        <f>+'[3]Jan ext legal'!M26+'[3]Feb ext legal'!M26+'[3]Mar ext legal'!M26+'[3]Apr ext legal'!M26+'[3]May ext legal'!M26+'[3]Jun ext legal'!M26+'[3]Jul ext legal'!M26</f>
        <v>0</v>
      </c>
      <c r="M26" s="96">
        <f t="shared" si="0"/>
        <v>0</v>
      </c>
      <c r="N26" s="96">
        <f t="shared" si="1"/>
        <v>0</v>
      </c>
      <c r="O26" s="95"/>
      <c r="P26" s="96">
        <f t="shared" si="2"/>
        <v>0</v>
      </c>
    </row>
    <row r="27" spans="1:16" s="91" customFormat="1" ht="10.199999999999999" hidden="1" x14ac:dyDescent="0.2">
      <c r="A27" s="92">
        <v>106589</v>
      </c>
      <c r="B27" s="91" t="s">
        <v>141</v>
      </c>
      <c r="D27" s="192">
        <v>0</v>
      </c>
      <c r="E27" s="93">
        <f>+'[3]Jan ext legal'!E27+'[3]Feb ext legal'!E27+'[3]Mar ext legal'!E27+'[3]Apr ext legal'!E27+'[3]May ext legal'!E27+'[3]Jun ext legal'!E27+'[3]Jul ext legal'!E27</f>
        <v>0</v>
      </c>
      <c r="F27" s="94">
        <f>+'[3]Jan ext legal'!F27+'[3]Feb ext legal'!F27+'[3]Mar ext legal'!F27+'[3]Apr ext legal'!F27+'[3]May ext legal'!F27+'[3]Jun ext legal'!F27+'[3]Jul ext legal'!F27</f>
        <v>0</v>
      </c>
      <c r="G27" s="93">
        <f>+'[3]Jan ext legal'!G27+'[3]Feb ext legal'!G27+'[3]Mar ext legal'!G27+'[3]Apr ext legal'!G27+'[3]May ext legal'!G27+'[3]Jun ext legal'!G27+'[3]Jul ext legal'!G27</f>
        <v>0</v>
      </c>
      <c r="H27" s="94">
        <f>+'[3]Jan ext legal'!H27+'[3]Feb ext legal'!H27+'[3]Mar ext legal'!H27+'[3]Apr ext legal'!H27+'[3]May ext legal'!H27+'[3]Jun ext legal'!H27+'[3]Jul ext legal'!H27</f>
        <v>0</v>
      </c>
      <c r="I27" s="93">
        <f>+'[3]Jan ext legal'!I27+'[3]Feb ext legal'!I27+'[3]Mar ext legal'!I27+'[3]Apr ext legal'!I27+'[3]May ext legal'!I27+'[3]Jun ext legal'!I27+'[3]Jul ext legal'!I27</f>
        <v>0</v>
      </c>
      <c r="J27" s="94">
        <f>+'[3]Jan ext legal'!K27+'[3]Feb ext legal'!K27+'[3]Mar ext legal'!K27+'[3]Apr ext legal'!K27+'[3]May ext legal'!K27+'[3]Jun ext legal'!K27+'[3]Jul ext legal'!K27</f>
        <v>0</v>
      </c>
      <c r="K27" s="94">
        <f>+'[3]Jan ext legal'!L27+'[3]Feb ext legal'!L27+'[3]Mar ext legal'!L27+'[3]Apr ext legal'!L27+'[3]May ext legal'!L27+'[3]Jun ext legal'!L27+'[3]Jul ext legal'!L27</f>
        <v>0</v>
      </c>
      <c r="L27" s="94">
        <f>+'[3]Jan ext legal'!M27+'[3]Feb ext legal'!M27+'[3]Mar ext legal'!M27+'[3]Apr ext legal'!M27+'[3]May ext legal'!M27+'[3]Jun ext legal'!M27+'[3]Jul ext legal'!M27</f>
        <v>0</v>
      </c>
      <c r="M27" s="96">
        <f t="shared" si="0"/>
        <v>0</v>
      </c>
      <c r="N27" s="96">
        <f t="shared" si="1"/>
        <v>0</v>
      </c>
      <c r="O27" s="95"/>
      <c r="P27" s="96">
        <f t="shared" si="2"/>
        <v>0</v>
      </c>
    </row>
    <row r="28" spans="1:16" s="91" customFormat="1" ht="10.199999999999999" hidden="1" x14ac:dyDescent="0.2">
      <c r="A28" s="92">
        <v>106590</v>
      </c>
      <c r="B28" s="91" t="s">
        <v>142</v>
      </c>
      <c r="C28" s="91" t="s">
        <v>140</v>
      </c>
      <c r="D28" s="192">
        <v>0</v>
      </c>
      <c r="E28" s="93">
        <f>+'[3]Jan ext legal'!E28+'[3]Feb ext legal'!E28+'[3]Mar ext legal'!E28+'[3]Apr ext legal'!E28+'[3]May ext legal'!E28+'[3]Jun ext legal'!E28+'[3]Jul ext legal'!E28</f>
        <v>0</v>
      </c>
      <c r="F28" s="94">
        <f>+'[3]Jan ext legal'!F28+'[3]Feb ext legal'!F28+'[3]Mar ext legal'!F28+'[3]Apr ext legal'!F28+'[3]May ext legal'!F28+'[3]Jun ext legal'!F28+'[3]Jul ext legal'!F28</f>
        <v>0</v>
      </c>
      <c r="G28" s="93">
        <f>+'[3]Jan ext legal'!G28+'[3]Feb ext legal'!G28+'[3]Mar ext legal'!G28+'[3]Apr ext legal'!G28+'[3]May ext legal'!G28+'[3]Jun ext legal'!G28+'[3]Jul ext legal'!G28</f>
        <v>0</v>
      </c>
      <c r="H28" s="94">
        <f>+'[3]Jan ext legal'!H28+'[3]Feb ext legal'!H28+'[3]Mar ext legal'!H28+'[3]Apr ext legal'!H28+'[3]May ext legal'!H28+'[3]Jun ext legal'!H28+'[3]Jul ext legal'!H28</f>
        <v>0</v>
      </c>
      <c r="I28" s="93">
        <f>+'[3]Jan ext legal'!I28+'[3]Feb ext legal'!I28+'[3]Mar ext legal'!I28+'[3]Apr ext legal'!I28+'[3]May ext legal'!I28+'[3]Jun ext legal'!I28+'[3]Jul ext legal'!I28</f>
        <v>0</v>
      </c>
      <c r="J28" s="94">
        <f>+'[3]Jan ext legal'!K28+'[3]Feb ext legal'!K28+'[3]Mar ext legal'!K28+'[3]Apr ext legal'!K28+'[3]May ext legal'!K28+'[3]Jun ext legal'!K28+'[3]Jul ext legal'!K28</f>
        <v>0</v>
      </c>
      <c r="K28" s="94">
        <f>+'[3]Jan ext legal'!L28+'[3]Feb ext legal'!L28+'[3]Mar ext legal'!L28+'[3]Apr ext legal'!L28+'[3]May ext legal'!L28+'[3]Jun ext legal'!L28+'[3]Jul ext legal'!L28</f>
        <v>0</v>
      </c>
      <c r="L28" s="94">
        <f>+'[3]Jan ext legal'!M28+'[3]Feb ext legal'!M28+'[3]Mar ext legal'!M28+'[3]Apr ext legal'!M28+'[3]May ext legal'!M28+'[3]Jun ext legal'!M28+'[3]Jul ext legal'!M28</f>
        <v>0</v>
      </c>
      <c r="M28" s="96">
        <f t="shared" si="0"/>
        <v>0</v>
      </c>
      <c r="N28" s="96">
        <f t="shared" si="1"/>
        <v>0</v>
      </c>
      <c r="O28" s="95"/>
      <c r="P28" s="96">
        <f t="shared" si="2"/>
        <v>0</v>
      </c>
    </row>
    <row r="29" spans="1:16" s="91" customFormat="1" ht="10.199999999999999" hidden="1" x14ac:dyDescent="0.2">
      <c r="A29" s="92">
        <v>106591</v>
      </c>
      <c r="B29" s="91" t="s">
        <v>143</v>
      </c>
      <c r="C29" s="91" t="s">
        <v>140</v>
      </c>
      <c r="D29" s="192">
        <v>0</v>
      </c>
      <c r="E29" s="93">
        <f>+'[3]Jan ext legal'!E29+'[3]Feb ext legal'!E29+'[3]Mar ext legal'!E29+'[3]Apr ext legal'!E29+'[3]May ext legal'!E29+'[3]Jun ext legal'!E29+'[3]Jul ext legal'!E29</f>
        <v>0</v>
      </c>
      <c r="F29" s="94">
        <f>+'[3]Jan ext legal'!F29+'[3]Feb ext legal'!F29+'[3]Mar ext legal'!F29+'[3]Apr ext legal'!F29+'[3]May ext legal'!F29+'[3]Jun ext legal'!F29+'[3]Jul ext legal'!F29</f>
        <v>0</v>
      </c>
      <c r="G29" s="93">
        <f>+'[3]Jan ext legal'!G29+'[3]Feb ext legal'!G29+'[3]Mar ext legal'!G29+'[3]Apr ext legal'!G29+'[3]May ext legal'!G29+'[3]Jun ext legal'!G29+'[3]Jul ext legal'!G29</f>
        <v>0</v>
      </c>
      <c r="H29" s="94">
        <f>+'[3]Jan ext legal'!H29+'[3]Feb ext legal'!H29+'[3]Mar ext legal'!H29+'[3]Apr ext legal'!H29+'[3]May ext legal'!H29+'[3]Jun ext legal'!H29+'[3]Jul ext legal'!H29</f>
        <v>0</v>
      </c>
      <c r="I29" s="93">
        <f>+'[3]Jan ext legal'!I29+'[3]Feb ext legal'!I29+'[3]Mar ext legal'!I29+'[3]Apr ext legal'!I29+'[3]May ext legal'!I29+'[3]Jun ext legal'!I29+'[3]Jul ext legal'!I29</f>
        <v>0</v>
      </c>
      <c r="J29" s="94">
        <f>+'[3]Jan ext legal'!K29+'[3]Feb ext legal'!K29+'[3]Mar ext legal'!K29+'[3]Apr ext legal'!K29+'[3]May ext legal'!K29+'[3]Jun ext legal'!K29+'[3]Jul ext legal'!K29</f>
        <v>0</v>
      </c>
      <c r="K29" s="94">
        <f>+'[3]Jan ext legal'!L29+'[3]Feb ext legal'!L29+'[3]Mar ext legal'!L29+'[3]Apr ext legal'!L29+'[3]May ext legal'!L29+'[3]Jun ext legal'!L29+'[3]Jul ext legal'!L29</f>
        <v>0</v>
      </c>
      <c r="L29" s="94">
        <f>+'[3]Jan ext legal'!M29+'[3]Feb ext legal'!M29+'[3]Mar ext legal'!M29+'[3]Apr ext legal'!M29+'[3]May ext legal'!M29+'[3]Jun ext legal'!M29+'[3]Jul ext legal'!M29</f>
        <v>0</v>
      </c>
      <c r="M29" s="96">
        <f t="shared" si="0"/>
        <v>0</v>
      </c>
      <c r="N29" s="96">
        <f t="shared" si="1"/>
        <v>0</v>
      </c>
      <c r="O29" s="95"/>
      <c r="P29" s="96">
        <f t="shared" si="2"/>
        <v>0</v>
      </c>
    </row>
    <row r="30" spans="1:16" s="91" customFormat="1" ht="10.199999999999999" hidden="1" x14ac:dyDescent="0.2">
      <c r="A30" s="92">
        <v>106592</v>
      </c>
      <c r="B30" s="91" t="s">
        <v>144</v>
      </c>
      <c r="C30" s="91" t="s">
        <v>140</v>
      </c>
      <c r="D30" s="192">
        <v>0</v>
      </c>
      <c r="E30" s="93">
        <f>+'[3]Jan ext legal'!E30+'[3]Feb ext legal'!E30+'[3]Mar ext legal'!E30+'[3]Apr ext legal'!E30+'[3]May ext legal'!E30+'[3]Jun ext legal'!E30+'[3]Jul ext legal'!E30</f>
        <v>0</v>
      </c>
      <c r="F30" s="94">
        <f>+'[3]Jan ext legal'!F30+'[3]Feb ext legal'!F30+'[3]Mar ext legal'!F30+'[3]Apr ext legal'!F30+'[3]May ext legal'!F30+'[3]Jun ext legal'!F30+'[3]Jul ext legal'!F30</f>
        <v>0</v>
      </c>
      <c r="G30" s="93">
        <f>+'[3]Jan ext legal'!G30+'[3]Feb ext legal'!G30+'[3]Mar ext legal'!G30+'[3]Apr ext legal'!G30+'[3]May ext legal'!G30+'[3]Jun ext legal'!G30+'[3]Jul ext legal'!G30</f>
        <v>0</v>
      </c>
      <c r="H30" s="94">
        <f>+'[3]Jan ext legal'!H30+'[3]Feb ext legal'!H30+'[3]Mar ext legal'!H30+'[3]Apr ext legal'!H30+'[3]May ext legal'!H30+'[3]Jun ext legal'!H30+'[3]Jul ext legal'!H30</f>
        <v>0</v>
      </c>
      <c r="I30" s="93">
        <f>+'[3]Jan ext legal'!I30+'[3]Feb ext legal'!I30+'[3]Mar ext legal'!I30+'[3]Apr ext legal'!I30+'[3]May ext legal'!I30+'[3]Jun ext legal'!I30+'[3]Jul ext legal'!I30</f>
        <v>0</v>
      </c>
      <c r="J30" s="94">
        <f>+'[3]Jan ext legal'!K30+'[3]Feb ext legal'!K30+'[3]Mar ext legal'!K30+'[3]Apr ext legal'!K30+'[3]May ext legal'!K30+'[3]Jun ext legal'!K30+'[3]Jul ext legal'!K30</f>
        <v>0</v>
      </c>
      <c r="K30" s="94">
        <f>+'[3]Jan ext legal'!L30+'[3]Feb ext legal'!L30+'[3]Mar ext legal'!L30+'[3]Apr ext legal'!L30+'[3]May ext legal'!L30+'[3]Jun ext legal'!L30+'[3]Jul ext legal'!L30</f>
        <v>0</v>
      </c>
      <c r="L30" s="94">
        <f>+'[3]Jan ext legal'!M30+'[3]Feb ext legal'!M30+'[3]Mar ext legal'!M30+'[3]Apr ext legal'!M30+'[3]May ext legal'!M30+'[3]Jun ext legal'!M30+'[3]Jul ext legal'!M30</f>
        <v>0</v>
      </c>
      <c r="M30" s="96">
        <f t="shared" si="0"/>
        <v>0</v>
      </c>
      <c r="N30" s="96">
        <f t="shared" si="1"/>
        <v>0</v>
      </c>
      <c r="O30" s="95"/>
      <c r="P30" s="96">
        <f t="shared" si="2"/>
        <v>0</v>
      </c>
    </row>
    <row r="31" spans="1:16" s="91" customFormat="1" ht="10.199999999999999" hidden="1" x14ac:dyDescent="0.2">
      <c r="A31" s="92">
        <v>106593</v>
      </c>
      <c r="B31" s="91" t="s">
        <v>145</v>
      </c>
      <c r="C31" s="91" t="s">
        <v>140</v>
      </c>
      <c r="D31" s="192">
        <v>0</v>
      </c>
      <c r="E31" s="93">
        <f>+'[3]Jan ext legal'!E31+'[3]Feb ext legal'!E31+'[3]Mar ext legal'!E31+'[3]Apr ext legal'!E31+'[3]May ext legal'!E31+'[3]Jun ext legal'!E31+'[3]Jul ext legal'!E31</f>
        <v>0</v>
      </c>
      <c r="F31" s="94">
        <f>+'[3]Jan ext legal'!F31+'[3]Feb ext legal'!F31+'[3]Mar ext legal'!F31+'[3]Apr ext legal'!F31+'[3]May ext legal'!F31+'[3]Jun ext legal'!F31+'[3]Jul ext legal'!F31</f>
        <v>0</v>
      </c>
      <c r="G31" s="93">
        <f>+'[3]Jan ext legal'!G31+'[3]Feb ext legal'!G31+'[3]Mar ext legal'!G31+'[3]Apr ext legal'!G31+'[3]May ext legal'!G31+'[3]Jun ext legal'!G31+'[3]Jul ext legal'!G31</f>
        <v>0</v>
      </c>
      <c r="H31" s="94">
        <f>+'[3]Jan ext legal'!H31+'[3]Feb ext legal'!H31+'[3]Mar ext legal'!H31+'[3]Apr ext legal'!H31+'[3]May ext legal'!H31+'[3]Jun ext legal'!H31+'[3]Jul ext legal'!H31</f>
        <v>0</v>
      </c>
      <c r="I31" s="93">
        <f>+'[3]Jan ext legal'!I31+'[3]Feb ext legal'!I31+'[3]Mar ext legal'!I31+'[3]Apr ext legal'!I31+'[3]May ext legal'!I31+'[3]Jun ext legal'!I31+'[3]Jul ext legal'!I31</f>
        <v>0</v>
      </c>
      <c r="J31" s="94">
        <f>+'[3]Jan ext legal'!K31+'[3]Feb ext legal'!K31+'[3]Mar ext legal'!K31+'[3]Apr ext legal'!K31+'[3]May ext legal'!K31+'[3]Jun ext legal'!K31+'[3]Jul ext legal'!K31</f>
        <v>0</v>
      </c>
      <c r="K31" s="94">
        <f>+'[3]Jan ext legal'!L31+'[3]Feb ext legal'!L31+'[3]Mar ext legal'!L31+'[3]Apr ext legal'!L31+'[3]May ext legal'!L31+'[3]Jun ext legal'!L31+'[3]Jul ext legal'!L31</f>
        <v>0</v>
      </c>
      <c r="L31" s="94">
        <f>+'[3]Jan ext legal'!M31+'[3]Feb ext legal'!M31+'[3]Mar ext legal'!M31+'[3]Apr ext legal'!M31+'[3]May ext legal'!M31+'[3]Jun ext legal'!M31+'[3]Jul ext legal'!M31</f>
        <v>0</v>
      </c>
      <c r="M31" s="96">
        <f t="shared" si="0"/>
        <v>0</v>
      </c>
      <c r="N31" s="96">
        <f t="shared" si="1"/>
        <v>0</v>
      </c>
      <c r="O31" s="95"/>
      <c r="P31" s="96">
        <f t="shared" si="2"/>
        <v>0</v>
      </c>
    </row>
    <row r="32" spans="1:16" s="91" customFormat="1" ht="10.199999999999999" hidden="1" x14ac:dyDescent="0.2">
      <c r="A32" s="92">
        <v>106594</v>
      </c>
      <c r="B32" s="91" t="s">
        <v>146</v>
      </c>
      <c r="C32" s="91" t="s">
        <v>140</v>
      </c>
      <c r="D32" s="192">
        <v>0</v>
      </c>
      <c r="E32" s="93">
        <f>+'[3]Jan ext legal'!E32+'[3]Feb ext legal'!E32+'[3]Mar ext legal'!E32+'[3]Apr ext legal'!E32+'[3]May ext legal'!E32+'[3]Jun ext legal'!E32+'[3]Jul ext legal'!E32</f>
        <v>0</v>
      </c>
      <c r="F32" s="94">
        <f>+'[3]Jan ext legal'!F32+'[3]Feb ext legal'!F32+'[3]Mar ext legal'!F32+'[3]Apr ext legal'!F32+'[3]May ext legal'!F32+'[3]Jun ext legal'!F32+'[3]Jul ext legal'!F32</f>
        <v>0</v>
      </c>
      <c r="G32" s="93">
        <f>+'[3]Jan ext legal'!G32+'[3]Feb ext legal'!G32+'[3]Mar ext legal'!G32+'[3]Apr ext legal'!G32+'[3]May ext legal'!G32+'[3]Jun ext legal'!G32+'[3]Jul ext legal'!G32</f>
        <v>0</v>
      </c>
      <c r="H32" s="94">
        <f>+'[3]Jan ext legal'!H32+'[3]Feb ext legal'!H32+'[3]Mar ext legal'!H32+'[3]Apr ext legal'!H32+'[3]May ext legal'!H32+'[3]Jun ext legal'!H32+'[3]Jul ext legal'!H32</f>
        <v>0</v>
      </c>
      <c r="I32" s="93">
        <f>+'[3]Jan ext legal'!I32+'[3]Feb ext legal'!I32+'[3]Mar ext legal'!I32+'[3]Apr ext legal'!I32+'[3]May ext legal'!I32+'[3]Jun ext legal'!I32+'[3]Jul ext legal'!I32</f>
        <v>0</v>
      </c>
      <c r="J32" s="94">
        <f>+'[3]Jan ext legal'!K32+'[3]Feb ext legal'!K32+'[3]Mar ext legal'!K32+'[3]Apr ext legal'!K32+'[3]May ext legal'!K32+'[3]Jun ext legal'!K32+'[3]Jul ext legal'!K32</f>
        <v>0</v>
      </c>
      <c r="K32" s="94">
        <f>+'[3]Jan ext legal'!L32+'[3]Feb ext legal'!L32+'[3]Mar ext legal'!L32+'[3]Apr ext legal'!L32+'[3]May ext legal'!L32+'[3]Jun ext legal'!L32+'[3]Jul ext legal'!L32</f>
        <v>0</v>
      </c>
      <c r="L32" s="94">
        <f>+'[3]Jan ext legal'!M32+'[3]Feb ext legal'!M32+'[3]Mar ext legal'!M32+'[3]Apr ext legal'!M32+'[3]May ext legal'!M32+'[3]Jun ext legal'!M32+'[3]Jul ext legal'!M32</f>
        <v>0</v>
      </c>
      <c r="M32" s="96">
        <f t="shared" si="0"/>
        <v>0</v>
      </c>
      <c r="N32" s="96">
        <f t="shared" si="1"/>
        <v>0</v>
      </c>
      <c r="O32" s="95"/>
      <c r="P32" s="96">
        <f t="shared" si="2"/>
        <v>0</v>
      </c>
    </row>
    <row r="33" spans="1:16" s="91" customFormat="1" ht="10.199999999999999" hidden="1" x14ac:dyDescent="0.2">
      <c r="A33" s="92">
        <v>106595</v>
      </c>
      <c r="B33" s="91" t="s">
        <v>147</v>
      </c>
      <c r="C33" s="91" t="s">
        <v>140</v>
      </c>
      <c r="D33" s="192">
        <v>0</v>
      </c>
      <c r="E33" s="93">
        <f>+'[3]Jan ext legal'!E33+'[3]Feb ext legal'!E33+'[3]Mar ext legal'!E33+'[3]Apr ext legal'!E33+'[3]May ext legal'!E33+'[3]Jun ext legal'!E33+'[3]Jul ext legal'!E33</f>
        <v>0</v>
      </c>
      <c r="F33" s="94">
        <f>+'[3]Jan ext legal'!F33+'[3]Feb ext legal'!F33+'[3]Mar ext legal'!F33+'[3]Apr ext legal'!F33+'[3]May ext legal'!F33+'[3]Jun ext legal'!F33+'[3]Jul ext legal'!F33</f>
        <v>0</v>
      </c>
      <c r="G33" s="93">
        <f>+'[3]Jan ext legal'!G33+'[3]Feb ext legal'!G33+'[3]Mar ext legal'!G33+'[3]Apr ext legal'!G33+'[3]May ext legal'!G33+'[3]Jun ext legal'!G33+'[3]Jul ext legal'!G33</f>
        <v>0</v>
      </c>
      <c r="H33" s="94">
        <f>+'[3]Jan ext legal'!H33+'[3]Feb ext legal'!H33+'[3]Mar ext legal'!H33+'[3]Apr ext legal'!H33+'[3]May ext legal'!H33+'[3]Jun ext legal'!H33+'[3]Jul ext legal'!H33</f>
        <v>0</v>
      </c>
      <c r="I33" s="93">
        <f>+'[3]Jan ext legal'!I33+'[3]Feb ext legal'!I33+'[3]Mar ext legal'!I33+'[3]Apr ext legal'!I33+'[3]May ext legal'!I33+'[3]Jun ext legal'!I33+'[3]Jul ext legal'!I33</f>
        <v>0</v>
      </c>
      <c r="J33" s="94">
        <f>+'[3]Jan ext legal'!K33+'[3]Feb ext legal'!K33+'[3]Mar ext legal'!K33+'[3]Apr ext legal'!K33+'[3]May ext legal'!K33+'[3]Jun ext legal'!K33+'[3]Jul ext legal'!K33</f>
        <v>0</v>
      </c>
      <c r="K33" s="94">
        <f>+'[3]Jan ext legal'!L33+'[3]Feb ext legal'!L33+'[3]Mar ext legal'!L33+'[3]Apr ext legal'!L33+'[3]May ext legal'!L33+'[3]Jun ext legal'!L33+'[3]Jul ext legal'!L33</f>
        <v>0</v>
      </c>
      <c r="L33" s="94">
        <f>+'[3]Jan ext legal'!M33+'[3]Feb ext legal'!M33+'[3]Mar ext legal'!M33+'[3]Apr ext legal'!M33+'[3]May ext legal'!M33+'[3]Jun ext legal'!M33+'[3]Jul ext legal'!M33</f>
        <v>0</v>
      </c>
      <c r="M33" s="96">
        <f t="shared" si="0"/>
        <v>0</v>
      </c>
      <c r="N33" s="96">
        <f t="shared" si="1"/>
        <v>0</v>
      </c>
      <c r="O33" s="95"/>
      <c r="P33" s="96">
        <f t="shared" si="2"/>
        <v>0</v>
      </c>
    </row>
    <row r="34" spans="1:16" s="91" customFormat="1" ht="10.199999999999999" hidden="1" x14ac:dyDescent="0.2">
      <c r="A34" s="92">
        <v>106597</v>
      </c>
      <c r="B34" s="91" t="s">
        <v>148</v>
      </c>
      <c r="C34" s="91" t="s">
        <v>149</v>
      </c>
      <c r="D34" s="192">
        <v>0</v>
      </c>
      <c r="E34" s="93">
        <f>+'[3]Jan ext legal'!E34+'[3]Feb ext legal'!E34+'[3]Mar ext legal'!E34+'[3]Apr ext legal'!E34+'[3]May ext legal'!E34+'[3]Jun ext legal'!E34+'[3]Jul ext legal'!E34</f>
        <v>0</v>
      </c>
      <c r="F34" s="94">
        <f>+'[3]Jan ext legal'!F34+'[3]Feb ext legal'!F34+'[3]Mar ext legal'!F34+'[3]Apr ext legal'!F34+'[3]May ext legal'!F34+'[3]Jun ext legal'!F34+'[3]Jul ext legal'!F34</f>
        <v>0</v>
      </c>
      <c r="G34" s="93">
        <f>+'[3]Jan ext legal'!G34+'[3]Feb ext legal'!G34+'[3]Mar ext legal'!G34+'[3]Apr ext legal'!G34+'[3]May ext legal'!G34+'[3]Jun ext legal'!G34+'[3]Jul ext legal'!G34</f>
        <v>0</v>
      </c>
      <c r="H34" s="94">
        <f>+'[3]Jan ext legal'!H34+'[3]Feb ext legal'!H34+'[3]Mar ext legal'!H34+'[3]Apr ext legal'!H34+'[3]May ext legal'!H34+'[3]Jun ext legal'!H34+'[3]Jul ext legal'!H34</f>
        <v>0</v>
      </c>
      <c r="I34" s="93">
        <f>+'[3]Jan ext legal'!I34+'[3]Feb ext legal'!I34+'[3]Mar ext legal'!I34+'[3]Apr ext legal'!I34+'[3]May ext legal'!I34+'[3]Jun ext legal'!I34+'[3]Jul ext legal'!I34</f>
        <v>0</v>
      </c>
      <c r="J34" s="94">
        <f>+'[3]Jan ext legal'!K34+'[3]Feb ext legal'!K34+'[3]Mar ext legal'!K34+'[3]Apr ext legal'!K34+'[3]May ext legal'!K34+'[3]Jun ext legal'!K34+'[3]Jul ext legal'!K34</f>
        <v>0</v>
      </c>
      <c r="K34" s="94">
        <f>+'[3]Jan ext legal'!L34+'[3]Feb ext legal'!L34+'[3]Mar ext legal'!L34+'[3]Apr ext legal'!L34+'[3]May ext legal'!L34+'[3]Jun ext legal'!L34+'[3]Jul ext legal'!L34</f>
        <v>0</v>
      </c>
      <c r="L34" s="94">
        <f>+'[3]Jan ext legal'!M34+'[3]Feb ext legal'!M34+'[3]Mar ext legal'!M34+'[3]Apr ext legal'!M34+'[3]May ext legal'!M34+'[3]Jun ext legal'!M34+'[3]Jul ext legal'!M34</f>
        <v>0</v>
      </c>
      <c r="M34" s="96">
        <f t="shared" si="0"/>
        <v>0</v>
      </c>
      <c r="N34" s="96">
        <f t="shared" si="1"/>
        <v>0</v>
      </c>
      <c r="O34" s="95"/>
      <c r="P34" s="96">
        <f t="shared" si="2"/>
        <v>0</v>
      </c>
    </row>
    <row r="35" spans="1:16" s="91" customFormat="1" ht="10.199999999999999" hidden="1" x14ac:dyDescent="0.2">
      <c r="A35" s="92">
        <v>106598</v>
      </c>
      <c r="B35" s="91" t="s">
        <v>150</v>
      </c>
      <c r="C35" s="91" t="s">
        <v>151</v>
      </c>
      <c r="D35" s="192">
        <v>0</v>
      </c>
      <c r="E35" s="93">
        <f>+'[3]Jan ext legal'!E35+'[3]Feb ext legal'!E35+'[3]Mar ext legal'!E35+'[3]Apr ext legal'!E35+'[3]May ext legal'!E35+'[3]Jun ext legal'!E35+'[3]Jul ext legal'!E35</f>
        <v>0</v>
      </c>
      <c r="F35" s="94">
        <f>+'[3]Jan ext legal'!F35+'[3]Feb ext legal'!F35+'[3]Mar ext legal'!F35+'[3]Apr ext legal'!F35+'[3]May ext legal'!F35+'[3]Jun ext legal'!F35+'[3]Jul ext legal'!F35</f>
        <v>0</v>
      </c>
      <c r="G35" s="93">
        <f>+'[3]Jan ext legal'!G35+'[3]Feb ext legal'!G35+'[3]Mar ext legal'!G35+'[3]Apr ext legal'!G35+'[3]May ext legal'!G35+'[3]Jun ext legal'!G35+'[3]Jul ext legal'!G35</f>
        <v>0</v>
      </c>
      <c r="H35" s="94">
        <f>+'[3]Jan ext legal'!H35+'[3]Feb ext legal'!H35+'[3]Mar ext legal'!H35+'[3]Apr ext legal'!H35+'[3]May ext legal'!H35+'[3]Jun ext legal'!H35+'[3]Jul ext legal'!H35</f>
        <v>0</v>
      </c>
      <c r="I35" s="93">
        <f>+'[3]Jan ext legal'!I35+'[3]Feb ext legal'!I35+'[3]Mar ext legal'!I35+'[3]Apr ext legal'!I35+'[3]May ext legal'!I35+'[3]Jun ext legal'!I35+'[3]Jul ext legal'!I35</f>
        <v>0</v>
      </c>
      <c r="J35" s="94">
        <f>+'[3]Jan ext legal'!K35+'[3]Feb ext legal'!K35+'[3]Mar ext legal'!K35+'[3]Apr ext legal'!K35+'[3]May ext legal'!K35+'[3]Jun ext legal'!K35+'[3]Jul ext legal'!K35</f>
        <v>0</v>
      </c>
      <c r="K35" s="94">
        <f>+'[3]Jan ext legal'!L35+'[3]Feb ext legal'!L35+'[3]Mar ext legal'!L35+'[3]Apr ext legal'!L35+'[3]May ext legal'!L35+'[3]Jun ext legal'!L35+'[3]Jul ext legal'!L35</f>
        <v>0</v>
      </c>
      <c r="L35" s="94">
        <f>+'[3]Jan ext legal'!M35+'[3]Feb ext legal'!M35+'[3]Mar ext legal'!M35+'[3]Apr ext legal'!M35+'[3]May ext legal'!M35+'[3]Jun ext legal'!M35+'[3]Jul ext legal'!M35</f>
        <v>0</v>
      </c>
      <c r="M35" s="96">
        <f t="shared" si="0"/>
        <v>0</v>
      </c>
      <c r="N35" s="96">
        <f t="shared" si="1"/>
        <v>0</v>
      </c>
      <c r="O35" s="95"/>
      <c r="P35" s="96">
        <f t="shared" si="2"/>
        <v>0</v>
      </c>
    </row>
    <row r="36" spans="1:16" s="91" customFormat="1" ht="10.199999999999999" hidden="1" x14ac:dyDescent="0.2">
      <c r="A36" s="92">
        <v>106607</v>
      </c>
      <c r="B36" s="91" t="s">
        <v>152</v>
      </c>
      <c r="C36" s="91" t="s">
        <v>140</v>
      </c>
      <c r="D36" s="192">
        <v>0</v>
      </c>
      <c r="E36" s="93">
        <f>+'[3]Jan ext legal'!E36+'[3]Feb ext legal'!E36+'[3]Mar ext legal'!E36+'[3]Apr ext legal'!E36+'[3]May ext legal'!E36+'[3]Jun ext legal'!E36+'[3]Jul ext legal'!E36</f>
        <v>0</v>
      </c>
      <c r="F36" s="94">
        <f>+'[3]Jan ext legal'!F36+'[3]Feb ext legal'!F36+'[3]Mar ext legal'!F36+'[3]Apr ext legal'!F36+'[3]May ext legal'!F36+'[3]Jun ext legal'!F36+'[3]Jul ext legal'!F36</f>
        <v>0</v>
      </c>
      <c r="G36" s="93">
        <f>+'[3]Jan ext legal'!G36+'[3]Feb ext legal'!G36+'[3]Mar ext legal'!G36+'[3]Apr ext legal'!G36+'[3]May ext legal'!G36+'[3]Jun ext legal'!G36+'[3]Jul ext legal'!G36</f>
        <v>0</v>
      </c>
      <c r="H36" s="94">
        <f>+'[3]Jan ext legal'!H36+'[3]Feb ext legal'!H36+'[3]Mar ext legal'!H36+'[3]Apr ext legal'!H36+'[3]May ext legal'!H36+'[3]Jun ext legal'!H36+'[3]Jul ext legal'!H36</f>
        <v>0</v>
      </c>
      <c r="I36" s="93">
        <f>+'[3]Jan ext legal'!I36+'[3]Feb ext legal'!I36+'[3]Mar ext legal'!I36+'[3]Apr ext legal'!I36+'[3]May ext legal'!I36+'[3]Jun ext legal'!I36+'[3]Jul ext legal'!I36</f>
        <v>0</v>
      </c>
      <c r="J36" s="94">
        <f>+'[3]Jan ext legal'!K36+'[3]Feb ext legal'!K36+'[3]Mar ext legal'!K36+'[3]Apr ext legal'!K36+'[3]May ext legal'!K36+'[3]Jun ext legal'!K36+'[3]Jul ext legal'!K36</f>
        <v>0</v>
      </c>
      <c r="K36" s="94">
        <f>+'[3]Jan ext legal'!L36+'[3]Feb ext legal'!L36+'[3]Mar ext legal'!L36+'[3]Apr ext legal'!L36+'[3]May ext legal'!L36+'[3]Jun ext legal'!L36+'[3]Jul ext legal'!L36</f>
        <v>0</v>
      </c>
      <c r="L36" s="94">
        <f>+'[3]Jan ext legal'!M36+'[3]Feb ext legal'!M36+'[3]Mar ext legal'!M36+'[3]Apr ext legal'!M36+'[3]May ext legal'!M36+'[3]Jun ext legal'!M36+'[3]Jul ext legal'!M36</f>
        <v>0</v>
      </c>
      <c r="M36" s="96">
        <f t="shared" si="0"/>
        <v>0</v>
      </c>
      <c r="N36" s="96">
        <f t="shared" si="1"/>
        <v>0</v>
      </c>
      <c r="O36" s="95"/>
      <c r="P36" s="96">
        <f t="shared" si="2"/>
        <v>0</v>
      </c>
    </row>
    <row r="37" spans="1:16" s="91" customFormat="1" ht="10.199999999999999" hidden="1" x14ac:dyDescent="0.2">
      <c r="A37" s="92">
        <v>106608</v>
      </c>
      <c r="B37" s="91" t="s">
        <v>153</v>
      </c>
      <c r="C37" s="91" t="s">
        <v>154</v>
      </c>
      <c r="D37" s="192">
        <v>0</v>
      </c>
      <c r="E37" s="93">
        <f>+'[3]Jan ext legal'!E37+'[3]Feb ext legal'!E37+'[3]Mar ext legal'!E37+'[3]Apr ext legal'!E37+'[3]May ext legal'!E37+'[3]Jun ext legal'!E37+'[3]Jul ext legal'!E37</f>
        <v>0</v>
      </c>
      <c r="F37" s="94">
        <f>+'[3]Jan ext legal'!F37+'[3]Feb ext legal'!F37+'[3]Mar ext legal'!F37+'[3]Apr ext legal'!F37+'[3]May ext legal'!F37+'[3]Jun ext legal'!F37+'[3]Jul ext legal'!F37</f>
        <v>0</v>
      </c>
      <c r="G37" s="93">
        <f>+'[3]Jan ext legal'!G37+'[3]Feb ext legal'!G37+'[3]Mar ext legal'!G37+'[3]Apr ext legal'!G37+'[3]May ext legal'!G37+'[3]Jun ext legal'!G37+'[3]Jul ext legal'!G37</f>
        <v>0</v>
      </c>
      <c r="H37" s="94">
        <f>+'[3]Jan ext legal'!H37+'[3]Feb ext legal'!H37+'[3]Mar ext legal'!H37+'[3]Apr ext legal'!H37+'[3]May ext legal'!H37+'[3]Jun ext legal'!H37+'[3]Jul ext legal'!H37</f>
        <v>0</v>
      </c>
      <c r="I37" s="93">
        <f>+'[3]Jan ext legal'!I37+'[3]Feb ext legal'!I37+'[3]Mar ext legal'!I37+'[3]Apr ext legal'!I37+'[3]May ext legal'!I37+'[3]Jun ext legal'!I37+'[3]Jul ext legal'!I37</f>
        <v>0</v>
      </c>
      <c r="J37" s="94">
        <f>+'[3]Jan ext legal'!K37+'[3]Feb ext legal'!K37+'[3]Mar ext legal'!K37+'[3]Apr ext legal'!K37+'[3]May ext legal'!K37+'[3]Jun ext legal'!K37+'[3]Jul ext legal'!K37</f>
        <v>0</v>
      </c>
      <c r="K37" s="94">
        <f>+'[3]Jan ext legal'!L37+'[3]Feb ext legal'!L37+'[3]Mar ext legal'!L37+'[3]Apr ext legal'!L37+'[3]May ext legal'!L37+'[3]Jun ext legal'!L37+'[3]Jul ext legal'!L37</f>
        <v>0</v>
      </c>
      <c r="L37" s="94">
        <f>+'[3]Jan ext legal'!M37+'[3]Feb ext legal'!M37+'[3]Mar ext legal'!M37+'[3]Apr ext legal'!M37+'[3]May ext legal'!M37+'[3]Jun ext legal'!M37+'[3]Jul ext legal'!M37</f>
        <v>0</v>
      </c>
      <c r="M37" s="96">
        <f t="shared" si="0"/>
        <v>0</v>
      </c>
      <c r="N37" s="96">
        <f t="shared" si="1"/>
        <v>0</v>
      </c>
      <c r="O37" s="95"/>
      <c r="P37" s="96">
        <f t="shared" si="2"/>
        <v>0</v>
      </c>
    </row>
    <row r="38" spans="1:16" s="91" customFormat="1" ht="10.199999999999999" hidden="1" x14ac:dyDescent="0.2">
      <c r="A38" s="92">
        <v>106609</v>
      </c>
      <c r="B38" s="91" t="s">
        <v>155</v>
      </c>
      <c r="C38" s="91" t="s">
        <v>156</v>
      </c>
      <c r="D38" s="192">
        <v>0</v>
      </c>
      <c r="E38" s="93">
        <f>+'[3]Jan ext legal'!E38+'[3]Feb ext legal'!E38+'[3]Mar ext legal'!E38+'[3]Apr ext legal'!E38+'[3]May ext legal'!E38+'[3]Jun ext legal'!E38+'[3]Jul ext legal'!E38</f>
        <v>0</v>
      </c>
      <c r="F38" s="94">
        <f>+'[3]Jan ext legal'!F38+'[3]Feb ext legal'!F38+'[3]Mar ext legal'!F38+'[3]Apr ext legal'!F38+'[3]May ext legal'!F38+'[3]Jun ext legal'!F38+'[3]Jul ext legal'!F38</f>
        <v>0</v>
      </c>
      <c r="G38" s="93">
        <f>+'[3]Jan ext legal'!G38+'[3]Feb ext legal'!G38+'[3]Mar ext legal'!G38+'[3]Apr ext legal'!G38+'[3]May ext legal'!G38+'[3]Jun ext legal'!G38+'[3]Jul ext legal'!G38</f>
        <v>0</v>
      </c>
      <c r="H38" s="94">
        <f>+'[3]Jan ext legal'!H38+'[3]Feb ext legal'!H38+'[3]Mar ext legal'!H38+'[3]Apr ext legal'!H38+'[3]May ext legal'!H38+'[3]Jun ext legal'!H38+'[3]Jul ext legal'!H38</f>
        <v>0</v>
      </c>
      <c r="I38" s="93">
        <f>+'[3]Jan ext legal'!I38+'[3]Feb ext legal'!I38+'[3]Mar ext legal'!I38+'[3]Apr ext legal'!I38+'[3]May ext legal'!I38+'[3]Jun ext legal'!I38+'[3]Jul ext legal'!I38</f>
        <v>0</v>
      </c>
      <c r="J38" s="94">
        <f>+'[3]Jan ext legal'!K38+'[3]Feb ext legal'!K38+'[3]Mar ext legal'!K38+'[3]Apr ext legal'!K38+'[3]May ext legal'!K38+'[3]Jun ext legal'!K38+'[3]Jul ext legal'!K38</f>
        <v>0</v>
      </c>
      <c r="K38" s="94">
        <f>+'[3]Jan ext legal'!L38+'[3]Feb ext legal'!L38+'[3]Mar ext legal'!L38+'[3]Apr ext legal'!L38+'[3]May ext legal'!L38+'[3]Jun ext legal'!L38+'[3]Jul ext legal'!L38</f>
        <v>0</v>
      </c>
      <c r="L38" s="94">
        <f>+'[3]Jan ext legal'!M38+'[3]Feb ext legal'!M38+'[3]Mar ext legal'!M38+'[3]Apr ext legal'!M38+'[3]May ext legal'!M38+'[3]Jun ext legal'!M38+'[3]Jul ext legal'!M38</f>
        <v>0</v>
      </c>
      <c r="M38" s="96">
        <f t="shared" si="0"/>
        <v>0</v>
      </c>
      <c r="N38" s="96">
        <f t="shared" si="1"/>
        <v>0</v>
      </c>
      <c r="O38" s="95"/>
      <c r="P38" s="96">
        <f t="shared" si="2"/>
        <v>0</v>
      </c>
    </row>
    <row r="39" spans="1:16" s="91" customFormat="1" ht="10.199999999999999" hidden="1" x14ac:dyDescent="0.2">
      <c r="A39" s="92">
        <v>106610</v>
      </c>
      <c r="B39" s="91" t="s">
        <v>157</v>
      </c>
      <c r="C39" s="91" t="s">
        <v>158</v>
      </c>
      <c r="D39" s="192">
        <v>0</v>
      </c>
      <c r="E39" s="93">
        <f>+'[3]Jan ext legal'!E39+'[3]Feb ext legal'!E39+'[3]Mar ext legal'!E39+'[3]Apr ext legal'!E39+'[3]May ext legal'!E39+'[3]Jun ext legal'!E39+'[3]Jul ext legal'!E39</f>
        <v>0</v>
      </c>
      <c r="F39" s="94">
        <f>+'[3]Jan ext legal'!F39+'[3]Feb ext legal'!F39+'[3]Mar ext legal'!F39+'[3]Apr ext legal'!F39+'[3]May ext legal'!F39+'[3]Jun ext legal'!F39+'[3]Jul ext legal'!F39</f>
        <v>0</v>
      </c>
      <c r="G39" s="93">
        <f>+'[3]Jan ext legal'!G39+'[3]Feb ext legal'!G39+'[3]Mar ext legal'!G39+'[3]Apr ext legal'!G39+'[3]May ext legal'!G39+'[3]Jun ext legal'!G39+'[3]Jul ext legal'!G39</f>
        <v>0</v>
      </c>
      <c r="H39" s="94">
        <f>+'[3]Jan ext legal'!H39+'[3]Feb ext legal'!H39+'[3]Mar ext legal'!H39+'[3]Apr ext legal'!H39+'[3]May ext legal'!H39+'[3]Jun ext legal'!H39+'[3]Jul ext legal'!H39</f>
        <v>0</v>
      </c>
      <c r="I39" s="93">
        <f>+'[3]Jan ext legal'!I39+'[3]Feb ext legal'!I39+'[3]Mar ext legal'!I39+'[3]Apr ext legal'!I39+'[3]May ext legal'!I39+'[3]Jun ext legal'!I39+'[3]Jul ext legal'!I39</f>
        <v>0</v>
      </c>
      <c r="J39" s="94">
        <f>+'[3]Jan ext legal'!K39+'[3]Feb ext legal'!K39+'[3]Mar ext legal'!K39+'[3]Apr ext legal'!K39+'[3]May ext legal'!K39+'[3]Jun ext legal'!K39+'[3]Jul ext legal'!K39</f>
        <v>0</v>
      </c>
      <c r="K39" s="94">
        <f>+'[3]Jan ext legal'!L39+'[3]Feb ext legal'!L39+'[3]Mar ext legal'!L39+'[3]Apr ext legal'!L39+'[3]May ext legal'!L39+'[3]Jun ext legal'!L39+'[3]Jul ext legal'!L39</f>
        <v>0</v>
      </c>
      <c r="L39" s="94">
        <f>+'[3]Jan ext legal'!M39+'[3]Feb ext legal'!M39+'[3]Mar ext legal'!M39+'[3]Apr ext legal'!M39+'[3]May ext legal'!M39+'[3]Jun ext legal'!M39+'[3]Jul ext legal'!M39</f>
        <v>0</v>
      </c>
      <c r="M39" s="96">
        <f t="shared" si="0"/>
        <v>0</v>
      </c>
      <c r="N39" s="96">
        <f t="shared" si="1"/>
        <v>0</v>
      </c>
      <c r="O39" s="95"/>
      <c r="P39" s="96">
        <f t="shared" si="2"/>
        <v>0</v>
      </c>
    </row>
    <row r="40" spans="1:16" s="91" customFormat="1" ht="10.199999999999999" hidden="1" x14ac:dyDescent="0.2">
      <c r="A40" s="92">
        <v>106611</v>
      </c>
      <c r="B40" s="91" t="s">
        <v>159</v>
      </c>
      <c r="C40" s="91" t="s">
        <v>160</v>
      </c>
      <c r="D40" s="192">
        <v>0</v>
      </c>
      <c r="E40" s="93">
        <f>+'[3]Jan ext legal'!E40+'[3]Feb ext legal'!E40+'[3]Mar ext legal'!E40+'[3]Apr ext legal'!E40+'[3]May ext legal'!E40+'[3]Jun ext legal'!E40+'[3]Jul ext legal'!E40</f>
        <v>0</v>
      </c>
      <c r="F40" s="94">
        <f>+'[3]Jan ext legal'!F40+'[3]Feb ext legal'!F40+'[3]Mar ext legal'!F40+'[3]Apr ext legal'!F40+'[3]May ext legal'!F40+'[3]Jun ext legal'!F40+'[3]Jul ext legal'!F40</f>
        <v>0</v>
      </c>
      <c r="G40" s="93">
        <f>+'[3]Jan ext legal'!G40+'[3]Feb ext legal'!G40+'[3]Mar ext legal'!G40+'[3]Apr ext legal'!G40+'[3]May ext legal'!G40+'[3]Jun ext legal'!G40+'[3]Jul ext legal'!G40</f>
        <v>0</v>
      </c>
      <c r="H40" s="94">
        <f>+'[3]Jan ext legal'!H40+'[3]Feb ext legal'!H40+'[3]Mar ext legal'!H40+'[3]Apr ext legal'!H40+'[3]May ext legal'!H40+'[3]Jun ext legal'!H40+'[3]Jul ext legal'!H40</f>
        <v>0</v>
      </c>
      <c r="I40" s="93">
        <f>+'[3]Jan ext legal'!I40+'[3]Feb ext legal'!I40+'[3]Mar ext legal'!I40+'[3]Apr ext legal'!I40+'[3]May ext legal'!I40+'[3]Jun ext legal'!I40+'[3]Jul ext legal'!I40</f>
        <v>0</v>
      </c>
      <c r="J40" s="94">
        <f>+'[3]Jan ext legal'!K40+'[3]Feb ext legal'!K40+'[3]Mar ext legal'!K40+'[3]Apr ext legal'!K40+'[3]May ext legal'!K40+'[3]Jun ext legal'!K40+'[3]Jul ext legal'!K40</f>
        <v>0</v>
      </c>
      <c r="K40" s="94">
        <f>+'[3]Jan ext legal'!L40+'[3]Feb ext legal'!L40+'[3]Mar ext legal'!L40+'[3]Apr ext legal'!L40+'[3]May ext legal'!L40+'[3]Jun ext legal'!L40+'[3]Jul ext legal'!L40</f>
        <v>0</v>
      </c>
      <c r="L40" s="94">
        <f>+'[3]Jan ext legal'!M40+'[3]Feb ext legal'!M40+'[3]Mar ext legal'!M40+'[3]Apr ext legal'!M40+'[3]May ext legal'!M40+'[3]Jun ext legal'!M40+'[3]Jul ext legal'!M40</f>
        <v>0</v>
      </c>
      <c r="M40" s="96">
        <f t="shared" si="0"/>
        <v>0</v>
      </c>
      <c r="N40" s="96">
        <f t="shared" si="1"/>
        <v>0</v>
      </c>
      <c r="O40" s="95"/>
      <c r="P40" s="96">
        <f t="shared" si="2"/>
        <v>0</v>
      </c>
    </row>
    <row r="41" spans="1:16" s="91" customFormat="1" ht="10.199999999999999" hidden="1" x14ac:dyDescent="0.2">
      <c r="A41" s="92">
        <v>106616</v>
      </c>
      <c r="B41" s="91" t="s">
        <v>161</v>
      </c>
      <c r="C41" s="91" t="s">
        <v>162</v>
      </c>
      <c r="D41" s="192">
        <v>0</v>
      </c>
      <c r="E41" s="93">
        <f>+'[3]Jan ext legal'!E41+'[3]Feb ext legal'!E41+'[3]Mar ext legal'!E41+'[3]Apr ext legal'!E41+'[3]May ext legal'!E41+'[3]Jun ext legal'!E41+'[3]Jul ext legal'!E41</f>
        <v>0</v>
      </c>
      <c r="F41" s="94">
        <f>+'[3]Jan ext legal'!F41+'[3]Feb ext legal'!F41+'[3]Mar ext legal'!F41+'[3]Apr ext legal'!F41+'[3]May ext legal'!F41+'[3]Jun ext legal'!F41+'[3]Jul ext legal'!F41</f>
        <v>0</v>
      </c>
      <c r="G41" s="93">
        <f>+'[3]Jan ext legal'!G41+'[3]Feb ext legal'!G41+'[3]Mar ext legal'!G41+'[3]Apr ext legal'!G41+'[3]May ext legal'!G41+'[3]Jun ext legal'!G41+'[3]Jul ext legal'!G41</f>
        <v>0</v>
      </c>
      <c r="H41" s="94">
        <f>+'[3]Jan ext legal'!H41+'[3]Feb ext legal'!H41+'[3]Mar ext legal'!H41+'[3]Apr ext legal'!H41+'[3]May ext legal'!H41+'[3]Jun ext legal'!H41+'[3]Jul ext legal'!H41</f>
        <v>0</v>
      </c>
      <c r="I41" s="93">
        <f>+'[3]Jan ext legal'!I41+'[3]Feb ext legal'!I41+'[3]Mar ext legal'!I41+'[3]Apr ext legal'!I41+'[3]May ext legal'!I41+'[3]Jun ext legal'!I41+'[3]Jul ext legal'!I41</f>
        <v>0</v>
      </c>
      <c r="J41" s="94">
        <f>+'[3]Jan ext legal'!K41+'[3]Feb ext legal'!K41+'[3]Mar ext legal'!K41+'[3]Apr ext legal'!K41+'[3]May ext legal'!K41+'[3]Jun ext legal'!K41+'[3]Jul ext legal'!K41</f>
        <v>0</v>
      </c>
      <c r="K41" s="94">
        <f>+'[3]Jan ext legal'!L41+'[3]Feb ext legal'!L41+'[3]Mar ext legal'!L41+'[3]Apr ext legal'!L41+'[3]May ext legal'!L41+'[3]Jun ext legal'!L41+'[3]Jul ext legal'!L41</f>
        <v>0</v>
      </c>
      <c r="L41" s="94">
        <f>+'[3]Jan ext legal'!M41+'[3]Feb ext legal'!M41+'[3]Mar ext legal'!M41+'[3]Apr ext legal'!M41+'[3]May ext legal'!M41+'[3]Jun ext legal'!M41+'[3]Jul ext legal'!M41</f>
        <v>0</v>
      </c>
      <c r="M41" s="96">
        <f t="shared" si="0"/>
        <v>0</v>
      </c>
      <c r="N41" s="96">
        <f t="shared" si="1"/>
        <v>0</v>
      </c>
      <c r="O41" s="95"/>
      <c r="P41" s="96">
        <f t="shared" si="2"/>
        <v>0</v>
      </c>
    </row>
    <row r="42" spans="1:16" s="91" customFormat="1" ht="10.199999999999999" hidden="1" x14ac:dyDescent="0.2">
      <c r="A42" s="92">
        <v>106617</v>
      </c>
      <c r="B42" s="91" t="s">
        <v>163</v>
      </c>
      <c r="C42" s="91" t="s">
        <v>164</v>
      </c>
      <c r="D42" s="192">
        <v>0</v>
      </c>
      <c r="E42" s="93">
        <f>+'[3]Jan ext legal'!E42+'[3]Feb ext legal'!E42+'[3]Mar ext legal'!E42+'[3]Apr ext legal'!E42+'[3]May ext legal'!E42+'[3]Jun ext legal'!E42+'[3]Jul ext legal'!E42</f>
        <v>0</v>
      </c>
      <c r="F42" s="94">
        <f>+'[3]Jan ext legal'!F42+'[3]Feb ext legal'!F42+'[3]Mar ext legal'!F42+'[3]Apr ext legal'!F42+'[3]May ext legal'!F42+'[3]Jun ext legal'!F42+'[3]Jul ext legal'!F42</f>
        <v>0</v>
      </c>
      <c r="G42" s="93">
        <f>+'[3]Jan ext legal'!G42+'[3]Feb ext legal'!G42+'[3]Mar ext legal'!G42+'[3]Apr ext legal'!G42+'[3]May ext legal'!G42+'[3]Jun ext legal'!G42+'[3]Jul ext legal'!G42</f>
        <v>0</v>
      </c>
      <c r="H42" s="94">
        <f>+'[3]Jan ext legal'!H42+'[3]Feb ext legal'!H42+'[3]Mar ext legal'!H42+'[3]Apr ext legal'!H42+'[3]May ext legal'!H42+'[3]Jun ext legal'!H42+'[3]Jul ext legal'!H42</f>
        <v>0</v>
      </c>
      <c r="I42" s="93">
        <f>+'[3]Jan ext legal'!I42+'[3]Feb ext legal'!I42+'[3]Mar ext legal'!I42+'[3]Apr ext legal'!I42+'[3]May ext legal'!I42+'[3]Jun ext legal'!I42+'[3]Jul ext legal'!I42</f>
        <v>0</v>
      </c>
      <c r="J42" s="94">
        <f>+'[3]Jan ext legal'!K42+'[3]Feb ext legal'!K42+'[3]Mar ext legal'!K42+'[3]Apr ext legal'!K42+'[3]May ext legal'!K42+'[3]Jun ext legal'!K42+'[3]Jul ext legal'!K42</f>
        <v>0</v>
      </c>
      <c r="K42" s="94">
        <f>+'[3]Jan ext legal'!L42+'[3]Feb ext legal'!L42+'[3]Mar ext legal'!L42+'[3]Apr ext legal'!L42+'[3]May ext legal'!L42+'[3]Jun ext legal'!L42+'[3]Jul ext legal'!L42</f>
        <v>0</v>
      </c>
      <c r="L42" s="94">
        <f>+'[3]Jan ext legal'!M42+'[3]Feb ext legal'!M42+'[3]Mar ext legal'!M42+'[3]Apr ext legal'!M42+'[3]May ext legal'!M42+'[3]Jun ext legal'!M42+'[3]Jul ext legal'!M42</f>
        <v>0</v>
      </c>
      <c r="M42" s="96">
        <f t="shared" si="0"/>
        <v>0</v>
      </c>
      <c r="N42" s="96">
        <f t="shared" si="1"/>
        <v>0</v>
      </c>
      <c r="O42" s="95"/>
      <c r="P42" s="96">
        <f t="shared" si="2"/>
        <v>0</v>
      </c>
    </row>
    <row r="43" spans="1:16" s="91" customFormat="1" ht="10.199999999999999" x14ac:dyDescent="0.2">
      <c r="A43" s="98">
        <v>106790</v>
      </c>
      <c r="B43" s="99" t="s">
        <v>165</v>
      </c>
      <c r="C43" s="91" t="s">
        <v>166</v>
      </c>
      <c r="D43" s="192">
        <v>380150.15</v>
      </c>
      <c r="E43" s="93">
        <f>+'[3]Jan ext legal'!E43+'[3]Feb ext legal'!E43+'[3]Mar ext legal'!E43+'[3]Apr ext legal'!E43+'[3]May ext legal'!E43+'[3]Jun ext legal'!E43+'[3]Jul ext legal'!E43</f>
        <v>380030.15</v>
      </c>
      <c r="F43" s="94">
        <f>+'[3]Jan ext legal'!F43+'[3]Feb ext legal'!F43+'[3]Mar ext legal'!F43+'[3]Apr ext legal'!F43+'[3]May ext legal'!F43+'[3]Jun ext legal'!F43+'[3]Jul ext legal'!F43</f>
        <v>0</v>
      </c>
      <c r="G43" s="93">
        <f>+'[3]Jan ext legal'!G43+'[3]Feb ext legal'!G43+'[3]Mar ext legal'!G43+'[3]Apr ext legal'!G43+'[3]May ext legal'!G43+'[3]Jun ext legal'!G43+'[3]Jul ext legal'!G43</f>
        <v>120</v>
      </c>
      <c r="H43" s="94">
        <f>+'[3]Jan ext legal'!H43+'[3]Feb ext legal'!H43+'[3]Mar ext legal'!H43+'[3]Apr ext legal'!H43+'[3]May ext legal'!H43+'[3]Jun ext legal'!H43+'[3]Jul ext legal'!H43</f>
        <v>0</v>
      </c>
      <c r="I43" s="93">
        <f>+'[3]Jan ext legal'!I43+'[3]Feb ext legal'!I43+'[3]Mar ext legal'!I43+'[3]Apr ext legal'!I43+'[3]May ext legal'!I43+'[3]Jun ext legal'!I43+'[3]Jul ext legal'!I43</f>
        <v>0</v>
      </c>
      <c r="J43" s="94">
        <f>+'[3]Jan ext legal'!K43+'[3]Feb ext legal'!K43+'[3]Mar ext legal'!K43+'[3]Apr ext legal'!K43+'[3]May ext legal'!K43+'[3]Jun ext legal'!K43+'[3]Jul ext legal'!K43</f>
        <v>0</v>
      </c>
      <c r="K43" s="94">
        <f>+'[3]Jan ext legal'!L43+'[3]Feb ext legal'!L43+'[3]Mar ext legal'!L43+'[3]Apr ext legal'!L43+'[3]May ext legal'!L43+'[3]Jun ext legal'!L43+'[3]Jul ext legal'!L43</f>
        <v>0</v>
      </c>
      <c r="L43" s="94">
        <f>+'[3]Jan ext legal'!M43+'[3]Feb ext legal'!M43+'[3]Mar ext legal'!M43+'[3]Apr ext legal'!M43+'[3]May ext legal'!M43+'[3]Jun ext legal'!M43+'[3]Jul ext legal'!M43</f>
        <v>0</v>
      </c>
      <c r="M43" s="96">
        <f t="shared" si="0"/>
        <v>3.2396421329515528E-2</v>
      </c>
      <c r="N43" s="96">
        <f t="shared" si="1"/>
        <v>282356.6661885925</v>
      </c>
      <c r="O43" s="95"/>
      <c r="P43" s="96">
        <f t="shared" si="2"/>
        <v>662506.81618859246</v>
      </c>
    </row>
    <row r="44" spans="1:16" s="91" customFormat="1" ht="10.199999999999999" hidden="1" x14ac:dyDescent="0.2">
      <c r="A44" s="92">
        <v>106798</v>
      </c>
      <c r="B44" s="91" t="s">
        <v>167</v>
      </c>
      <c r="C44" s="91" t="s">
        <v>168</v>
      </c>
      <c r="D44" s="192">
        <v>0</v>
      </c>
      <c r="E44" s="93">
        <f>+'[3]Jan ext legal'!E44+'[3]Feb ext legal'!E44+'[3]Mar ext legal'!E44+'[3]Apr ext legal'!E44+'[3]May ext legal'!E44+'[3]Jun ext legal'!E44+'[3]Jul ext legal'!E44</f>
        <v>0</v>
      </c>
      <c r="F44" s="94">
        <f>+'[3]Jan ext legal'!F44+'[3]Feb ext legal'!F44+'[3]Mar ext legal'!F44+'[3]Apr ext legal'!F44+'[3]May ext legal'!F44+'[3]Jun ext legal'!F44+'[3]Jul ext legal'!F44</f>
        <v>0</v>
      </c>
      <c r="G44" s="93">
        <f>+'[3]Jan ext legal'!G44+'[3]Feb ext legal'!G44+'[3]Mar ext legal'!G44+'[3]Apr ext legal'!G44+'[3]May ext legal'!G44+'[3]Jun ext legal'!G44+'[3]Jul ext legal'!G44</f>
        <v>0</v>
      </c>
      <c r="H44" s="94">
        <f>+'[3]Jan ext legal'!H44+'[3]Feb ext legal'!H44+'[3]Mar ext legal'!H44+'[3]Apr ext legal'!H44+'[3]May ext legal'!H44+'[3]Jun ext legal'!H44+'[3]Jul ext legal'!H44</f>
        <v>0</v>
      </c>
      <c r="I44" s="93">
        <f>+'[3]Jan ext legal'!I44+'[3]Feb ext legal'!I44+'[3]Mar ext legal'!I44+'[3]Apr ext legal'!I44+'[3]May ext legal'!I44+'[3]Jun ext legal'!I44+'[3]Jul ext legal'!I44</f>
        <v>0</v>
      </c>
      <c r="J44" s="94">
        <f>+'[3]Jan ext legal'!K44+'[3]Feb ext legal'!K44+'[3]Mar ext legal'!K44+'[3]Apr ext legal'!K44+'[3]May ext legal'!K44+'[3]Jun ext legal'!K44+'[3]Jul ext legal'!K44</f>
        <v>0</v>
      </c>
      <c r="K44" s="94">
        <f>+'[3]Jan ext legal'!L44+'[3]Feb ext legal'!L44+'[3]Mar ext legal'!L44+'[3]Apr ext legal'!L44+'[3]May ext legal'!L44+'[3]Jun ext legal'!L44+'[3]Jul ext legal'!L44</f>
        <v>0</v>
      </c>
      <c r="L44" s="94">
        <f>+'[3]Jan ext legal'!M44+'[3]Feb ext legal'!M44+'[3]Mar ext legal'!M44+'[3]Apr ext legal'!M44+'[3]May ext legal'!M44+'[3]Jun ext legal'!M44+'[3]Jul ext legal'!M44</f>
        <v>0</v>
      </c>
      <c r="M44" s="96">
        <f t="shared" si="0"/>
        <v>0</v>
      </c>
      <c r="N44" s="96">
        <f t="shared" si="1"/>
        <v>0</v>
      </c>
      <c r="O44" s="95"/>
      <c r="P44" s="96">
        <f t="shared" si="2"/>
        <v>0</v>
      </c>
    </row>
    <row r="45" spans="1:16" s="91" customFormat="1" ht="10.199999999999999" x14ac:dyDescent="0.2">
      <c r="A45" s="92">
        <v>106802</v>
      </c>
      <c r="B45" s="91" t="s">
        <v>169</v>
      </c>
      <c r="C45" s="91" t="s">
        <v>170</v>
      </c>
      <c r="D45" s="192">
        <v>1029.82</v>
      </c>
      <c r="E45" s="93">
        <f>+'[3]Jan ext legal'!E45+'[3]Feb ext legal'!E45+'[3]Mar ext legal'!E45+'[3]Apr ext legal'!E45+'[3]May ext legal'!E45+'[3]Jun ext legal'!E45+'[3]Jul ext legal'!E45</f>
        <v>1029.82</v>
      </c>
      <c r="F45" s="94">
        <f>+'[3]Jan ext legal'!F45+'[3]Feb ext legal'!F45+'[3]Mar ext legal'!F45+'[3]Apr ext legal'!F45+'[3]May ext legal'!F45+'[3]Jun ext legal'!F45+'[3]Jul ext legal'!F45</f>
        <v>0</v>
      </c>
      <c r="G45" s="93">
        <f>+'[3]Jan ext legal'!G45+'[3]Feb ext legal'!G45+'[3]Mar ext legal'!G45+'[3]Apr ext legal'!G45+'[3]May ext legal'!G45+'[3]Jun ext legal'!G45+'[3]Jul ext legal'!G45</f>
        <v>0</v>
      </c>
      <c r="H45" s="94">
        <f>+'[3]Jan ext legal'!H45+'[3]Feb ext legal'!H45+'[3]Mar ext legal'!H45+'[3]Apr ext legal'!H45+'[3]May ext legal'!H45+'[3]Jun ext legal'!H45+'[3]Jul ext legal'!H45</f>
        <v>0</v>
      </c>
      <c r="I45" s="93">
        <f>+'[3]Jan ext legal'!I45+'[3]Feb ext legal'!I45+'[3]Mar ext legal'!I45+'[3]Apr ext legal'!I45+'[3]May ext legal'!I45+'[3]Jun ext legal'!I45+'[3]Jul ext legal'!I45</f>
        <v>0</v>
      </c>
      <c r="J45" s="94">
        <f>+'[3]Jan ext legal'!K45+'[3]Feb ext legal'!K45+'[3]Mar ext legal'!K45+'[3]Apr ext legal'!K45+'[3]May ext legal'!K45+'[3]Jun ext legal'!K45+'[3]Jul ext legal'!K45</f>
        <v>0</v>
      </c>
      <c r="K45" s="94">
        <f>+'[3]Jan ext legal'!L45+'[3]Feb ext legal'!L45+'[3]Mar ext legal'!L45+'[3]Apr ext legal'!L45+'[3]May ext legal'!L45+'[3]Jun ext legal'!L45+'[3]Jul ext legal'!L45</f>
        <v>0</v>
      </c>
      <c r="L45" s="94">
        <f>+'[3]Jan ext legal'!M45+'[3]Feb ext legal'!M45+'[3]Mar ext legal'!M45+'[3]Apr ext legal'!M45+'[3]May ext legal'!M45+'[3]Jun ext legal'!M45+'[3]Jul ext legal'!M45</f>
        <v>0</v>
      </c>
      <c r="M45" s="96">
        <f t="shared" si="0"/>
        <v>8.7761329605056521E-5</v>
      </c>
      <c r="N45" s="96">
        <f t="shared" si="1"/>
        <v>764.8991904234058</v>
      </c>
      <c r="O45" s="95"/>
      <c r="P45" s="96">
        <f t="shared" si="2"/>
        <v>1794.7191904234057</v>
      </c>
    </row>
    <row r="46" spans="1:16" s="91" customFormat="1" ht="10.199999999999999" x14ac:dyDescent="0.2">
      <c r="A46" s="92">
        <v>106860</v>
      </c>
      <c r="B46" s="91" t="s">
        <v>171</v>
      </c>
      <c r="C46" s="99" t="s">
        <v>172</v>
      </c>
      <c r="D46" s="192">
        <v>47123.199999999997</v>
      </c>
      <c r="E46" s="93">
        <f>+'[3]Jan ext legal'!E46+'[3]Feb ext legal'!E46+'[3]Mar ext legal'!E46+'[3]Apr ext legal'!E46+'[3]May ext legal'!E46+'[3]Jun ext legal'!E46+'[3]Jul ext legal'!E46</f>
        <v>0</v>
      </c>
      <c r="F46" s="94">
        <f>+'[3]Jan ext legal'!F46+'[3]Feb ext legal'!F46+'[3]Mar ext legal'!F46+'[3]Apr ext legal'!F46+'[3]May ext legal'!F46+'[3]Jun ext legal'!F46+'[3]Jul ext legal'!F46</f>
        <v>0</v>
      </c>
      <c r="G46" s="93">
        <f>+'[3]Jan ext legal'!G46+'[3]Feb ext legal'!G46+'[3]Mar ext legal'!G46+'[3]Apr ext legal'!G46+'[3]May ext legal'!G46+'[3]Jun ext legal'!G46+'[3]Jul ext legal'!G46</f>
        <v>0</v>
      </c>
      <c r="H46" s="94">
        <f>+'[3]Jan ext legal'!H46+'[3]Feb ext legal'!H46+'[3]Mar ext legal'!H46+'[3]Apr ext legal'!H46+'[3]May ext legal'!H46+'[3]Jun ext legal'!H46+'[3]Jul ext legal'!H46</f>
        <v>0</v>
      </c>
      <c r="I46" s="93">
        <f>+'[3]Jan ext legal'!I46+'[3]Feb ext legal'!I46+'[3]Mar ext legal'!I46+'[3]Apr ext legal'!I46+'[3]May ext legal'!I46+'[3]Jun ext legal'!I46+'[3]Jul ext legal'!I46</f>
        <v>47123.200000000004</v>
      </c>
      <c r="J46" s="94">
        <f>+'[3]Jan ext legal'!K46+'[3]Feb ext legal'!K46+'[3]Mar ext legal'!K46+'[3]Apr ext legal'!K46+'[3]May ext legal'!K46+'[3]Jun ext legal'!K46+'[3]Jul ext legal'!K46</f>
        <v>0</v>
      </c>
      <c r="K46" s="94">
        <f>+'[3]Jan ext legal'!L46+'[3]Feb ext legal'!L46+'[3]Mar ext legal'!L46+'[3]Apr ext legal'!L46+'[3]May ext legal'!L46+'[3]Jun ext legal'!L46+'[3]Jul ext legal'!L46</f>
        <v>0</v>
      </c>
      <c r="L46" s="94">
        <f>+'[3]Jan ext legal'!M46+'[3]Feb ext legal'!M46+'[3]Mar ext legal'!M46+'[3]Apr ext legal'!M46+'[3]May ext legal'!M46+'[3]Jun ext legal'!M46+'[3]Jul ext legal'!M46</f>
        <v>0</v>
      </c>
      <c r="M46" s="96">
        <f t="shared" si="0"/>
        <v>4.0158422707317776E-3</v>
      </c>
      <c r="N46" s="96">
        <f t="shared" si="1"/>
        <v>35000.774436464853</v>
      </c>
      <c r="O46" s="95"/>
      <c r="P46" s="96">
        <f t="shared" si="2"/>
        <v>82123.97443646485</v>
      </c>
    </row>
    <row r="47" spans="1:16" s="91" customFormat="1" ht="10.199999999999999" hidden="1" x14ac:dyDescent="0.2">
      <c r="A47" s="92">
        <v>107021</v>
      </c>
      <c r="B47" s="91" t="s">
        <v>173</v>
      </c>
      <c r="C47" s="91" t="s">
        <v>174</v>
      </c>
      <c r="D47" s="192">
        <v>0</v>
      </c>
      <c r="E47" s="93">
        <f>+'[3]Jan ext legal'!E47+'[3]Feb ext legal'!E47+'[3]Mar ext legal'!E47+'[3]Apr ext legal'!E47+'[3]May ext legal'!E47+'[3]Jun ext legal'!E47+'[3]Jul ext legal'!E47</f>
        <v>0</v>
      </c>
      <c r="F47" s="94">
        <f>+'[3]Jan ext legal'!F47+'[3]Feb ext legal'!F47+'[3]Mar ext legal'!F47+'[3]Apr ext legal'!F47+'[3]May ext legal'!F47+'[3]Jun ext legal'!F47+'[3]Jul ext legal'!F47</f>
        <v>0</v>
      </c>
      <c r="G47" s="93">
        <f>+'[3]Jan ext legal'!G47+'[3]Feb ext legal'!G47+'[3]Mar ext legal'!G47+'[3]Apr ext legal'!G47+'[3]May ext legal'!G47+'[3]Jun ext legal'!G47+'[3]Jul ext legal'!G47</f>
        <v>0</v>
      </c>
      <c r="H47" s="94">
        <f>+'[3]Jan ext legal'!H47+'[3]Feb ext legal'!H47+'[3]Mar ext legal'!H47+'[3]Apr ext legal'!H47+'[3]May ext legal'!H47+'[3]Jun ext legal'!H47+'[3]Jul ext legal'!H47</f>
        <v>0</v>
      </c>
      <c r="I47" s="93">
        <f>+'[3]Jan ext legal'!I47+'[3]Feb ext legal'!I47+'[3]Mar ext legal'!I47+'[3]Apr ext legal'!I47+'[3]May ext legal'!I47+'[3]Jun ext legal'!I47+'[3]Jul ext legal'!I47</f>
        <v>0</v>
      </c>
      <c r="J47" s="94">
        <f>+'[3]Jan ext legal'!K47+'[3]Feb ext legal'!K47+'[3]Mar ext legal'!K47+'[3]Apr ext legal'!K47+'[3]May ext legal'!K47+'[3]Jun ext legal'!K47+'[3]Jul ext legal'!K47</f>
        <v>0</v>
      </c>
      <c r="K47" s="94">
        <f>+'[3]Jan ext legal'!L47+'[3]Feb ext legal'!L47+'[3]Mar ext legal'!L47+'[3]Apr ext legal'!L47+'[3]May ext legal'!L47+'[3]Jun ext legal'!L47+'[3]Jul ext legal'!L47</f>
        <v>0</v>
      </c>
      <c r="L47" s="94">
        <f>+'[3]Jan ext legal'!M47+'[3]Feb ext legal'!M47+'[3]Mar ext legal'!M47+'[3]Apr ext legal'!M47+'[3]May ext legal'!M47+'[3]Jun ext legal'!M47+'[3]Jul ext legal'!M47</f>
        <v>0</v>
      </c>
      <c r="M47" s="96">
        <f t="shared" si="0"/>
        <v>0</v>
      </c>
      <c r="N47" s="96">
        <f t="shared" si="1"/>
        <v>0</v>
      </c>
      <c r="O47" s="95"/>
      <c r="P47" s="96">
        <f t="shared" si="2"/>
        <v>0</v>
      </c>
    </row>
    <row r="48" spans="1:16" s="91" customFormat="1" ht="10.199999999999999" hidden="1" x14ac:dyDescent="0.2">
      <c r="A48" s="92">
        <v>107022</v>
      </c>
      <c r="B48" s="91" t="s">
        <v>175</v>
      </c>
      <c r="D48" s="192">
        <v>0</v>
      </c>
      <c r="E48" s="93">
        <f>+'[3]Jan ext legal'!E48+'[3]Feb ext legal'!E48+'[3]Mar ext legal'!E48+'[3]Apr ext legal'!E48+'[3]May ext legal'!E48+'[3]Jun ext legal'!E48+'[3]Jul ext legal'!E48</f>
        <v>0</v>
      </c>
      <c r="F48" s="94">
        <f>+'[3]Jan ext legal'!F48+'[3]Feb ext legal'!F48+'[3]Mar ext legal'!F48+'[3]Apr ext legal'!F48+'[3]May ext legal'!F48+'[3]Jun ext legal'!F48+'[3]Jul ext legal'!F48</f>
        <v>0</v>
      </c>
      <c r="G48" s="93">
        <f>+'[3]Jan ext legal'!G48+'[3]Feb ext legal'!G48+'[3]Mar ext legal'!G48+'[3]Apr ext legal'!G48+'[3]May ext legal'!G48+'[3]Jun ext legal'!G48+'[3]Jul ext legal'!G48</f>
        <v>0</v>
      </c>
      <c r="H48" s="94">
        <f>+'[3]Jan ext legal'!H48+'[3]Feb ext legal'!H48+'[3]Mar ext legal'!H48+'[3]Apr ext legal'!H48+'[3]May ext legal'!H48+'[3]Jun ext legal'!H48+'[3]Jul ext legal'!H48</f>
        <v>0</v>
      </c>
      <c r="I48" s="93">
        <f>+'[3]Jan ext legal'!I48+'[3]Feb ext legal'!I48+'[3]Mar ext legal'!I48+'[3]Apr ext legal'!I48+'[3]May ext legal'!I48+'[3]Jun ext legal'!I48+'[3]Jul ext legal'!I48</f>
        <v>0</v>
      </c>
      <c r="J48" s="94">
        <f>+'[3]Jan ext legal'!K48+'[3]Feb ext legal'!K48+'[3]Mar ext legal'!K48+'[3]Apr ext legal'!K48+'[3]May ext legal'!K48+'[3]Jun ext legal'!K48+'[3]Jul ext legal'!K48</f>
        <v>0</v>
      </c>
      <c r="K48" s="94">
        <f>+'[3]Jan ext legal'!L48+'[3]Feb ext legal'!L48+'[3]Mar ext legal'!L48+'[3]Apr ext legal'!L48+'[3]May ext legal'!L48+'[3]Jun ext legal'!L48+'[3]Jul ext legal'!L48</f>
        <v>0</v>
      </c>
      <c r="L48" s="94">
        <f>+'[3]Jan ext legal'!M48+'[3]Feb ext legal'!M48+'[3]Mar ext legal'!M48+'[3]Apr ext legal'!M48+'[3]May ext legal'!M48+'[3]Jun ext legal'!M48+'[3]Jul ext legal'!M48</f>
        <v>0</v>
      </c>
      <c r="M48" s="96">
        <f t="shared" si="0"/>
        <v>0</v>
      </c>
      <c r="N48" s="96">
        <f t="shared" si="1"/>
        <v>0</v>
      </c>
      <c r="O48" s="95"/>
      <c r="P48" s="96">
        <f t="shared" si="2"/>
        <v>0</v>
      </c>
    </row>
    <row r="49" spans="1:16" s="91" customFormat="1" ht="10.199999999999999" hidden="1" x14ac:dyDescent="0.2">
      <c r="A49" s="92">
        <v>107023</v>
      </c>
      <c r="B49" s="91" t="s">
        <v>176</v>
      </c>
      <c r="D49" s="192">
        <v>0</v>
      </c>
      <c r="E49" s="93">
        <f>+'[3]Jan ext legal'!E49+'[3]Feb ext legal'!E49+'[3]Mar ext legal'!E49+'[3]Apr ext legal'!E49+'[3]May ext legal'!E49+'[3]Jun ext legal'!E49+'[3]Jul ext legal'!E49</f>
        <v>0</v>
      </c>
      <c r="F49" s="94">
        <f>+'[3]Jan ext legal'!F49+'[3]Feb ext legal'!F49+'[3]Mar ext legal'!F49+'[3]Apr ext legal'!F49+'[3]May ext legal'!F49+'[3]Jun ext legal'!F49+'[3]Jul ext legal'!F49</f>
        <v>0</v>
      </c>
      <c r="G49" s="93">
        <f>+'[3]Jan ext legal'!G49+'[3]Feb ext legal'!G49+'[3]Mar ext legal'!G49+'[3]Apr ext legal'!G49+'[3]May ext legal'!G49+'[3]Jun ext legal'!G49+'[3]Jul ext legal'!G49</f>
        <v>0</v>
      </c>
      <c r="H49" s="94">
        <f>+'[3]Jan ext legal'!H49+'[3]Feb ext legal'!H49+'[3]Mar ext legal'!H49+'[3]Apr ext legal'!H49+'[3]May ext legal'!H49+'[3]Jun ext legal'!H49+'[3]Jul ext legal'!H49</f>
        <v>0</v>
      </c>
      <c r="I49" s="93">
        <f>+'[3]Jan ext legal'!I49+'[3]Feb ext legal'!I49+'[3]Mar ext legal'!I49+'[3]Apr ext legal'!I49+'[3]May ext legal'!I49+'[3]Jun ext legal'!I49+'[3]Jul ext legal'!I49</f>
        <v>0</v>
      </c>
      <c r="J49" s="94">
        <f>+'[3]Jan ext legal'!K49+'[3]Feb ext legal'!K49+'[3]Mar ext legal'!K49+'[3]Apr ext legal'!K49+'[3]May ext legal'!K49+'[3]Jun ext legal'!K49+'[3]Jul ext legal'!K49</f>
        <v>0</v>
      </c>
      <c r="K49" s="94">
        <f>+'[3]Jan ext legal'!L49+'[3]Feb ext legal'!L49+'[3]Mar ext legal'!L49+'[3]Apr ext legal'!L49+'[3]May ext legal'!L49+'[3]Jun ext legal'!L49+'[3]Jul ext legal'!L49</f>
        <v>0</v>
      </c>
      <c r="L49" s="94">
        <f>+'[3]Jan ext legal'!M49+'[3]Feb ext legal'!M49+'[3]Mar ext legal'!M49+'[3]Apr ext legal'!M49+'[3]May ext legal'!M49+'[3]Jun ext legal'!M49+'[3]Jul ext legal'!M49</f>
        <v>0</v>
      </c>
      <c r="M49" s="96">
        <f t="shared" si="0"/>
        <v>0</v>
      </c>
      <c r="N49" s="96">
        <f t="shared" si="1"/>
        <v>0</v>
      </c>
      <c r="O49" s="95"/>
      <c r="P49" s="96">
        <f t="shared" si="2"/>
        <v>0</v>
      </c>
    </row>
    <row r="50" spans="1:16" s="91" customFormat="1" ht="10.199999999999999" hidden="1" x14ac:dyDescent="0.2">
      <c r="A50" s="92">
        <v>107024</v>
      </c>
      <c r="B50" s="91" t="s">
        <v>177</v>
      </c>
      <c r="C50" s="91" t="s">
        <v>140</v>
      </c>
      <c r="D50" s="192">
        <v>0</v>
      </c>
      <c r="E50" s="93">
        <f>+'[3]Jan ext legal'!E50+'[3]Feb ext legal'!E50+'[3]Mar ext legal'!E50+'[3]Apr ext legal'!E50+'[3]May ext legal'!E50+'[3]Jun ext legal'!E50+'[3]Jul ext legal'!E50</f>
        <v>0</v>
      </c>
      <c r="F50" s="94">
        <f>+'[3]Jan ext legal'!F50+'[3]Feb ext legal'!F50+'[3]Mar ext legal'!F50+'[3]Apr ext legal'!F50+'[3]May ext legal'!F50+'[3]Jun ext legal'!F50+'[3]Jul ext legal'!F50</f>
        <v>0</v>
      </c>
      <c r="G50" s="93">
        <f>+'[3]Jan ext legal'!G50+'[3]Feb ext legal'!G50+'[3]Mar ext legal'!G50+'[3]Apr ext legal'!G50+'[3]May ext legal'!G50+'[3]Jun ext legal'!G50+'[3]Jul ext legal'!G50</f>
        <v>0</v>
      </c>
      <c r="H50" s="94">
        <f>+'[3]Jan ext legal'!H50+'[3]Feb ext legal'!H50+'[3]Mar ext legal'!H50+'[3]Apr ext legal'!H50+'[3]May ext legal'!H50+'[3]Jun ext legal'!H50+'[3]Jul ext legal'!H50</f>
        <v>0</v>
      </c>
      <c r="I50" s="93">
        <f>+'[3]Jan ext legal'!I50+'[3]Feb ext legal'!I50+'[3]Mar ext legal'!I50+'[3]Apr ext legal'!I50+'[3]May ext legal'!I50+'[3]Jun ext legal'!I50+'[3]Jul ext legal'!I50</f>
        <v>0</v>
      </c>
      <c r="J50" s="94">
        <f>+'[3]Jan ext legal'!K50+'[3]Feb ext legal'!K50+'[3]Mar ext legal'!K50+'[3]Apr ext legal'!K50+'[3]May ext legal'!K50+'[3]Jun ext legal'!K50+'[3]Jul ext legal'!K50</f>
        <v>0</v>
      </c>
      <c r="K50" s="94">
        <f>+'[3]Jan ext legal'!L50+'[3]Feb ext legal'!L50+'[3]Mar ext legal'!L50+'[3]Apr ext legal'!L50+'[3]May ext legal'!L50+'[3]Jun ext legal'!L50+'[3]Jul ext legal'!L50</f>
        <v>0</v>
      </c>
      <c r="L50" s="94">
        <f>+'[3]Jan ext legal'!M50+'[3]Feb ext legal'!M50+'[3]Mar ext legal'!M50+'[3]Apr ext legal'!M50+'[3]May ext legal'!M50+'[3]Jun ext legal'!M50+'[3]Jul ext legal'!M50</f>
        <v>0</v>
      </c>
      <c r="M50" s="96">
        <f t="shared" si="0"/>
        <v>0</v>
      </c>
      <c r="N50" s="96">
        <f t="shared" si="1"/>
        <v>0</v>
      </c>
      <c r="O50" s="95"/>
      <c r="P50" s="96">
        <f t="shared" si="2"/>
        <v>0</v>
      </c>
    </row>
    <row r="51" spans="1:16" s="91" customFormat="1" ht="10.199999999999999" x14ac:dyDescent="0.2">
      <c r="A51" s="92">
        <v>107040</v>
      </c>
      <c r="B51" s="91" t="s">
        <v>178</v>
      </c>
      <c r="C51" s="91" t="s">
        <v>140</v>
      </c>
      <c r="D51" s="192">
        <v>152847.69</v>
      </c>
      <c r="E51" s="93">
        <f>+'[3]Jan ext legal'!E51+'[3]Feb ext legal'!E51+'[3]Mar ext legal'!E51+'[3]Apr ext legal'!E51+'[3]May ext legal'!E51+'[3]Jun ext legal'!E51+'[3]Jul ext legal'!E51</f>
        <v>0</v>
      </c>
      <c r="F51" s="94">
        <f>+'[3]Jan ext legal'!F51+'[3]Feb ext legal'!F51+'[3]Mar ext legal'!F51+'[3]Apr ext legal'!F51+'[3]May ext legal'!F51+'[3]Jun ext legal'!F51+'[3]Jul ext legal'!F51</f>
        <v>138407.26999999999</v>
      </c>
      <c r="G51" s="93">
        <f>+'[3]Jan ext legal'!G51+'[3]Feb ext legal'!G51+'[3]Mar ext legal'!G51+'[3]Apr ext legal'!G51+'[3]May ext legal'!G51+'[3]Jun ext legal'!G51+'[3]Jul ext legal'!G51</f>
        <v>12406.240000000002</v>
      </c>
      <c r="H51" s="94">
        <f>+'[3]Jan ext legal'!H51+'[3]Feb ext legal'!H51+'[3]Mar ext legal'!H51+'[3]Apr ext legal'!H51+'[3]May ext legal'!H51+'[3]Jun ext legal'!H51+'[3]Jul ext legal'!H51</f>
        <v>2034.18</v>
      </c>
      <c r="I51" s="93">
        <f>+'[3]Jan ext legal'!I51+'[3]Feb ext legal'!I51+'[3]Mar ext legal'!I51+'[3]Apr ext legal'!I51+'[3]May ext legal'!I51+'[3]Jun ext legal'!I51+'[3]Jul ext legal'!I51</f>
        <v>0</v>
      </c>
      <c r="J51" s="94">
        <f>+'[3]Jan ext legal'!K51+'[3]Feb ext legal'!K51+'[3]Mar ext legal'!K51+'[3]Apr ext legal'!K51+'[3]May ext legal'!K51+'[3]Jun ext legal'!K51+'[3]Jul ext legal'!K51</f>
        <v>0</v>
      </c>
      <c r="K51" s="94">
        <f>+'[3]Jan ext legal'!L51+'[3]Feb ext legal'!L51+'[3]Mar ext legal'!L51+'[3]Apr ext legal'!L51+'[3]May ext legal'!L51+'[3]Jun ext legal'!L51+'[3]Jul ext legal'!L51</f>
        <v>0</v>
      </c>
      <c r="L51" s="94">
        <f>+'[3]Jan ext legal'!M51+'[3]Feb ext legal'!M51+'[3]Mar ext legal'!M51+'[3]Apr ext legal'!M51+'[3]May ext legal'!M51+'[3]Jun ext legal'!M51+'[3]Jul ext legal'!M51</f>
        <v>0</v>
      </c>
      <c r="M51" s="96">
        <f t="shared" si="0"/>
        <v>1.3025690413335827E-2</v>
      </c>
      <c r="N51" s="96">
        <f t="shared" si="1"/>
        <v>113527.67895271766</v>
      </c>
      <c r="O51" s="95"/>
      <c r="P51" s="96">
        <f t="shared" si="2"/>
        <v>266375.36895271763</v>
      </c>
    </row>
    <row r="52" spans="1:16" s="91" customFormat="1" ht="10.199999999999999" x14ac:dyDescent="0.2">
      <c r="A52" s="92">
        <v>107295</v>
      </c>
      <c r="B52" s="91" t="s">
        <v>179</v>
      </c>
      <c r="C52" s="91" t="s">
        <v>180</v>
      </c>
      <c r="D52" s="192">
        <v>1530330.51</v>
      </c>
      <c r="E52" s="93">
        <f>+'[3]Jan ext legal'!E52+'[3]Feb ext legal'!E52+'[3]Mar ext legal'!E52+'[3]Apr ext legal'!E52+'[3]May ext legal'!E52+'[3]Jun ext legal'!E52+'[3]Jul ext legal'!E52</f>
        <v>0</v>
      </c>
      <c r="F52" s="94">
        <f>+'[3]Jan ext legal'!F52+'[3]Feb ext legal'!F52+'[3]Mar ext legal'!F52+'[3]Apr ext legal'!F52+'[3]May ext legal'!F52+'[3]Jun ext legal'!F52+'[3]Jul ext legal'!F52</f>
        <v>1530330.51</v>
      </c>
      <c r="G52" s="93">
        <f>+'[3]Jan ext legal'!G52+'[3]Feb ext legal'!G52+'[3]Mar ext legal'!G52+'[3]Apr ext legal'!G52+'[3]May ext legal'!G52+'[3]Jun ext legal'!G52+'[3]Jul ext legal'!G52</f>
        <v>0</v>
      </c>
      <c r="H52" s="94">
        <f>+'[3]Jan ext legal'!H52+'[3]Feb ext legal'!H52+'[3]Mar ext legal'!H52+'[3]Apr ext legal'!H52+'[3]May ext legal'!H52+'[3]Jun ext legal'!H52+'[3]Jul ext legal'!H52</f>
        <v>0</v>
      </c>
      <c r="I52" s="93">
        <f>+'[3]Jan ext legal'!I52+'[3]Feb ext legal'!I52+'[3]Mar ext legal'!I52+'[3]Apr ext legal'!I52+'[3]May ext legal'!I52+'[3]Jun ext legal'!I52+'[3]Jul ext legal'!I52</f>
        <v>0</v>
      </c>
      <c r="J52" s="94">
        <f>+'[3]Jan ext legal'!K52+'[3]Feb ext legal'!K52+'[3]Mar ext legal'!K52+'[3]Apr ext legal'!K52+'[3]May ext legal'!K52+'[3]Jun ext legal'!K52+'[3]Jul ext legal'!K52</f>
        <v>0</v>
      </c>
      <c r="K52" s="94">
        <f>+'[3]Jan ext legal'!L52+'[3]Feb ext legal'!L52+'[3]Mar ext legal'!L52+'[3]Apr ext legal'!L52+'[3]May ext legal'!L52+'[3]Jun ext legal'!L52+'[3]Jul ext legal'!L52</f>
        <v>0</v>
      </c>
      <c r="L52" s="94">
        <f>+'[3]Jan ext legal'!M52+'[3]Feb ext legal'!M52+'[3]Mar ext legal'!M52+'[3]Apr ext legal'!M52+'[3]May ext legal'!M52+'[3]Jun ext legal'!M52+'[3]Jul ext legal'!M52</f>
        <v>0</v>
      </c>
      <c r="M52" s="96">
        <f t="shared" si="0"/>
        <v>0.13041486890212295</v>
      </c>
      <c r="N52" s="96">
        <f t="shared" si="1"/>
        <v>1136653.5590484142</v>
      </c>
      <c r="O52" s="95"/>
      <c r="P52" s="96">
        <f t="shared" si="2"/>
        <v>2666984.069048414</v>
      </c>
    </row>
    <row r="53" spans="1:16" s="91" customFormat="1" ht="10.199999999999999" x14ac:dyDescent="0.2">
      <c r="A53" s="92">
        <v>107297</v>
      </c>
      <c r="B53" s="91" t="s">
        <v>181</v>
      </c>
      <c r="C53" s="91" t="s">
        <v>180</v>
      </c>
      <c r="D53" s="192">
        <v>155684.71</v>
      </c>
      <c r="E53" s="93">
        <f>+'[3]Jan ext legal'!E53+'[3]Feb ext legal'!E53+'[3]Mar ext legal'!E53+'[3]Apr ext legal'!E53+'[3]May ext legal'!E53+'[3]Jun ext legal'!E53+'[3]Jul ext legal'!E53</f>
        <v>0</v>
      </c>
      <c r="F53" s="94">
        <f>+'[3]Jan ext legal'!F53+'[3]Feb ext legal'!F53+'[3]Mar ext legal'!F53+'[3]Apr ext legal'!F53+'[3]May ext legal'!F53+'[3]Jun ext legal'!F53+'[3]Jul ext legal'!F53</f>
        <v>0</v>
      </c>
      <c r="G53" s="93">
        <f>+'[3]Jan ext legal'!G53+'[3]Feb ext legal'!G53+'[3]Mar ext legal'!G53+'[3]Apr ext legal'!G53+'[3]May ext legal'!G53+'[3]Jun ext legal'!G53+'[3]Jul ext legal'!G53</f>
        <v>155684.71</v>
      </c>
      <c r="H53" s="94">
        <f>+'[3]Jan ext legal'!H53+'[3]Feb ext legal'!H53+'[3]Mar ext legal'!H53+'[3]Apr ext legal'!H53+'[3]May ext legal'!H53+'[3]Jun ext legal'!H53+'[3]Jul ext legal'!H53</f>
        <v>0</v>
      </c>
      <c r="I53" s="93">
        <f>+'[3]Jan ext legal'!I53+'[3]Feb ext legal'!I53+'[3]Mar ext legal'!I53+'[3]Apr ext legal'!I53+'[3]May ext legal'!I53+'[3]Jun ext legal'!I53+'[3]Jul ext legal'!I53</f>
        <v>0</v>
      </c>
      <c r="J53" s="94">
        <f>+'[3]Jan ext legal'!K53+'[3]Feb ext legal'!K53+'[3]Mar ext legal'!K53+'[3]Apr ext legal'!K53+'[3]May ext legal'!K53+'[3]Jun ext legal'!K53+'[3]Jul ext legal'!K53</f>
        <v>0</v>
      </c>
      <c r="K53" s="94">
        <f>+'[3]Jan ext legal'!L53+'[3]Feb ext legal'!L53+'[3]Mar ext legal'!L53+'[3]Apr ext legal'!L53+'[3]May ext legal'!L53+'[3]Jun ext legal'!L53+'[3]Jul ext legal'!L53</f>
        <v>0</v>
      </c>
      <c r="L53" s="94">
        <f>+'[3]Jan ext legal'!M53+'[3]Feb ext legal'!M53+'[3]Mar ext legal'!M53+'[3]Apr ext legal'!M53+'[3]May ext legal'!M53+'[3]Jun ext legal'!M53+'[3]Jul ext legal'!M53</f>
        <v>0</v>
      </c>
      <c r="M53" s="96">
        <f t="shared" si="0"/>
        <v>1.3267461448386746E-2</v>
      </c>
      <c r="N53" s="96">
        <f t="shared" si="1"/>
        <v>115634.87661950896</v>
      </c>
      <c r="O53" s="95"/>
      <c r="P53" s="96">
        <f t="shared" si="2"/>
        <v>271319.58661950892</v>
      </c>
    </row>
    <row r="54" spans="1:16" s="91" customFormat="1" ht="10.199999999999999" x14ac:dyDescent="0.2">
      <c r="A54" s="92">
        <v>107300</v>
      </c>
      <c r="B54" s="91" t="s">
        <v>182</v>
      </c>
      <c r="C54" s="91" t="s">
        <v>183</v>
      </c>
      <c r="D54" s="192">
        <v>3537639.31</v>
      </c>
      <c r="E54" s="93">
        <f>+'[3]Jan ext legal'!E54+'[3]Feb ext legal'!E54+'[3]Mar ext legal'!E54+'[3]Apr ext legal'!E54+'[3]May ext legal'!E54+'[3]Jun ext legal'!E54+'[3]Jul ext legal'!E54</f>
        <v>0</v>
      </c>
      <c r="F54" s="94">
        <f>+'[3]Jan ext legal'!F54+'[3]Feb ext legal'!F54+'[3]Mar ext legal'!F54+'[3]Apr ext legal'!F54+'[3]May ext legal'!F54+'[3]Jun ext legal'!F54+'[3]Jul ext legal'!F54</f>
        <v>0</v>
      </c>
      <c r="G54" s="93">
        <f>+'[3]Jan ext legal'!G54+'[3]Feb ext legal'!G54+'[3]Mar ext legal'!G54+'[3]Apr ext legal'!G54+'[3]May ext legal'!G54+'[3]Jun ext legal'!G54+'[3]Jul ext legal'!G54</f>
        <v>2512375.5100000002</v>
      </c>
      <c r="H54" s="94">
        <f>+'[3]Jan ext legal'!H54+'[3]Feb ext legal'!H54+'[3]Mar ext legal'!H54+'[3]Apr ext legal'!H54+'[3]May ext legal'!H54+'[3]Jun ext legal'!H54+'[3]Jul ext legal'!H54</f>
        <v>52697.09</v>
      </c>
      <c r="I54" s="93">
        <f>+'[3]Jan ext legal'!I54+'[3]Feb ext legal'!I54+'[3]Mar ext legal'!I54+'[3]Apr ext legal'!I54+'[3]May ext legal'!I54+'[3]Jun ext legal'!I54+'[3]Jul ext legal'!I54</f>
        <v>0</v>
      </c>
      <c r="J54" s="94">
        <f>+'[3]Jan ext legal'!K54+'[3]Feb ext legal'!K54+'[3]Mar ext legal'!K54+'[3]Apr ext legal'!K54+'[3]May ext legal'!K54+'[3]Jun ext legal'!K54+'[3]Jul ext legal'!K54</f>
        <v>0</v>
      </c>
      <c r="K54" s="94">
        <f>+'[3]Jan ext legal'!L54+'[3]Feb ext legal'!L54+'[3]Mar ext legal'!L54+'[3]Apr ext legal'!L54+'[3]May ext legal'!L54+'[3]Jun ext legal'!L54+'[3]Jul ext legal'!L54</f>
        <v>972566.71</v>
      </c>
      <c r="L54" s="94">
        <f>+'[3]Jan ext legal'!M54+'[3]Feb ext legal'!M54+'[3]Mar ext legal'!M54+'[3]Apr ext legal'!M54+'[3]May ext legal'!M54+'[3]Jun ext legal'!M54+'[3]Jul ext legal'!M54</f>
        <v>0</v>
      </c>
      <c r="M54" s="96">
        <f t="shared" si="0"/>
        <v>0.30147785973152075</v>
      </c>
      <c r="N54" s="96">
        <f t="shared" si="1"/>
        <v>2627582.9215095998</v>
      </c>
      <c r="O54" s="95"/>
      <c r="P54" s="96">
        <f t="shared" si="2"/>
        <v>6165222.2315095998</v>
      </c>
    </row>
    <row r="55" spans="1:16" s="91" customFormat="1" ht="10.199999999999999" x14ac:dyDescent="0.2">
      <c r="A55" s="92">
        <v>107310</v>
      </c>
      <c r="B55" s="91" t="s">
        <v>184</v>
      </c>
      <c r="D55" s="192">
        <v>107738.37</v>
      </c>
      <c r="E55" s="93">
        <f>+'[3]Jan ext legal'!E55+'[3]Feb ext legal'!E55+'[3]Mar ext legal'!E55+'[3]Apr ext legal'!E55+'[3]May ext legal'!E55+'[3]Jun ext legal'!E55+'[3]Jul ext legal'!E55</f>
        <v>0</v>
      </c>
      <c r="F55" s="94">
        <f>+'[3]Jan ext legal'!F55+'[3]Feb ext legal'!F55+'[3]Mar ext legal'!F55+'[3]Apr ext legal'!F55+'[3]May ext legal'!F55+'[3]Jun ext legal'!F55+'[3]Jul ext legal'!F55</f>
        <v>0</v>
      </c>
      <c r="G55" s="93">
        <f>+'[3]Jan ext legal'!G55+'[3]Feb ext legal'!G55+'[3]Mar ext legal'!G55+'[3]Apr ext legal'!G55+'[3]May ext legal'!G55+'[3]Jun ext legal'!G55+'[3]Jul ext legal'!G55</f>
        <v>2325</v>
      </c>
      <c r="H55" s="94">
        <f>+'[3]Jan ext legal'!H55+'[3]Feb ext legal'!H55+'[3]Mar ext legal'!H55+'[3]Apr ext legal'!H55+'[3]May ext legal'!H55+'[3]Jun ext legal'!H55+'[3]Jul ext legal'!H55</f>
        <v>9752.2000000000007</v>
      </c>
      <c r="I55" s="93">
        <f>+'[3]Jan ext legal'!I55+'[3]Feb ext legal'!I55+'[3]Mar ext legal'!I55+'[3]Apr ext legal'!I55+'[3]May ext legal'!I55+'[3]Jun ext legal'!I55+'[3]Jul ext legal'!I55</f>
        <v>0</v>
      </c>
      <c r="J55" s="94">
        <v>0</v>
      </c>
      <c r="K55" s="94">
        <f>+'[3]Jan ext legal'!L55+'[3]Feb ext legal'!L55+'[3]Mar ext legal'!L55+'[3]Apr ext legal'!L55+'[3]May ext legal'!L55+'[3]Jun ext legal'!L55+'[3]Jul ext legal'!L55</f>
        <v>95661.17</v>
      </c>
      <c r="L55" s="94">
        <f>+'[3]Jan ext legal'!M55+'[3]Feb ext legal'!M55+'[3]Mar ext legal'!M55+'[3]Apr ext legal'!M55+'[3]May ext legal'!M55+'[3]Jun ext legal'!M55+'[3]Jul ext legal'!M55</f>
        <v>0</v>
      </c>
      <c r="M55" s="96">
        <f t="shared" si="0"/>
        <v>9.1814711315390384E-3</v>
      </c>
      <c r="N55" s="96">
        <f t="shared" si="1"/>
        <v>80022.714639973346</v>
      </c>
      <c r="O55" s="95"/>
      <c r="P55" s="96">
        <f t="shared" si="2"/>
        <v>187761.08463997336</v>
      </c>
    </row>
    <row r="56" spans="1:16" s="91" customFormat="1" ht="10.199999999999999" x14ac:dyDescent="0.2">
      <c r="A56" s="92">
        <v>107312</v>
      </c>
      <c r="B56" s="91" t="s">
        <v>185</v>
      </c>
      <c r="C56" s="91" t="s">
        <v>186</v>
      </c>
      <c r="D56" s="192">
        <v>7952.61</v>
      </c>
      <c r="E56" s="93">
        <f>+'[3]Jan ext legal'!E56+'[3]Feb ext legal'!E56+'[3]Mar ext legal'!E56+'[3]Apr ext legal'!E56+'[3]May ext legal'!E56+'[3]Jun ext legal'!E56+'[3]Jul ext legal'!E56</f>
        <v>7952.6100000000006</v>
      </c>
      <c r="F56" s="94">
        <f>+'[3]Jan ext legal'!F56+'[3]Feb ext legal'!F56+'[3]Mar ext legal'!F56+'[3]Apr ext legal'!F56+'[3]May ext legal'!F56+'[3]Jun ext legal'!F56+'[3]Jul ext legal'!F56</f>
        <v>0</v>
      </c>
      <c r="G56" s="93">
        <f>+'[3]Jan ext legal'!G56+'[3]Feb ext legal'!G56+'[3]Mar ext legal'!G56+'[3]Apr ext legal'!G56+'[3]May ext legal'!G56+'[3]Jun ext legal'!G56+'[3]Jul ext legal'!G56</f>
        <v>0</v>
      </c>
      <c r="H56" s="94">
        <f>+'[3]Jan ext legal'!H56+'[3]Feb ext legal'!H56+'[3]Mar ext legal'!H56+'[3]Apr ext legal'!H56+'[3]May ext legal'!H56+'[3]Jun ext legal'!H56+'[3]Jul ext legal'!H56</f>
        <v>0</v>
      </c>
      <c r="I56" s="93">
        <f>+'[3]Jan ext legal'!I56+'[3]Feb ext legal'!I56+'[3]Mar ext legal'!I56+'[3]Apr ext legal'!I56+'[3]May ext legal'!I56+'[3]Jun ext legal'!I56+'[3]Jul ext legal'!I56</f>
        <v>0</v>
      </c>
      <c r="J56" s="94">
        <f>+'[3]Jan ext legal'!K56+'[3]Feb ext legal'!K56+'[3]Mar ext legal'!K56+'[3]Apr ext legal'!K56+'[3]May ext legal'!K56+'[3]Jun ext legal'!K56+'[3]Jul ext legal'!K56</f>
        <v>0</v>
      </c>
      <c r="K56" s="94">
        <f>+'[3]Jan ext legal'!L56+'[3]Feb ext legal'!L56+'[3]Mar ext legal'!L56+'[3]Apr ext legal'!L56+'[3]May ext legal'!L56+'[3]Jun ext legal'!L56+'[3]Jul ext legal'!L56</f>
        <v>0</v>
      </c>
      <c r="L56" s="94">
        <f>+'[3]Jan ext legal'!M56+'[3]Feb ext legal'!M56+'[3]Mar ext legal'!M56+'[3]Apr ext legal'!M56+'[3]May ext legal'!M56+'[3]Jun ext legal'!M56+'[3]Jul ext legal'!M56</f>
        <v>0</v>
      </c>
      <c r="M56" s="96">
        <f t="shared" si="0"/>
        <v>6.7772195862429209E-4</v>
      </c>
      <c r="N56" s="96">
        <f t="shared" si="1"/>
        <v>5906.8040538667738</v>
      </c>
      <c r="O56" s="95"/>
      <c r="P56" s="96">
        <f t="shared" si="2"/>
        <v>13859.414053866774</v>
      </c>
    </row>
    <row r="57" spans="1:16" s="91" customFormat="1" ht="10.199999999999999" x14ac:dyDescent="0.2">
      <c r="A57" s="92">
        <v>107319</v>
      </c>
      <c r="B57" s="91" t="s">
        <v>187</v>
      </c>
      <c r="D57" s="192">
        <v>48408.78</v>
      </c>
      <c r="E57" s="93">
        <f>+'[3]Jan ext legal'!E57+'[3]Feb ext legal'!E57+'[3]Mar ext legal'!E57+'[3]Apr ext legal'!E57+'[3]May ext legal'!E57+'[3]Jun ext legal'!E57+'[3]Jul ext legal'!E57</f>
        <v>329.94000000000005</v>
      </c>
      <c r="F57" s="94">
        <f>+'[3]Jan ext legal'!F57+'[3]Feb ext legal'!F57+'[3]Mar ext legal'!F57+'[3]Apr ext legal'!F57+'[3]May ext legal'!F57+'[3]Jun ext legal'!F57+'[3]Jul ext legal'!F57</f>
        <v>48078.840000000011</v>
      </c>
      <c r="G57" s="93">
        <f>+'[3]Jan ext legal'!G57+'[3]Feb ext legal'!G57+'[3]Mar ext legal'!G57+'[3]Apr ext legal'!G57+'[3]May ext legal'!G57+'[3]Jun ext legal'!G57+'[3]Jul ext legal'!G57</f>
        <v>0</v>
      </c>
      <c r="H57" s="94">
        <f>+'[3]Jan ext legal'!H57+'[3]Feb ext legal'!H57+'[3]Mar ext legal'!H57+'[3]Apr ext legal'!H57+'[3]May ext legal'!H57+'[3]Jun ext legal'!H57+'[3]Jul ext legal'!H57</f>
        <v>0</v>
      </c>
      <c r="I57" s="93">
        <f>+'[3]Jan ext legal'!I57+'[3]Feb ext legal'!I57+'[3]Mar ext legal'!I57+'[3]Apr ext legal'!I57+'[3]May ext legal'!I57+'[3]Jun ext legal'!I57+'[3]Jul ext legal'!I57</f>
        <v>0</v>
      </c>
      <c r="J57" s="94">
        <f>+'[3]Jan ext legal'!K57+'[3]Feb ext legal'!K57+'[3]Mar ext legal'!K57+'[3]Apr ext legal'!K57+'[3]May ext legal'!K57+'[3]Jun ext legal'!K57+'[3]Jul ext legal'!K57</f>
        <v>0</v>
      </c>
      <c r="K57" s="94">
        <f>+'[3]Jan ext legal'!L57+'[3]Feb ext legal'!L57+'[3]Mar ext legal'!L57+'[3]Apr ext legal'!L57+'[3]May ext legal'!L57+'[3]Jun ext legal'!L57+'[3]Jul ext legal'!L57</f>
        <v>0</v>
      </c>
      <c r="L57" s="94">
        <f>+'[3]Jan ext legal'!M57+'[3]Feb ext legal'!M57+'[3]Mar ext legal'!M57+'[3]Apr ext legal'!M57+'[3]May ext legal'!M57+'[3]Jun ext legal'!M57+'[3]Jul ext legal'!M57</f>
        <v>0</v>
      </c>
      <c r="M57" s="96">
        <f t="shared" si="0"/>
        <v>4.1253994847241923E-3</v>
      </c>
      <c r="N57" s="96">
        <f t="shared" si="1"/>
        <v>35955.639462609732</v>
      </c>
      <c r="O57" s="95"/>
      <c r="P57" s="96">
        <f t="shared" si="2"/>
        <v>84364.419462609731</v>
      </c>
    </row>
    <row r="58" spans="1:16" s="91" customFormat="1" ht="10.199999999999999" hidden="1" x14ac:dyDescent="0.2">
      <c r="A58" s="92">
        <v>107322</v>
      </c>
      <c r="B58" s="91" t="s">
        <v>188</v>
      </c>
      <c r="C58" s="91" t="s">
        <v>189</v>
      </c>
      <c r="D58" s="192">
        <v>0</v>
      </c>
      <c r="E58" s="93">
        <f>+'[3]Jan ext legal'!E58+'[3]Feb ext legal'!E58+'[3]Mar ext legal'!E58+'[3]Apr ext legal'!E58+'[3]May ext legal'!E58+'[3]Jun ext legal'!E58+'[3]Jul ext legal'!E58</f>
        <v>0</v>
      </c>
      <c r="F58" s="94">
        <f>+'[3]Jan ext legal'!F58+'[3]Feb ext legal'!F58+'[3]Mar ext legal'!F58+'[3]Apr ext legal'!F58+'[3]May ext legal'!F58+'[3]Jun ext legal'!F58+'[3]Jul ext legal'!F58</f>
        <v>0</v>
      </c>
      <c r="G58" s="93">
        <f>+'[3]Jan ext legal'!G58+'[3]Feb ext legal'!G58+'[3]Mar ext legal'!G58+'[3]Apr ext legal'!G58+'[3]May ext legal'!G58+'[3]Jun ext legal'!G58+'[3]Jul ext legal'!G58</f>
        <v>0</v>
      </c>
      <c r="H58" s="94">
        <f>+'[3]Jan ext legal'!H58+'[3]Feb ext legal'!H58+'[3]Mar ext legal'!H58+'[3]Apr ext legal'!H58+'[3]May ext legal'!H58+'[3]Jun ext legal'!H58+'[3]Jul ext legal'!H58</f>
        <v>0</v>
      </c>
      <c r="I58" s="93">
        <f>+'[3]Jan ext legal'!I58+'[3]Feb ext legal'!I58+'[3]Mar ext legal'!I58+'[3]Apr ext legal'!I58+'[3]May ext legal'!I58+'[3]Jun ext legal'!I58+'[3]Jul ext legal'!I58</f>
        <v>0</v>
      </c>
      <c r="J58" s="94">
        <f>+'[3]Jan ext legal'!K58+'[3]Feb ext legal'!K58+'[3]Mar ext legal'!K58+'[3]Apr ext legal'!K58+'[3]May ext legal'!K58+'[3]Jun ext legal'!K58+'[3]Jul ext legal'!K58</f>
        <v>0</v>
      </c>
      <c r="K58" s="94">
        <f>+'[3]Jan ext legal'!L58+'[3]Feb ext legal'!L58+'[3]Mar ext legal'!L58+'[3]Apr ext legal'!L58+'[3]May ext legal'!L58+'[3]Jun ext legal'!L58+'[3]Jul ext legal'!L58</f>
        <v>0</v>
      </c>
      <c r="L58" s="94">
        <f>+'[3]Jan ext legal'!M58+'[3]Feb ext legal'!M58+'[3]Mar ext legal'!M58+'[3]Apr ext legal'!M58+'[3]May ext legal'!M58+'[3]Jun ext legal'!M58+'[3]Jul ext legal'!M58</f>
        <v>0</v>
      </c>
      <c r="M58" s="96">
        <f t="shared" si="0"/>
        <v>0</v>
      </c>
      <c r="N58" s="96">
        <f t="shared" si="1"/>
        <v>0</v>
      </c>
      <c r="O58" s="95"/>
      <c r="P58" s="96">
        <f t="shared" si="2"/>
        <v>0</v>
      </c>
    </row>
    <row r="59" spans="1:16" s="91" customFormat="1" ht="10.199999999999999" hidden="1" x14ac:dyDescent="0.2">
      <c r="A59" s="92">
        <v>107323</v>
      </c>
      <c r="B59" s="91" t="s">
        <v>190</v>
      </c>
      <c r="D59" s="192">
        <v>0</v>
      </c>
      <c r="E59" s="93">
        <f>+'[3]Jan ext legal'!E59+'[3]Feb ext legal'!E59+'[3]Mar ext legal'!E59+'[3]Apr ext legal'!E59+'[3]May ext legal'!E59+'[3]Jun ext legal'!E59+'[3]Jul ext legal'!E59</f>
        <v>0</v>
      </c>
      <c r="F59" s="94"/>
      <c r="G59" s="93">
        <f>+'[3]Jan ext legal'!G59+'[3]Feb ext legal'!G59+'[3]Mar ext legal'!G59+'[3]Apr ext legal'!G59+'[3]May ext legal'!G59+'[3]Jun ext legal'!G59+'[3]Jul ext legal'!G59</f>
        <v>0</v>
      </c>
      <c r="H59" s="94">
        <f>+'[3]Jan ext legal'!H59+'[3]Feb ext legal'!H59+'[3]Mar ext legal'!H59+'[3]Apr ext legal'!H59+'[3]May ext legal'!H59+'[3]Jun ext legal'!H59+'[3]Jul ext legal'!H59</f>
        <v>0</v>
      </c>
      <c r="I59" s="93">
        <f>+'[3]Jan ext legal'!I59+'[3]Feb ext legal'!I59+'[3]Mar ext legal'!I59+'[3]Apr ext legal'!I59+'[3]May ext legal'!I59+'[3]Jun ext legal'!I59+'[3]Jul ext legal'!I59</f>
        <v>0</v>
      </c>
      <c r="J59" s="94">
        <f>+'[3]Jan ext legal'!K59+'[3]Feb ext legal'!K59+'[3]Mar ext legal'!K59+'[3]Apr ext legal'!K59+'[3]May ext legal'!K59+'[3]Jun ext legal'!K59+'[3]Jul ext legal'!K59</f>
        <v>0</v>
      </c>
      <c r="K59" s="94">
        <f>+'[3]Jan ext legal'!L59+'[3]Feb ext legal'!L59+'[3]Mar ext legal'!L59+'[3]Apr ext legal'!L59+'[3]May ext legal'!L59+'[3]Jun ext legal'!L59+'[3]Jul ext legal'!L59</f>
        <v>0</v>
      </c>
      <c r="L59" s="94">
        <f>+'[3]Jan ext legal'!M59+'[3]Feb ext legal'!M59+'[3]Mar ext legal'!M59+'[3]Apr ext legal'!M59+'[3]May ext legal'!M59+'[3]Jun ext legal'!M59+'[3]Jul ext legal'!M59</f>
        <v>0</v>
      </c>
      <c r="M59" s="96">
        <f t="shared" si="0"/>
        <v>0</v>
      </c>
      <c r="N59" s="96">
        <f t="shared" si="1"/>
        <v>0</v>
      </c>
      <c r="O59" s="95"/>
      <c r="P59" s="96">
        <f t="shared" si="2"/>
        <v>0</v>
      </c>
    </row>
    <row r="60" spans="1:16" s="91" customFormat="1" ht="10.199999999999999" x14ac:dyDescent="0.2">
      <c r="A60" s="92">
        <v>107443</v>
      </c>
      <c r="B60" s="91" t="s">
        <v>191</v>
      </c>
      <c r="D60" s="192">
        <v>53125.36</v>
      </c>
      <c r="E60" s="93">
        <f>+'[3]Jan ext legal'!E60+'[3]Feb ext legal'!E60+'[3]Mar ext legal'!E60+'[3]Apr ext legal'!E60+'[3]May ext legal'!E60+'[3]Jun ext legal'!E60+'[3]Jul ext legal'!E60</f>
        <v>0</v>
      </c>
      <c r="F60" s="94">
        <f>+'[3]Jan ext legal'!F60+'[3]Feb ext legal'!F60+'[3]Mar ext legal'!F60+'[3]Apr ext legal'!F60+'[3]May ext legal'!F60+'[3]Jun ext legal'!F60+'[3]Jul ext legal'!F60</f>
        <v>0</v>
      </c>
      <c r="G60" s="93">
        <f>+'[3]Jan ext legal'!G60+'[3]Feb ext legal'!G60+'[3]Mar ext legal'!G60+'[3]Apr ext legal'!G60+'[3]May ext legal'!G60+'[3]Jun ext legal'!G60+'[3]Jul ext legal'!G60</f>
        <v>53125.36</v>
      </c>
      <c r="H60" s="94">
        <f>+'[3]Jan ext legal'!H60+'[3]Feb ext legal'!H60+'[3]Mar ext legal'!H60+'[3]Apr ext legal'!H60+'[3]May ext legal'!H60+'[3]Jun ext legal'!H60+'[3]Jul ext legal'!H60</f>
        <v>0</v>
      </c>
      <c r="I60" s="93">
        <f>+'[3]Jan ext legal'!I60+'[3]Feb ext legal'!I60+'[3]Mar ext legal'!I60+'[3]Apr ext legal'!I60+'[3]May ext legal'!I60+'[3]Jun ext legal'!I60+'[3]Jul ext legal'!I60</f>
        <v>0</v>
      </c>
      <c r="J60" s="94">
        <f>+'[3]Jan ext legal'!K60+'[3]Feb ext legal'!K60+'[3]Mar ext legal'!K60+'[3]Apr ext legal'!K60+'[3]May ext legal'!K60+'[3]Jun ext legal'!K60+'[3]Jul ext legal'!K60</f>
        <v>0</v>
      </c>
      <c r="K60" s="94">
        <f>+'[3]Jan ext legal'!L60+'[3]Feb ext legal'!L60+'[3]Mar ext legal'!L60+'[3]Apr ext legal'!L60+'[3]May ext legal'!L60+'[3]Jun ext legal'!L60+'[3]Jul ext legal'!L60</f>
        <v>0</v>
      </c>
      <c r="L60" s="94">
        <f>+'[3]Jan ext legal'!M60+'[3]Feb ext legal'!M60+'[3]Mar ext legal'!M60+'[3]Apr ext legal'!M60+'[3]May ext legal'!M60+'[3]Jun ext legal'!M60+'[3]Jul ext legal'!M60</f>
        <v>0</v>
      </c>
      <c r="M60" s="96">
        <f t="shared" si="0"/>
        <v>4.5273467492836471E-3</v>
      </c>
      <c r="N60" s="96">
        <f t="shared" si="1"/>
        <v>39458.881022850583</v>
      </c>
      <c r="O60" s="95"/>
      <c r="P60" s="96">
        <f t="shared" si="2"/>
        <v>92584.241022850591</v>
      </c>
    </row>
    <row r="61" spans="1:16" s="91" customFormat="1" ht="10.199999999999999" x14ac:dyDescent="0.2">
      <c r="A61" s="92">
        <v>107444</v>
      </c>
      <c r="B61" s="91" t="s">
        <v>192</v>
      </c>
      <c r="D61" s="192">
        <v>65073.91</v>
      </c>
      <c r="E61" s="93">
        <f>+'[3]Jan ext legal'!E61+'[3]Feb ext legal'!E61+'[3]Mar ext legal'!E61+'[3]Apr ext legal'!E61+'[3]May ext legal'!E61+'[3]Jun ext legal'!E61+'[3]Jul ext legal'!E61</f>
        <v>63374.39</v>
      </c>
      <c r="F61" s="94">
        <f>+'[3]Jan ext legal'!F61+'[3]Feb ext legal'!F61+'[3]Mar ext legal'!F61+'[3]Apr ext legal'!F61+'[3]May ext legal'!F61+'[3]Jun ext legal'!F61+'[3]Jul ext legal'!F61</f>
        <v>0</v>
      </c>
      <c r="G61" s="93">
        <f>+'[3]Jan ext legal'!G61+'[3]Feb ext legal'!G61+'[3]Mar ext legal'!G61+'[3]Apr ext legal'!G61+'[3]May ext legal'!G61+'[3]Jun ext legal'!G61+'[3]Jul ext legal'!G61</f>
        <v>0</v>
      </c>
      <c r="H61" s="94">
        <f>+'[3]Jan ext legal'!H61+'[3]Feb ext legal'!H61+'[3]Mar ext legal'!H61+'[3]Apr ext legal'!H61+'[3]May ext legal'!H61+'[3]Jun ext legal'!H61+'[3]Jul ext legal'!H61</f>
        <v>0</v>
      </c>
      <c r="I61" s="93">
        <f>+'[3]Jan ext legal'!I61+'[3]Feb ext legal'!I61+'[3]Mar ext legal'!I61+'[3]Apr ext legal'!I61+'[3]May ext legal'!I61+'[3]Jun ext legal'!I61+'[3]Jul ext legal'!I61</f>
        <v>1699.52</v>
      </c>
      <c r="J61" s="94">
        <f>+'[3]Jan ext legal'!K61+'[3]Feb ext legal'!K61+'[3]Mar ext legal'!K61+'[3]Apr ext legal'!K61+'[3]May ext legal'!K61+'[3]Jun ext legal'!K61+'[3]Jul ext legal'!K61</f>
        <v>0</v>
      </c>
      <c r="K61" s="94">
        <f>+'[3]Jan ext legal'!L61+'[3]Feb ext legal'!L61+'[3]Mar ext legal'!L61+'[3]Apr ext legal'!L61+'[3]May ext legal'!L61+'[3]Jun ext legal'!L61+'[3]Jul ext legal'!L61</f>
        <v>0</v>
      </c>
      <c r="L61" s="94">
        <f>+'[3]Jan ext legal'!M61+'[3]Feb ext legal'!M61+'[3]Mar ext legal'!M61+'[3]Apr ext legal'!M61+'[3]May ext legal'!M61+'[3]Jun ext legal'!M61+'[3]Jul ext legal'!M61</f>
        <v>0</v>
      </c>
      <c r="M61" s="96">
        <f t="shared" si="0"/>
        <v>5.5456029832395793E-3</v>
      </c>
      <c r="N61" s="96">
        <f t="shared" si="1"/>
        <v>48333.671007249395</v>
      </c>
      <c r="O61" s="95"/>
      <c r="P61" s="96">
        <f t="shared" si="2"/>
        <v>113407.58100724939</v>
      </c>
    </row>
    <row r="62" spans="1:16" s="91" customFormat="1" ht="10.199999999999999" x14ac:dyDescent="0.2">
      <c r="A62" s="92">
        <v>107446</v>
      </c>
      <c r="B62" s="91" t="s">
        <v>193</v>
      </c>
      <c r="D62" s="192">
        <v>754729.8</v>
      </c>
      <c r="E62" s="93">
        <f>+'[3]Jan ext legal'!E62+'[3]Feb ext legal'!E62+'[3]Mar ext legal'!E62+'[3]Apr ext legal'!E62+'[3]May ext legal'!E62+'[3]Jun ext legal'!E62+'[3]Jul ext legal'!E62</f>
        <v>0</v>
      </c>
      <c r="F62" s="94">
        <f>+'[3]Jan ext legal'!F62+'[3]Feb ext legal'!F62+'[3]Mar ext legal'!F62+'[3]Apr ext legal'!F62+'[3]May ext legal'!F62+'[3]Jun ext legal'!F62+'[3]Jul ext legal'!F62</f>
        <v>754729.79999999993</v>
      </c>
      <c r="G62" s="93">
        <f>+'[3]Jan ext legal'!G62+'[3]Feb ext legal'!G62+'[3]Mar ext legal'!G62+'[3]Apr ext legal'!G62+'[3]May ext legal'!G62+'[3]Jun ext legal'!G62+'[3]Jul ext legal'!G62</f>
        <v>0</v>
      </c>
      <c r="H62" s="94">
        <f>+'[3]Jan ext legal'!H62+'[3]Feb ext legal'!H62+'[3]Mar ext legal'!H62+'[3]Apr ext legal'!H62+'[3]May ext legal'!H62+'[3]Jun ext legal'!H62+'[3]Jul ext legal'!H62</f>
        <v>0</v>
      </c>
      <c r="I62" s="93">
        <f>+'[3]Jan ext legal'!I62+'[3]Feb ext legal'!I62+'[3]Mar ext legal'!I62+'[3]Apr ext legal'!I62+'[3]May ext legal'!I62+'[3]Jun ext legal'!I62+'[3]Jul ext legal'!I62</f>
        <v>0</v>
      </c>
      <c r="J62" s="94">
        <f>+'[3]Jan ext legal'!K62+'[3]Feb ext legal'!K62+'[3]Mar ext legal'!K62+'[3]Apr ext legal'!K62+'[3]May ext legal'!K62+'[3]Jun ext legal'!K62+'[3]Jul ext legal'!K62</f>
        <v>0</v>
      </c>
      <c r="K62" s="94">
        <f>+'[3]Jan ext legal'!L62+'[3]Feb ext legal'!L62+'[3]Mar ext legal'!L62+'[3]Apr ext legal'!L62+'[3]May ext legal'!L62+'[3]Jun ext legal'!L62+'[3]Jul ext legal'!L62</f>
        <v>0</v>
      </c>
      <c r="L62" s="94">
        <f>+'[3]Jan ext legal'!M62+'[3]Feb ext legal'!M62+'[3]Mar ext legal'!M62+'[3]Apr ext legal'!M62+'[3]May ext legal'!M62+'[3]Jun ext legal'!M62+'[3]Jul ext legal'!M62</f>
        <v>0</v>
      </c>
      <c r="M62" s="96">
        <f t="shared" si="0"/>
        <v>6.4318124274687222E-2</v>
      </c>
      <c r="N62" s="96">
        <f t="shared" si="1"/>
        <v>560575.8414173536</v>
      </c>
      <c r="O62" s="95"/>
      <c r="P62" s="96">
        <f t="shared" si="2"/>
        <v>1315305.6414173536</v>
      </c>
    </row>
    <row r="63" spans="1:16" s="91" customFormat="1" ht="10.199999999999999" x14ac:dyDescent="0.2">
      <c r="A63" s="92">
        <v>107447</v>
      </c>
      <c r="B63" s="91" t="s">
        <v>194</v>
      </c>
      <c r="D63" s="192">
        <v>31742.32</v>
      </c>
      <c r="E63" s="93">
        <f>+'[3]Jan ext legal'!E63+'[3]Feb ext legal'!E63+'[3]Mar ext legal'!E63+'[3]Apr ext legal'!E63+'[3]May ext legal'!E63+'[3]Jun ext legal'!E63+'[3]Jul ext legal'!E63</f>
        <v>0</v>
      </c>
      <c r="F63" s="94">
        <f>+'[3]Jan ext legal'!F63+'[3]Feb ext legal'!F63+'[3]Mar ext legal'!F63+'[3]Apr ext legal'!F63+'[3]May ext legal'!F63+'[3]Jun ext legal'!F63+'[3]Jul ext legal'!F63</f>
        <v>0</v>
      </c>
      <c r="G63" s="93">
        <f>+'[3]Jan ext legal'!G63+'[3]Feb ext legal'!G63+'[3]Mar ext legal'!G63+'[3]Apr ext legal'!G63+'[3]May ext legal'!G63+'[3]Jun ext legal'!G63+'[3]Jul ext legal'!G63</f>
        <v>0</v>
      </c>
      <c r="H63" s="94">
        <f>+'[3]Jan ext legal'!H63+'[3]Feb ext legal'!H63+'[3]Mar ext legal'!H63+'[3]Apr ext legal'!H63+'[3]May ext legal'!H63+'[3]Jun ext legal'!H63+'[3]Jul ext legal'!H63</f>
        <v>0</v>
      </c>
      <c r="I63" s="93">
        <f>+'[3]Jan ext legal'!I63+'[3]Feb ext legal'!I63+'[3]Mar ext legal'!I63+'[3]Apr ext legal'!I63+'[3]May ext legal'!I63+'[3]Jun ext legal'!I63+'[3]Jul ext legal'!I63</f>
        <v>0</v>
      </c>
      <c r="J63" s="94">
        <f>+'[3]Jan ext legal'!K63+'[3]Feb ext legal'!K63+'[3]Mar ext legal'!K63+'[3]Apr ext legal'!K63+'[3]May ext legal'!K63+'[3]Jun ext legal'!K63+'[3]Jul ext legal'!K63</f>
        <v>0</v>
      </c>
      <c r="K63" s="94">
        <f>+'[3]Jan ext legal'!L63+'[3]Feb ext legal'!L63+'[3]Mar ext legal'!L63+'[3]Apr ext legal'!L63+'[3]May ext legal'!L63+'[3]Jun ext legal'!L63+'[3]Jul ext legal'!L63</f>
        <v>31742.32</v>
      </c>
      <c r="L63" s="94">
        <f>+'[3]Jan ext legal'!M63+'[3]Feb ext legal'!M63+'[3]Mar ext legal'!M63+'[3]Apr ext legal'!M63+'[3]May ext legal'!M63+'[3]Jun ext legal'!M63+'[3]Jul ext legal'!M63</f>
        <v>0</v>
      </c>
      <c r="M63" s="96">
        <f t="shared" si="0"/>
        <v>2.7050826435194284E-3</v>
      </c>
      <c r="N63" s="96">
        <f t="shared" si="1"/>
        <v>23576.620059972309</v>
      </c>
      <c r="O63" s="95"/>
      <c r="P63" s="96">
        <f t="shared" si="2"/>
        <v>55318.940059972309</v>
      </c>
    </row>
    <row r="64" spans="1:16" s="91" customFormat="1" ht="10.199999999999999" x14ac:dyDescent="0.2">
      <c r="A64" s="92">
        <v>107449</v>
      </c>
      <c r="B64" s="91" t="s">
        <v>195</v>
      </c>
      <c r="D64" s="192">
        <v>3834.58</v>
      </c>
      <c r="E64" s="93">
        <f>+'[3]Jan ext legal'!E64+'[3]Feb ext legal'!E64+'[3]Mar ext legal'!E64+'[3]Apr ext legal'!E64+'[3]May ext legal'!E64+'[3]Jun ext legal'!E64+'[3]Jul ext legal'!E64</f>
        <v>0</v>
      </c>
      <c r="F64" s="94">
        <f>+'[3]Jan ext legal'!F64+'[3]Feb ext legal'!F64+'[3]Mar ext legal'!F64+'[3]Apr ext legal'!F64+'[3]May ext legal'!F64+'[3]Jun ext legal'!F64+'[3]Jul ext legal'!F64</f>
        <v>0</v>
      </c>
      <c r="G64" s="93">
        <f>+'[3]Jan ext legal'!G64+'[3]Feb ext legal'!G64+'[3]Mar ext legal'!G64+'[3]Apr ext legal'!G64+'[3]May ext legal'!G64+'[3]Jun ext legal'!G64+'[3]Jul ext legal'!G64</f>
        <v>0</v>
      </c>
      <c r="H64" s="94">
        <f>+'[3]Jan ext legal'!H64+'[3]Feb ext legal'!H64+'[3]Mar ext legal'!H64+'[3]Apr ext legal'!H64+'[3]May ext legal'!H64+'[3]Jun ext legal'!H64+'[3]Jul ext legal'!H64</f>
        <v>3834.58</v>
      </c>
      <c r="I64" s="93">
        <f>+'[3]Jan ext legal'!I64+'[3]Feb ext legal'!I64+'[3]Mar ext legal'!I64+'[3]Apr ext legal'!I64+'[3]May ext legal'!I64+'[3]Jun ext legal'!I64+'[3]Jul ext legal'!I64</f>
        <v>0</v>
      </c>
      <c r="J64" s="94">
        <f>+'[3]Jan ext legal'!K64+'[3]Feb ext legal'!K64+'[3]Mar ext legal'!K64+'[3]Apr ext legal'!K64+'[3]May ext legal'!K64+'[3]Jun ext legal'!K64+'[3]Jul ext legal'!K64</f>
        <v>0</v>
      </c>
      <c r="K64" s="94">
        <f>+'[3]Jan ext legal'!L64+'[3]Feb ext legal'!L64+'[3]Mar ext legal'!L64+'[3]Apr ext legal'!L64+'[3]May ext legal'!L64+'[3]Jun ext legal'!L64+'[3]Jul ext legal'!L64</f>
        <v>0</v>
      </c>
      <c r="L64" s="94">
        <f>+'[3]Jan ext legal'!M64+'[3]Feb ext legal'!M64+'[3]Mar ext legal'!M64+'[3]Apr ext legal'!M64+'[3]May ext legal'!M64+'[3]Jun ext legal'!M64+'[3]Jul ext legal'!M64</f>
        <v>0</v>
      </c>
      <c r="M64" s="96">
        <f t="shared" si="0"/>
        <v>3.2678316528806744E-4</v>
      </c>
      <c r="N64" s="96">
        <f t="shared" si="1"/>
        <v>2848.1357301409794</v>
      </c>
      <c r="O64" s="95"/>
      <c r="P64" s="96">
        <f t="shared" si="2"/>
        <v>6682.7157301409788</v>
      </c>
    </row>
    <row r="65" spans="1:18" s="91" customFormat="1" ht="10.199999999999999" hidden="1" x14ac:dyDescent="0.2">
      <c r="A65" s="92">
        <v>107452</v>
      </c>
      <c r="B65" s="91" t="s">
        <v>196</v>
      </c>
      <c r="C65" s="91" t="s">
        <v>197</v>
      </c>
      <c r="D65" s="192">
        <v>0</v>
      </c>
      <c r="E65" s="93">
        <f>+'[3]Jan ext legal'!E65+'[3]Feb ext legal'!E65+'[3]Mar ext legal'!E65+'[3]Apr ext legal'!E65+'[3]May ext legal'!E65+'[3]Jun ext legal'!E65+'[3]Jul ext legal'!E65</f>
        <v>0</v>
      </c>
      <c r="F65" s="94">
        <f>+'[3]Jan ext legal'!F65+'[3]Feb ext legal'!F65+'[3]Mar ext legal'!F65+'[3]Apr ext legal'!F65+'[3]May ext legal'!F65+'[3]Jun ext legal'!F65+'[3]Jul ext legal'!F65</f>
        <v>0</v>
      </c>
      <c r="G65" s="93">
        <f>+'[3]Jan ext legal'!G65+'[3]Feb ext legal'!G65+'[3]Mar ext legal'!G65+'[3]Apr ext legal'!G65+'[3]May ext legal'!G65+'[3]Jun ext legal'!G65+'[3]Jul ext legal'!G65</f>
        <v>0</v>
      </c>
      <c r="H65" s="94">
        <f>+'[3]Jan ext legal'!H65+'[3]Feb ext legal'!H65+'[3]Mar ext legal'!H65+'[3]Apr ext legal'!H65+'[3]May ext legal'!H65+'[3]Jun ext legal'!H65+'[3]Jul ext legal'!H65</f>
        <v>0</v>
      </c>
      <c r="I65" s="93">
        <f>+'[3]Jan ext legal'!I65+'[3]Feb ext legal'!I65+'[3]Mar ext legal'!I65+'[3]Apr ext legal'!I65+'[3]May ext legal'!I65+'[3]Jun ext legal'!I65+'[3]Jul ext legal'!I65</f>
        <v>0</v>
      </c>
      <c r="J65" s="94">
        <f>+'[3]Jan ext legal'!K65+'[3]Feb ext legal'!K65+'[3]Mar ext legal'!K65+'[3]Apr ext legal'!K65+'[3]May ext legal'!K65+'[3]Jun ext legal'!K65+'[3]Jul ext legal'!K65</f>
        <v>0</v>
      </c>
      <c r="K65" s="94">
        <f>+'[3]Jan ext legal'!L65+'[3]Feb ext legal'!L65+'[3]Mar ext legal'!L65+'[3]Apr ext legal'!L65+'[3]May ext legal'!L65+'[3]Jun ext legal'!L65+'[3]Jul ext legal'!L65</f>
        <v>0</v>
      </c>
      <c r="L65" s="94">
        <f>+'[3]Jan ext legal'!M65+'[3]Feb ext legal'!M65+'[3]Mar ext legal'!M65+'[3]Apr ext legal'!M65+'[3]May ext legal'!M65+'[3]Jun ext legal'!M65+'[3]Jul ext legal'!M65</f>
        <v>0</v>
      </c>
      <c r="M65" s="96">
        <f t="shared" si="0"/>
        <v>0</v>
      </c>
      <c r="N65" s="96">
        <f t="shared" si="1"/>
        <v>0</v>
      </c>
      <c r="O65" s="95"/>
      <c r="P65" s="96">
        <f t="shared" si="2"/>
        <v>0</v>
      </c>
    </row>
    <row r="66" spans="1:18" s="91" customFormat="1" ht="10.199999999999999" x14ac:dyDescent="0.2">
      <c r="A66" s="83">
        <v>120484</v>
      </c>
      <c r="B66" s="85" t="s">
        <v>198</v>
      </c>
      <c r="C66" s="85"/>
      <c r="D66" s="191">
        <v>1457909.08</v>
      </c>
      <c r="E66" s="87">
        <f>+'[3]Jan ext legal'!E66+'[3]Feb ext legal'!E66+'[3]Mar ext legal'!E66+'[3]Apr ext legal'!E66+'[3]May ext legal'!E66+'[3]Jun ext legal'!E66+'[3]Jul ext legal'!E66</f>
        <v>91203.409999999989</v>
      </c>
      <c r="F66" s="88">
        <f>+'[3]Jan ext legal'!F66+'[3]Feb ext legal'!F66+'[3]Mar ext legal'!F66+'[3]Apr ext legal'!F66+'[3]May ext legal'!F66+'[3]Jun ext legal'!F66+'[3]Jul ext legal'!F66</f>
        <v>0</v>
      </c>
      <c r="G66" s="87">
        <f>+'[3]Jan ext legal'!G66+'[3]Feb ext legal'!G66+'[3]Mar ext legal'!G66+'[3]Apr ext legal'!G66+'[3]May ext legal'!G66+'[3]Jun ext legal'!G66+'[3]Jul ext legal'!G66</f>
        <v>534904.54</v>
      </c>
      <c r="H66" s="88">
        <f>+'[3]Jan ext legal'!H66+'[3]Feb ext legal'!H66+'[3]Mar ext legal'!H66+'[3]Apr ext legal'!H66+'[3]May ext legal'!H66+'[3]Jun ext legal'!H66+'[3]Jul ext legal'!H66</f>
        <v>117396.73</v>
      </c>
      <c r="I66" s="87">
        <f>+'[3]Jan ext legal'!I66+'[3]Feb ext legal'!I66+'[3]Mar ext legal'!I66+'[3]Apr ext legal'!I66+'[3]May ext legal'!I66+'[3]Jun ext legal'!I66+'[3]Jul ext legal'!I66</f>
        <v>713941.5</v>
      </c>
      <c r="J66" s="88">
        <f>+'[3]Jan ext legal'!K66+'[3]Feb ext legal'!K66+'[3]Mar ext legal'!K66+'[3]Apr ext legal'!K66+'[3]May ext legal'!K66+'[3]Jun ext legal'!K66+'[3]Jul ext legal'!K66</f>
        <v>462.9</v>
      </c>
      <c r="K66" s="88">
        <f>+'[3]Jan ext legal'!L66+'[3]Feb ext legal'!L66+'[3]Mar ext legal'!L66+'[3]Apr ext legal'!L66+'[3]May ext legal'!L66+'[3]Jun ext legal'!L66+'[3]Jul ext legal'!L66</f>
        <v>0</v>
      </c>
      <c r="L66" s="88">
        <f>+'[3]Jan ext legal'!M66+'[3]Feb ext legal'!M66+'[3]Mar ext legal'!M66+'[3]Apr ext legal'!M66+'[3]May ext legal'!M66+'[3]Jun ext legal'!M66+'[3]Jul ext legal'!M66</f>
        <v>0</v>
      </c>
      <c r="M66" s="89">
        <f t="shared" si="0"/>
        <v>0.1242431097707218</v>
      </c>
      <c r="N66" s="89">
        <f t="shared" si="1"/>
        <v>1082862.5148112606</v>
      </c>
      <c r="O66" s="90"/>
      <c r="P66" s="89">
        <f t="shared" si="2"/>
        <v>2540771.5948112607</v>
      </c>
    </row>
    <row r="67" spans="1:18" s="91" customFormat="1" ht="10.199999999999999" x14ac:dyDescent="0.2">
      <c r="A67" s="83">
        <v>121125</v>
      </c>
      <c r="B67" s="85" t="s">
        <v>199</v>
      </c>
      <c r="C67" s="85"/>
      <c r="D67" s="191">
        <v>108674.32</v>
      </c>
      <c r="E67" s="87">
        <f>+'[3]Jan ext legal'!E67+'[3]Feb ext legal'!E67+'[3]Mar ext legal'!E67+'[3]Apr ext legal'!E67+'[3]May ext legal'!E67+'[3]Jun ext legal'!E67+'[3]Jul ext legal'!E67</f>
        <v>108674.32</v>
      </c>
      <c r="F67" s="88">
        <f>+'[3]Jan ext legal'!F67+'[3]Feb ext legal'!F67+'[3]Mar ext legal'!F67+'[3]Apr ext legal'!F67+'[3]May ext legal'!F67+'[3]Jun ext legal'!F67+'[3]Jul ext legal'!F67</f>
        <v>0</v>
      </c>
      <c r="G67" s="87">
        <f>+'[3]Jan ext legal'!G67+'[3]Feb ext legal'!G67+'[3]Mar ext legal'!G67+'[3]Apr ext legal'!G67+'[3]May ext legal'!G67+'[3]Jun ext legal'!G67+'[3]Jul ext legal'!G67</f>
        <v>0</v>
      </c>
      <c r="H67" s="88">
        <f>+'[3]Jan ext legal'!H67+'[3]Feb ext legal'!H67+'[3]Mar ext legal'!H67+'[3]Apr ext legal'!H67+'[3]May ext legal'!H67+'[3]Jun ext legal'!H67+'[3]Jul ext legal'!H67</f>
        <v>0</v>
      </c>
      <c r="I67" s="87">
        <f>+'[3]Jan ext legal'!I67+'[3]Feb ext legal'!I67+'[3]Mar ext legal'!I67+'[3]Apr ext legal'!I67+'[3]May ext legal'!I67+'[3]Jun ext legal'!I67+'[3]Jul ext legal'!I67</f>
        <v>0</v>
      </c>
      <c r="J67" s="88">
        <f>+'[3]Jan ext legal'!K67+'[3]Feb ext legal'!K67+'[3]Mar ext legal'!K67+'[3]Apr ext legal'!K67+'[3]May ext legal'!K67+'[3]Jun ext legal'!K67+'[3]Jul ext legal'!K67</f>
        <v>0</v>
      </c>
      <c r="K67" s="88">
        <f>+'[3]Jan ext legal'!L67+'[3]Feb ext legal'!L67+'[3]Mar ext legal'!L67+'[3]Apr ext legal'!L67+'[3]May ext legal'!L67+'[3]Jun ext legal'!L67+'[3]Jul ext legal'!L67</f>
        <v>0</v>
      </c>
      <c r="L67" s="88">
        <f>+'[3]Jan ext legal'!M67+'[3]Feb ext legal'!M67+'[3]Mar ext legal'!M67+'[3]Apr ext legal'!M67+'[3]May ext legal'!M67+'[3]Jun ext legal'!M67+'[3]Jul ext legal'!M67</f>
        <v>0</v>
      </c>
      <c r="M67" s="89">
        <f t="shared" si="0"/>
        <v>9.2612328534359273E-3</v>
      </c>
      <c r="N67" s="89">
        <f t="shared" si="1"/>
        <v>80717.891852764704</v>
      </c>
      <c r="O67" s="90"/>
      <c r="P67" s="89">
        <f t="shared" si="2"/>
        <v>189392.21185276471</v>
      </c>
    </row>
    <row r="68" spans="1:18" s="91" customFormat="1" ht="10.199999999999999" x14ac:dyDescent="0.2">
      <c r="A68" s="83">
        <v>140167</v>
      </c>
      <c r="B68" s="85" t="s">
        <v>200</v>
      </c>
      <c r="C68" s="85"/>
      <c r="D68" s="191">
        <v>202208.31</v>
      </c>
      <c r="E68" s="87">
        <f>+'[3]Jan ext legal'!E69+'[3]Feb ext legal'!E69+'[3]Mar ext legal'!E69+'[3]Apr ext legal'!E69+'[3]May ext legal'!E69+'[3]Jun ext legal'!E69+'[3]Jul ext legal'!E69</f>
        <v>139054.60999999999</v>
      </c>
      <c r="F68" s="88">
        <f>+'[3]Jan ext legal'!F69+'[3]Feb ext legal'!F69+'[3]Mar ext legal'!F69+'[3]Apr ext legal'!F69+'[3]May ext legal'!F69+'[3]Jun ext legal'!F69+'[3]Jul ext legal'!F69</f>
        <v>0</v>
      </c>
      <c r="G68" s="87">
        <f>+'[3]Jan ext legal'!G69+'[3]Feb ext legal'!G69+'[3]Mar ext legal'!G69+'[3]Apr ext legal'!G69+'[3]May ext legal'!G69+'[3]Jun ext legal'!G69+'[3]Jul ext legal'!G69</f>
        <v>0</v>
      </c>
      <c r="H68" s="88">
        <f>+'[3]Jan ext legal'!H69+'[3]Feb ext legal'!H69+'[3]Mar ext legal'!H69+'[3]Apr ext legal'!H69+'[3]May ext legal'!H69+'[3]Jun ext legal'!H69+'[3]Jul ext legal'!H69</f>
        <v>63153.7</v>
      </c>
      <c r="I68" s="87">
        <f>+'[3]Jan ext legal'!I69+'[3]Feb ext legal'!I69+'[3]Mar ext legal'!I69+'[3]Apr ext legal'!I69+'[3]May ext legal'!I69+'[3]Jun ext legal'!I69+'[3]Jul ext legal'!I69</f>
        <v>0</v>
      </c>
      <c r="J68" s="88">
        <f>+'[3]Jan ext legal'!K69+'[3]Feb ext legal'!K69+'[3]Mar ext legal'!K69+'[3]Apr ext legal'!K69+'[3]May ext legal'!K69+'[3]Jun ext legal'!K69+'[3]Jul ext legal'!K69</f>
        <v>0</v>
      </c>
      <c r="K68" s="88">
        <f>+'[3]Jan ext legal'!L69+'[3]Feb ext legal'!L69+'[3]Mar ext legal'!L69+'[3]Apr ext legal'!L69+'[3]May ext legal'!L69+'[3]Jun ext legal'!L69+'[3]Jul ext legal'!L69</f>
        <v>0</v>
      </c>
      <c r="L68" s="88">
        <f>+'[3]Jan ext legal'!M69+'[3]Feb ext legal'!M69+'[3]Mar ext legal'!M69+'[3]Apr ext legal'!M69+'[3]May ext legal'!M69+'[3]Jun ext legal'!M69+'[3]Jul ext legal'!M69</f>
        <v>0</v>
      </c>
      <c r="M68" s="89">
        <f t="shared" si="0"/>
        <v>1.7232205766824733E-2</v>
      </c>
      <c r="N68" s="89">
        <f t="shared" si="1"/>
        <v>150190.29793156579</v>
      </c>
      <c r="O68" s="90"/>
      <c r="P68" s="89">
        <f t="shared" si="2"/>
        <v>352398.60793156578</v>
      </c>
    </row>
    <row r="69" spans="1:18" s="91" customFormat="1" ht="10.199999999999999" hidden="1" x14ac:dyDescent="0.2">
      <c r="A69" s="83">
        <v>140399</v>
      </c>
      <c r="B69" s="85" t="s">
        <v>201</v>
      </c>
      <c r="C69" s="85"/>
      <c r="D69" s="191">
        <v>0</v>
      </c>
      <c r="E69" s="87">
        <f>+'[3]Jan ext legal'!E70+'[3]Feb ext legal'!E70+'[3]Mar ext legal'!E70+'[3]Apr ext legal'!E70+'[3]May ext legal'!E70+'[3]Jun ext legal'!E70+'[3]Jul ext legal'!E70</f>
        <v>135528.45999999996</v>
      </c>
      <c r="F69" s="88">
        <f>+'[3]Jan ext legal'!F70+'[3]Feb ext legal'!F70+'[3]Mar ext legal'!F70+'[3]Apr ext legal'!F70+'[3]May ext legal'!F70+'[3]Jun ext legal'!F70+'[3]Jul ext legal'!F70</f>
        <v>21759.96</v>
      </c>
      <c r="G69" s="87">
        <f>+'[3]Jan ext legal'!G70+'[3]Feb ext legal'!G70+'[3]Mar ext legal'!G70+'[3]Apr ext legal'!G70+'[3]May ext legal'!G70+'[3]Jun ext legal'!G70+'[3]Jul ext legal'!G70</f>
        <v>0</v>
      </c>
      <c r="H69" s="88">
        <f>+'[3]Jan ext legal'!H70+'[3]Feb ext legal'!H70+'[3]Mar ext legal'!H70+'[3]Apr ext legal'!H70+'[3]May ext legal'!H70+'[3]Jun ext legal'!H70+'[3]Jul ext legal'!H70</f>
        <v>0</v>
      </c>
      <c r="I69" s="87">
        <f>+'[3]Jan ext legal'!I70+'[3]Feb ext legal'!I70+'[3]Mar ext legal'!I70+'[3]Apr ext legal'!I70+'[3]May ext legal'!I70+'[3]Jun ext legal'!I70+'[3]Jul ext legal'!I70</f>
        <v>0</v>
      </c>
      <c r="J69" s="88">
        <f>+'[3]Jan ext legal'!K70+'[3]Feb ext legal'!K70+'[3]Mar ext legal'!K70+'[3]Apr ext legal'!K70+'[3]May ext legal'!K70+'[3]Jun ext legal'!K70+'[3]Jul ext legal'!K70</f>
        <v>0</v>
      </c>
      <c r="K69" s="88">
        <f>+'[3]Jan ext legal'!L70+'[3]Feb ext legal'!L70+'[3]Mar ext legal'!L70+'[3]Apr ext legal'!L70+'[3]May ext legal'!L70+'[3]Jun ext legal'!L70+'[3]Jul ext legal'!L70</f>
        <v>0</v>
      </c>
      <c r="L69" s="88">
        <f>+'[3]Jan ext legal'!M70+'[3]Feb ext legal'!M70+'[3]Mar ext legal'!M70+'[3]Apr ext legal'!M70+'[3]May ext legal'!M70+'[3]Jun ext legal'!M70+'[3]Jul ext legal'!M70</f>
        <v>0</v>
      </c>
      <c r="M69" s="89">
        <f t="shared" si="0"/>
        <v>0</v>
      </c>
      <c r="N69" s="89">
        <f t="shared" si="1"/>
        <v>0</v>
      </c>
      <c r="O69" s="90"/>
      <c r="P69" s="89">
        <f t="shared" si="2"/>
        <v>0</v>
      </c>
    </row>
    <row r="70" spans="1:18" s="91" customFormat="1" ht="10.199999999999999" hidden="1" x14ac:dyDescent="0.2">
      <c r="A70" s="83">
        <v>140402</v>
      </c>
      <c r="B70" s="85" t="s">
        <v>202</v>
      </c>
      <c r="C70" s="85" t="s">
        <v>203</v>
      </c>
      <c r="D70" s="191">
        <v>0</v>
      </c>
      <c r="E70" s="87">
        <f>+'[3]Jan ext legal'!E71+'[3]Feb ext legal'!E71+'[3]Mar ext legal'!E71+'[3]Apr ext legal'!E71+'[3]May ext legal'!E71+'[3]Jun ext legal'!E71+'[3]Jul ext legal'!E71</f>
        <v>183695.56999999998</v>
      </c>
      <c r="F70" s="88">
        <f>+'[3]Jan ext legal'!F71+'[3]Feb ext legal'!F71+'[3]Mar ext legal'!F71+'[3]Apr ext legal'!F71+'[3]May ext legal'!F71+'[3]Jun ext legal'!F71+'[3]Jul ext legal'!F71</f>
        <v>0</v>
      </c>
      <c r="G70" s="87">
        <f>+'[3]Jan ext legal'!G71+'[3]Feb ext legal'!G71+'[3]Mar ext legal'!G71+'[3]Apr ext legal'!G71+'[3]May ext legal'!G71+'[3]Jun ext legal'!G71+'[3]Jul ext legal'!G71</f>
        <v>1999010.1</v>
      </c>
      <c r="H70" s="88">
        <f>+'[3]Jan ext legal'!H71+'[3]Feb ext legal'!H71+'[3]Mar ext legal'!H71+'[3]Apr ext legal'!H71+'[3]May ext legal'!H71+'[3]Jun ext legal'!H71+'[3]Jul ext legal'!H71</f>
        <v>0</v>
      </c>
      <c r="I70" s="87">
        <f>+'[3]Jan ext legal'!I71+'[3]Feb ext legal'!I71+'[3]Mar ext legal'!I71+'[3]Apr ext legal'!I71+'[3]May ext legal'!I71+'[3]Jun ext legal'!I71+'[3]Jul ext legal'!I71</f>
        <v>0</v>
      </c>
      <c r="J70" s="88">
        <f>+'[3]Jan ext legal'!K71+'[3]Feb ext legal'!K71+'[3]Mar ext legal'!K71+'[3]Apr ext legal'!K71+'[3]May ext legal'!K71+'[3]Jun ext legal'!K71+'[3]Jul ext legal'!K71</f>
        <v>0</v>
      </c>
      <c r="K70" s="88">
        <f>+'[3]Jan ext legal'!L71+'[3]Feb ext legal'!L71+'[3]Mar ext legal'!L71+'[3]Apr ext legal'!L71+'[3]May ext legal'!L71+'[3]Jun ext legal'!L71+'[3]Jul ext legal'!L71</f>
        <v>0</v>
      </c>
      <c r="L70" s="88">
        <f>+'[3]Jan ext legal'!M71+'[3]Feb ext legal'!M71+'[3]Mar ext legal'!M71+'[3]Apr ext legal'!M71+'[3]May ext legal'!M71+'[3]Jun ext legal'!M71+'[3]Jul ext legal'!M71</f>
        <v>0</v>
      </c>
      <c r="M70" s="89">
        <f>+D70/D$73</f>
        <v>0</v>
      </c>
      <c r="N70" s="89">
        <f>+N$4*M70</f>
        <v>0</v>
      </c>
      <c r="O70" s="90"/>
      <c r="P70" s="89">
        <f>SUM(D70+N70)</f>
        <v>0</v>
      </c>
    </row>
    <row r="71" spans="1:18" s="91" customFormat="1" ht="10.199999999999999" x14ac:dyDescent="0.2">
      <c r="A71" s="92">
        <v>150164</v>
      </c>
      <c r="B71" s="91" t="s">
        <v>204</v>
      </c>
      <c r="C71" s="85"/>
      <c r="D71" s="192">
        <v>335.25</v>
      </c>
      <c r="E71" s="93">
        <f>+'[3]Jan ext legal'!E72+'[3]Feb ext legal'!E72+'[3]Mar ext legal'!E72+'[3]Apr ext legal'!E72+'[3]May ext legal'!E72+'[3]Jun ext legal'!E72+'[3]Jul ext legal'!E72</f>
        <v>335.25</v>
      </c>
      <c r="F71" s="94">
        <f>+'[3]Jan ext legal'!F72+'[3]Feb ext legal'!F72+'[3]Mar ext legal'!F72+'[3]Apr ext legal'!F72+'[3]May ext legal'!F72+'[3]Jun ext legal'!F72+'[3]Jul ext legal'!F72</f>
        <v>0</v>
      </c>
      <c r="G71" s="93">
        <f>+'[3]Jan ext legal'!G72+'[3]Feb ext legal'!G72+'[3]Mar ext legal'!G72+'[3]Apr ext legal'!G72+'[3]May ext legal'!G72+'[3]Jun ext legal'!G72+'[3]Jul ext legal'!G72</f>
        <v>0</v>
      </c>
      <c r="H71" s="94">
        <f>+'[3]Jan ext legal'!H72+'[3]Feb ext legal'!H72+'[3]Mar ext legal'!H72+'[3]Apr ext legal'!H72+'[3]May ext legal'!H72+'[3]Jun ext legal'!H72+'[3]Jul ext legal'!H72</f>
        <v>0</v>
      </c>
      <c r="I71" s="93">
        <f>+'[3]Jan ext legal'!I72+'[3]Feb ext legal'!I72+'[3]Mar ext legal'!I72+'[3]Apr ext legal'!I72+'[3]May ext legal'!I72+'[3]Jun ext legal'!I72+'[3]Jul ext legal'!I72</f>
        <v>0</v>
      </c>
      <c r="J71" s="94">
        <f>+'[3]Jan ext legal'!K72+'[3]Feb ext legal'!K72+'[3]Mar ext legal'!K72+'[3]Apr ext legal'!K72+'[3]May ext legal'!K72+'[3]Jun ext legal'!K72+'[3]Jul ext legal'!K72</f>
        <v>0</v>
      </c>
      <c r="K71" s="94">
        <f>+'[3]Jan ext legal'!L72+'[3]Feb ext legal'!L72+'[3]Mar ext legal'!L72+'[3]Apr ext legal'!L72+'[3]May ext legal'!L72+'[3]Jun ext legal'!L72+'[3]Jul ext legal'!L72</f>
        <v>0</v>
      </c>
      <c r="L71" s="94">
        <f>+'[3]Jan ext legal'!M72+'[3]Feb ext legal'!M72+'[3]Mar ext legal'!M72+'[3]Apr ext legal'!M72+'[3]May ext legal'!M72+'[3]Jun ext legal'!M72+'[3]Jul ext legal'!M72</f>
        <v>0</v>
      </c>
      <c r="M71" s="96">
        <f>+D71/D$73</f>
        <v>2.8570027529175194E-5</v>
      </c>
      <c r="N71" s="96">
        <f>+N$4*M71</f>
        <v>249.00706297163271</v>
      </c>
      <c r="O71" s="95"/>
      <c r="P71" s="96">
        <f>SUM(D71+N71)</f>
        <v>584.25706297163265</v>
      </c>
    </row>
    <row r="72" spans="1:18" s="91" customFormat="1" ht="10.8" thickBot="1" x14ac:dyDescent="0.25">
      <c r="A72" s="100">
        <v>150249</v>
      </c>
      <c r="B72" s="101" t="s">
        <v>205</v>
      </c>
      <c r="C72" s="85" t="s">
        <v>114</v>
      </c>
      <c r="D72" s="191">
        <v>142503.79999999999</v>
      </c>
      <c r="E72" s="87">
        <f>+'[3]Jan ext legal'!E73+'[3]Feb ext legal'!E73+'[3]Mar ext legal'!E73+'[3]Apr ext legal'!E73+'[3]May ext legal'!E73+'[3]Jun ext legal'!E73+'[3]Jul ext legal'!E73</f>
        <v>2990.73</v>
      </c>
      <c r="F72" s="88">
        <f>+'[3]Jan ext legal'!F73+'[3]Feb ext legal'!F73+'[3]Mar ext legal'!F73+'[3]Apr ext legal'!F73+'[3]May ext legal'!F73+'[3]Jun ext legal'!F73+'[3]Jul ext legal'!F73</f>
        <v>139513.07</v>
      </c>
      <c r="G72" s="87">
        <f>+'[3]Jan ext legal'!G73+'[3]Feb ext legal'!G73+'[3]Mar ext legal'!G73+'[3]Apr ext legal'!G73+'[3]May ext legal'!G73+'[3]Jun ext legal'!G73+'[3]Jul ext legal'!G73</f>
        <v>0</v>
      </c>
      <c r="H72" s="102">
        <f>+'[3]Jan ext legal'!H73+'[3]Feb ext legal'!H73+'[3]Mar ext legal'!H73+'[3]Apr ext legal'!H73+'[3]May ext legal'!H73+'[3]Jun ext legal'!H73+'[3]Jul ext legal'!H73</f>
        <v>0</v>
      </c>
      <c r="I72" s="87">
        <f>+'[3]Jan ext legal'!I73+'[3]Feb ext legal'!I73+'[3]Mar ext legal'!I73+'[3]Apr ext legal'!I73+'[3]May ext legal'!I73+'[3]Jun ext legal'!I73+'[3]Jul ext legal'!I73</f>
        <v>0</v>
      </c>
      <c r="J72" s="88">
        <f>+'[3]Jan ext legal'!K73+'[3]Feb ext legal'!K73+'[3]Mar ext legal'!K73+'[3]Apr ext legal'!K73+'[3]May ext legal'!K73+'[3]Jun ext legal'!K73+'[3]Jul ext legal'!K73</f>
        <v>0</v>
      </c>
      <c r="K72" s="102">
        <f>+'[3]Jan ext legal'!L73+'[3]Feb ext legal'!L73+'[3]Mar ext legal'!L73+'[3]Apr ext legal'!L73+'[3]May ext legal'!L73+'[3]Jun ext legal'!L73+'[3]Jul ext legal'!L73</f>
        <v>0</v>
      </c>
      <c r="L72" s="102">
        <f>+'[3]Jan ext legal'!M73+'[3]Feb ext legal'!M73+'[3]Mar ext legal'!M73+'[3]Apr ext legal'!M73+'[3]May ext legal'!M73+'[3]Jun ext legal'!M73+'[3]Jul ext legal'!M73</f>
        <v>0</v>
      </c>
      <c r="M72" s="89">
        <f>+D72/D$73</f>
        <v>1.2144183412414841E-2</v>
      </c>
      <c r="N72" s="89">
        <f>+N$4*M72</f>
        <v>105844.75078388352</v>
      </c>
      <c r="O72" s="90"/>
      <c r="P72" s="89">
        <f>SUM(D72+N72)</f>
        <v>248348.55078388349</v>
      </c>
    </row>
    <row r="73" spans="1:18" ht="13.8" thickBot="1" x14ac:dyDescent="0.3">
      <c r="B73" s="103"/>
      <c r="C73" s="103"/>
      <c r="D73" s="104">
        <f t="shared" ref="D73:N73" si="3">SUM(D6:D72)</f>
        <v>11734325.41</v>
      </c>
      <c r="E73" s="105">
        <f t="shared" si="3"/>
        <v>3003906.5899999989</v>
      </c>
      <c r="F73" s="106">
        <f t="shared" si="3"/>
        <v>2650347.8499999996</v>
      </c>
      <c r="G73" s="107">
        <f t="shared" si="3"/>
        <v>6149658.2800000003</v>
      </c>
      <c r="H73" s="106">
        <f t="shared" si="3"/>
        <v>282290.55</v>
      </c>
      <c r="I73" s="108">
        <f t="shared" si="3"/>
        <v>944280.11</v>
      </c>
      <c r="J73" s="106">
        <f t="shared" si="3"/>
        <v>48058.65</v>
      </c>
      <c r="K73" s="106">
        <f t="shared" si="3"/>
        <v>1128832.97</v>
      </c>
      <c r="L73" s="106">
        <f t="shared" si="3"/>
        <v>7792.82</v>
      </c>
      <c r="M73" s="104">
        <f>+D73/D$73</f>
        <v>1</v>
      </c>
      <c r="N73" s="104">
        <f t="shared" si="3"/>
        <v>8715674.5899999999</v>
      </c>
      <c r="O73" s="110"/>
      <c r="P73" s="104">
        <f>SUM(P6:P72)</f>
        <v>20450000</v>
      </c>
    </row>
    <row r="74" spans="1:18" s="91" customFormat="1" ht="10.199999999999999" x14ac:dyDescent="0.2">
      <c r="A74" s="83"/>
      <c r="B74" s="85" t="s">
        <v>285</v>
      </c>
      <c r="C74" s="85" t="s">
        <v>114</v>
      </c>
      <c r="D74" s="193">
        <f>5000000/12*7</f>
        <v>2916666.666666667</v>
      </c>
      <c r="E74" s="193">
        <v>0</v>
      </c>
      <c r="F74" s="194">
        <f>+'[3]Jan ext legal'!F76+'[3]Feb ext legal'!F76+'[3]Mar ext legal'!F76+'[3]Apr ext legal'!F76+'[3]May ext legal'!F76+'[3]Jun ext legal'!F76+'[3]Jul ext legal'!F76</f>
        <v>0</v>
      </c>
      <c r="G74" s="193">
        <f>+'[3]Jan ext legal'!G76+'[3]Feb ext legal'!G76+'[3]Mar ext legal'!G76+'[3]Apr ext legal'!G76+'[3]May ext legal'!G76+'[3]Jun ext legal'!G76+'[3]Jul ext legal'!G76</f>
        <v>0</v>
      </c>
      <c r="H74" s="194">
        <f>+'[3]Jan ext legal'!H76+'[3]Feb ext legal'!H76+'[3]Mar ext legal'!H76+'[3]Apr ext legal'!H76+'[3]May ext legal'!H76+'[3]Jun ext legal'!H76+'[3]Jul ext legal'!H76</f>
        <v>0</v>
      </c>
      <c r="I74" s="193">
        <f>+'[3]Jan ext legal'!I76+'[3]Feb ext legal'!I76+'[3]Mar ext legal'!I76+'[3]Apr ext legal'!I76+'[3]May ext legal'!I76+'[3]Jun ext legal'!I76+'[3]Jul ext legal'!I76</f>
        <v>0</v>
      </c>
      <c r="J74" s="194">
        <f>+'[3]Jan ext legal'!K76+'[3]Feb ext legal'!K76+'[3]Mar ext legal'!K76+'[3]Apr ext legal'!K76+'[3]May ext legal'!K76+'[3]Jun ext legal'!K76+'[3]Jul ext legal'!K76</f>
        <v>0</v>
      </c>
      <c r="K74" s="194">
        <f>+'[3]Jan ext legal'!L76+'[3]Feb ext legal'!L76+'[3]Mar ext legal'!L76+'[3]Apr ext legal'!L76+'[3]May ext legal'!L76+'[3]Jun ext legal'!L76+'[3]Jul ext legal'!L76</f>
        <v>0</v>
      </c>
      <c r="L74" s="194">
        <f>+'[3]Jan ext legal'!M76+'[3]Feb ext legal'!M76+'[3]Mar ext legal'!M76+'[3]Apr ext legal'!M76+'[3]May ext legal'!M76+'[3]Jun ext legal'!M76+'[3]Jul ext legal'!M76</f>
        <v>0</v>
      </c>
      <c r="M74" s="195"/>
      <c r="N74" s="193">
        <f>5000000/12*5</f>
        <v>2083333.3333333335</v>
      </c>
      <c r="O74" s="85"/>
      <c r="P74" s="87">
        <f>SUM(D74:N74)</f>
        <v>5000000</v>
      </c>
      <c r="Q74" s="91" t="s">
        <v>69</v>
      </c>
      <c r="R74" s="97" t="s">
        <v>286</v>
      </c>
    </row>
    <row r="75" spans="1:18" s="91" customFormat="1" ht="10.199999999999999" x14ac:dyDescent="0.2">
      <c r="A75" s="83">
        <v>104151</v>
      </c>
      <c r="B75" s="85" t="s">
        <v>118</v>
      </c>
      <c r="C75" s="85" t="s">
        <v>119</v>
      </c>
      <c r="D75" s="193">
        <f>5000000/12*7</f>
        <v>2916666.666666667</v>
      </c>
      <c r="E75" s="193">
        <f>+'[3]Jan ext legal'!E75+'[3]Feb ext legal'!E75+'[3]Mar ext legal'!E75+'[3]Apr ext legal'!E75+'[3]May ext legal'!E75+'[3]Jun ext legal'!E75+'[3]Jul ext legal'!E75</f>
        <v>0</v>
      </c>
      <c r="F75" s="194">
        <f>+'[3]Jan ext legal'!F75+'[3]Feb ext legal'!F75+'[3]Mar ext legal'!F75+'[3]Apr ext legal'!F75+'[3]May ext legal'!F75+'[3]Jun ext legal'!F75+'[3]Jul ext legal'!F75</f>
        <v>0</v>
      </c>
      <c r="G75" s="193">
        <f>+'[3]Jan ext legal'!G75+'[3]Feb ext legal'!G75+'[3]Mar ext legal'!G75+'[3]Apr ext legal'!G75+'[3]May ext legal'!G75+'[3]Jun ext legal'!G75+'[3]Jul ext legal'!G75</f>
        <v>0</v>
      </c>
      <c r="H75" s="194">
        <f>+'[3]Jan ext legal'!H75+'[3]Feb ext legal'!H75+'[3]Mar ext legal'!H75+'[3]Apr ext legal'!H75+'[3]May ext legal'!H75+'[3]Jun ext legal'!H75+'[3]Jul ext legal'!H75</f>
        <v>0</v>
      </c>
      <c r="I75" s="193">
        <f>+'[3]Jan ext legal'!I75+'[3]Feb ext legal'!I75+'[3]Mar ext legal'!I75+'[3]Apr ext legal'!I75+'[3]May ext legal'!I75+'[3]Jun ext legal'!I75+'[3]Jul ext legal'!I75</f>
        <v>0</v>
      </c>
      <c r="J75" s="194">
        <f>+'[3]Jan ext legal'!K75+'[3]Feb ext legal'!K75+'[3]Mar ext legal'!K75+'[3]Apr ext legal'!K75+'[3]May ext legal'!K75+'[3]Jun ext legal'!K75+'[3]Jul ext legal'!K75</f>
        <v>0</v>
      </c>
      <c r="K75" s="194">
        <f>+'[3]Jan ext legal'!L75+'[3]Feb ext legal'!L75+'[3]Mar ext legal'!L75+'[3]Apr ext legal'!L75+'[3]May ext legal'!L75+'[3]Jun ext legal'!L75+'[3]Jul ext legal'!L75</f>
        <v>0</v>
      </c>
      <c r="L75" s="194">
        <f>+'[3]Jan ext legal'!M75+'[3]Feb ext legal'!M75+'[3]Mar ext legal'!M75+'[3]Apr ext legal'!M75+'[3]May ext legal'!M75+'[3]Jun ext legal'!M75+'[3]Jul ext legal'!M75</f>
        <v>0</v>
      </c>
      <c r="M75" s="195"/>
      <c r="N75" s="193">
        <f>5000000/12*5</f>
        <v>2083333.3333333335</v>
      </c>
      <c r="O75" s="85"/>
      <c r="P75" s="87">
        <f>SUM(D75:N75)</f>
        <v>5000000</v>
      </c>
      <c r="Q75" s="91" t="s">
        <v>58</v>
      </c>
      <c r="R75" s="97" t="s">
        <v>286</v>
      </c>
    </row>
    <row r="76" spans="1:18" s="91" customFormat="1" ht="10.8" thickBot="1" x14ac:dyDescent="0.25">
      <c r="A76" s="83" t="s">
        <v>287</v>
      </c>
      <c r="B76" s="85" t="s">
        <v>288</v>
      </c>
      <c r="C76" s="85"/>
      <c r="D76" s="193">
        <f>650000/12*7</f>
        <v>379166.66666666663</v>
      </c>
      <c r="E76" s="193"/>
      <c r="F76" s="194"/>
      <c r="G76" s="193"/>
      <c r="H76" s="194"/>
      <c r="I76" s="193"/>
      <c r="J76" s="194"/>
      <c r="K76" s="194"/>
      <c r="L76" s="194"/>
      <c r="M76" s="195"/>
      <c r="N76" s="193">
        <f>650000/12*5</f>
        <v>270833.33333333331</v>
      </c>
      <c r="O76" s="85"/>
      <c r="P76" s="87">
        <f>SUM(D76:N76)</f>
        <v>650000</v>
      </c>
      <c r="Q76" s="91" t="s">
        <v>60</v>
      </c>
      <c r="R76" s="97"/>
    </row>
    <row r="77" spans="1:18" x14ac:dyDescent="0.25">
      <c r="B77" s="196" t="s">
        <v>207</v>
      </c>
      <c r="C77" s="197"/>
      <c r="D77" s="198">
        <f>+D6+D8+D9+D10+D11+D17+D18+D66+D67+D68+D69+D70+D72+D74+D75+D76</f>
        <v>9221739.5499999989</v>
      </c>
      <c r="E77" s="197"/>
      <c r="F77" s="197"/>
      <c r="G77" s="197"/>
      <c r="H77" s="197"/>
      <c r="I77" s="197"/>
      <c r="J77" s="197"/>
      <c r="K77" s="197"/>
      <c r="L77" s="197"/>
      <c r="M77" s="197"/>
      <c r="N77" s="198">
        <f>+N6+N8+N9+N10+N11+N17+N18+N66+N67+N68+N69+N70+N72+N74+N75+N76</f>
        <v>6672613.8020091811</v>
      </c>
      <c r="O77" s="197"/>
      <c r="P77" s="199">
        <f>+P6+P8+P9+P10+P11+P17+P18+P66+P67+P68+P69+P70+P72+P74+P75+P76</f>
        <v>15894353.352009181</v>
      </c>
    </row>
    <row r="78" spans="1:18" ht="13.8" thickBot="1" x14ac:dyDescent="0.3">
      <c r="B78" s="200" t="s">
        <v>208</v>
      </c>
      <c r="C78" s="201"/>
      <c r="D78" s="202">
        <f>D13+D14+D15+D16+SUM(D19:D65)+D71</f>
        <v>8725085.8600000031</v>
      </c>
      <c r="E78" s="201"/>
      <c r="F78" s="201"/>
      <c r="G78" s="201"/>
      <c r="H78" s="201"/>
      <c r="I78" s="201"/>
      <c r="J78" s="201"/>
      <c r="K78" s="201"/>
      <c r="L78" s="201"/>
      <c r="M78" s="201"/>
      <c r="N78" s="202">
        <f>N13+N14+N15+N16+SUM(N19:N65)+N71</f>
        <v>6480560.7879908206</v>
      </c>
      <c r="O78" s="203"/>
      <c r="P78" s="57">
        <f>+P7+P12+P13+P14+P15+P16+SUM(P19:P65)+P71</f>
        <v>15205646.647990823</v>
      </c>
    </row>
    <row r="79" spans="1:18" x14ac:dyDescent="0.25">
      <c r="B79" t="s">
        <v>27</v>
      </c>
      <c r="D79" s="204">
        <f>SUM(D77:D78)</f>
        <v>17946825.410000004</v>
      </c>
      <c r="E79" s="20"/>
      <c r="F79" s="20"/>
      <c r="G79" s="20"/>
      <c r="H79" s="20"/>
      <c r="I79" s="20"/>
      <c r="J79" s="20"/>
      <c r="K79" s="20"/>
      <c r="L79" s="20"/>
      <c r="M79" s="20"/>
      <c r="N79" s="204">
        <f>SUM(N77:N78)</f>
        <v>13153174.590000002</v>
      </c>
      <c r="P79" s="204">
        <f>SUM(P77:P78)</f>
        <v>31100000.000000004</v>
      </c>
    </row>
    <row r="80" spans="1:18" x14ac:dyDescent="0.25">
      <c r="A80" s="111" t="s">
        <v>289</v>
      </c>
      <c r="C80" s="103"/>
      <c r="E80" s="114"/>
      <c r="F80" s="114"/>
      <c r="H80" s="114"/>
      <c r="J80" s="114"/>
      <c r="M80" t="s">
        <v>27</v>
      </c>
      <c r="P80" s="109">
        <f>+P79-P73-P74-P75-P76</f>
        <v>3.7252902984619141E-9</v>
      </c>
    </row>
    <row r="81" spans="1:16" x14ac:dyDescent="0.25">
      <c r="A81" s="112">
        <f>D73</f>
        <v>11734325.41</v>
      </c>
      <c r="B81" s="113" t="s">
        <v>206</v>
      </c>
      <c r="C81" s="103"/>
      <c r="D81" s="115"/>
      <c r="E81" s="114"/>
      <c r="F81" s="114"/>
      <c r="H81" s="114"/>
      <c r="J81" s="114"/>
      <c r="N81" s="115"/>
      <c r="P81" s="115"/>
    </row>
    <row r="82" spans="1:16" x14ac:dyDescent="0.25">
      <c r="A82" s="91" t="s">
        <v>290</v>
      </c>
      <c r="C82" s="103"/>
      <c r="D82" s="61"/>
      <c r="E82" s="114"/>
      <c r="F82" s="114"/>
      <c r="H82" s="114"/>
      <c r="J82" s="114"/>
      <c r="N82" s="61"/>
      <c r="P82" s="61"/>
    </row>
    <row r="83" spans="1:16" x14ac:dyDescent="0.25">
      <c r="A83" s="91" t="s">
        <v>291</v>
      </c>
      <c r="B83" s="103"/>
      <c r="C83" s="103"/>
    </row>
    <row r="84" spans="1:16" x14ac:dyDescent="0.25">
      <c r="A84" s="91" t="s">
        <v>292</v>
      </c>
    </row>
    <row r="85" spans="1:16" x14ac:dyDescent="0.25">
      <c r="A85" s="91" t="str">
        <f ca="1">CELL("filename",A1)</f>
        <v>O:\Fin_Ops\Finrpt\2002\2002 Plan\Group\[EA Alloc to Other BUs - Support.xls]Detail - Outside Legal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/>
  </sheetViews>
  <sheetFormatPr defaultRowHeight="13.2" x14ac:dyDescent="0.25"/>
  <cols>
    <col min="1" max="1" width="37.6640625" customWidth="1"/>
    <col min="2" max="2" width="3.6640625" customWidth="1"/>
    <col min="3" max="3" width="20" bestFit="1" customWidth="1"/>
    <col min="4" max="4" width="26.5546875" bestFit="1" customWidth="1"/>
    <col min="5" max="5" width="22.5546875" bestFit="1" customWidth="1"/>
    <col min="6" max="6" width="19.5546875" bestFit="1" customWidth="1"/>
    <col min="7" max="7" width="19.5546875" customWidth="1"/>
    <col min="8" max="8" width="23" bestFit="1" customWidth="1"/>
    <col min="9" max="9" width="2" customWidth="1"/>
    <col min="10" max="10" width="13.88671875" bestFit="1" customWidth="1"/>
    <col min="11" max="11" width="2" customWidth="1"/>
    <col min="12" max="12" width="14" bestFit="1" customWidth="1"/>
    <col min="13" max="13" width="2.88671875" bestFit="1" customWidth="1"/>
  </cols>
  <sheetData>
    <row r="1" spans="1:12" x14ac:dyDescent="0.25">
      <c r="A1" s="41" t="s">
        <v>209</v>
      </c>
    </row>
    <row r="2" spans="1:12" x14ac:dyDescent="0.25">
      <c r="A2" s="41"/>
    </row>
    <row r="4" spans="1:12" ht="13.8" thickBot="1" x14ac:dyDescent="0.3"/>
    <row r="5" spans="1:12" ht="13.8" thickBot="1" x14ac:dyDescent="0.3">
      <c r="C5" s="116" t="s">
        <v>210</v>
      </c>
      <c r="D5" s="116" t="s">
        <v>211</v>
      </c>
      <c r="E5" s="116" t="s">
        <v>212</v>
      </c>
      <c r="F5" s="117" t="s">
        <v>213</v>
      </c>
      <c r="G5" s="116" t="s">
        <v>293</v>
      </c>
      <c r="H5" s="116" t="s">
        <v>214</v>
      </c>
      <c r="I5" s="117"/>
      <c r="J5" s="116" t="s">
        <v>215</v>
      </c>
      <c r="K5" s="116"/>
      <c r="L5" s="116" t="s">
        <v>216</v>
      </c>
    </row>
    <row r="6" spans="1:12" x14ac:dyDescent="0.25">
      <c r="C6" s="118"/>
      <c r="D6" s="118"/>
      <c r="E6" s="118"/>
      <c r="G6" s="118"/>
      <c r="H6" s="118"/>
      <c r="J6" s="119"/>
      <c r="K6" s="119"/>
      <c r="L6" s="118"/>
    </row>
    <row r="7" spans="1:12" x14ac:dyDescent="0.25">
      <c r="A7" s="20" t="s">
        <v>217</v>
      </c>
      <c r="B7" s="20"/>
      <c r="C7" s="205">
        <f>+C28*C35</f>
        <v>26232.318589391278</v>
      </c>
      <c r="D7" s="205"/>
      <c r="E7" s="205"/>
      <c r="F7" s="206">
        <f>+F28*F35</f>
        <v>37056.788936836536</v>
      </c>
      <c r="G7" s="205"/>
      <c r="H7" s="205"/>
      <c r="I7" s="20"/>
      <c r="J7" s="119">
        <f>SUM(C7:H7)</f>
        <v>63289.107526227817</v>
      </c>
      <c r="K7" s="119"/>
      <c r="L7" s="205">
        <f>+J7*12</f>
        <v>759469.29031473375</v>
      </c>
    </row>
    <row r="8" spans="1:12" x14ac:dyDescent="0.25">
      <c r="A8" s="20"/>
      <c r="B8" s="20"/>
      <c r="C8" s="205"/>
      <c r="D8" s="205"/>
      <c r="E8" s="205"/>
      <c r="F8" s="206"/>
      <c r="G8" s="205"/>
      <c r="H8" s="205"/>
      <c r="I8" s="20"/>
      <c r="J8" s="119"/>
      <c r="K8" s="119"/>
      <c r="L8" s="205"/>
    </row>
    <row r="9" spans="1:12" x14ac:dyDescent="0.25">
      <c r="A9" s="20" t="s">
        <v>218</v>
      </c>
      <c r="B9" s="20"/>
      <c r="C9" s="205"/>
      <c r="D9" s="205"/>
      <c r="E9" s="205">
        <f>+E28*E37</f>
        <v>3028.6529511673184</v>
      </c>
      <c r="F9" s="206">
        <f>+F28*F37</f>
        <v>74113.577873673072</v>
      </c>
      <c r="G9" s="205"/>
      <c r="H9" s="205">
        <f>+H28*H37</f>
        <v>318513.7006494627</v>
      </c>
      <c r="I9" s="20"/>
      <c r="J9" s="119">
        <f>SUM(C9:H9)</f>
        <v>395655.93147430307</v>
      </c>
      <c r="K9" s="119"/>
      <c r="L9" s="205">
        <f>+J9*12</f>
        <v>4747871.1776916366</v>
      </c>
    </row>
    <row r="10" spans="1:12" x14ac:dyDescent="0.25">
      <c r="A10" s="20"/>
      <c r="B10" s="20"/>
      <c r="C10" s="205"/>
      <c r="D10" s="205"/>
      <c r="E10" s="205"/>
      <c r="F10" s="206"/>
      <c r="G10" s="205"/>
      <c r="H10" s="205"/>
      <c r="I10" s="20"/>
      <c r="J10" s="119"/>
      <c r="K10" s="119"/>
      <c r="L10" s="205"/>
    </row>
    <row r="11" spans="1:12" x14ac:dyDescent="0.25">
      <c r="A11" s="20" t="s">
        <v>219</v>
      </c>
      <c r="B11" s="20"/>
      <c r="C11" s="205"/>
      <c r="D11" s="205"/>
      <c r="E11" s="205">
        <f>+E39*E28</f>
        <v>1514.3211263645844</v>
      </c>
      <c r="F11" s="206">
        <f>+F28*F39</f>
        <v>14822.720810724486</v>
      </c>
      <c r="G11" s="205">
        <f>+G28*G39</f>
        <v>127128.33333333333</v>
      </c>
      <c r="H11" s="205">
        <f>+H28*H39</f>
        <v>75579.511198606691</v>
      </c>
      <c r="I11" s="20"/>
      <c r="J11" s="119">
        <f>SUM(C11:H11)</f>
        <v>219044.88646902909</v>
      </c>
      <c r="K11" s="119"/>
      <c r="L11" s="205">
        <f>+J11*12</f>
        <v>2628538.637628349</v>
      </c>
    </row>
    <row r="12" spans="1:12" x14ac:dyDescent="0.25">
      <c r="A12" s="20"/>
      <c r="B12" s="20"/>
      <c r="C12" s="205"/>
      <c r="D12" s="205"/>
      <c r="E12" s="205"/>
      <c r="F12" s="206"/>
      <c r="G12" s="205"/>
      <c r="H12" s="205"/>
      <c r="I12" s="20"/>
      <c r="J12" s="119"/>
      <c r="K12" s="119"/>
      <c r="L12" s="205"/>
    </row>
    <row r="13" spans="1:12" x14ac:dyDescent="0.25">
      <c r="A13" s="20" t="s">
        <v>220</v>
      </c>
      <c r="B13" s="20"/>
      <c r="C13" s="205"/>
      <c r="D13" s="205"/>
      <c r="E13" s="205"/>
      <c r="F13" s="206">
        <f>+F28*F41</f>
        <v>11117.040608043366</v>
      </c>
      <c r="G13" s="205"/>
      <c r="H13" s="205"/>
      <c r="I13" s="20"/>
      <c r="J13" s="119">
        <f>SUM(C13:H13)</f>
        <v>11117.040608043366</v>
      </c>
      <c r="K13" s="119"/>
      <c r="L13" s="205">
        <f>+J13*12</f>
        <v>133404.48729652038</v>
      </c>
    </row>
    <row r="14" spans="1:12" x14ac:dyDescent="0.25">
      <c r="A14" s="20"/>
      <c r="B14" s="20"/>
      <c r="C14" s="205"/>
      <c r="D14" s="205"/>
      <c r="E14" s="205"/>
      <c r="F14" s="206"/>
      <c r="G14" s="205"/>
      <c r="H14" s="205"/>
      <c r="I14" s="20"/>
      <c r="J14" s="119"/>
      <c r="K14" s="119"/>
      <c r="L14" s="205"/>
    </row>
    <row r="15" spans="1:12" x14ac:dyDescent="0.25">
      <c r="A15" s="20" t="s">
        <v>221</v>
      </c>
      <c r="B15" s="20"/>
      <c r="C15" s="205"/>
      <c r="D15" s="205"/>
      <c r="E15" s="205">
        <f>+E28*E43</f>
        <v>3028.6529511673184</v>
      </c>
      <c r="F15" s="206">
        <f>+F28*F43</f>
        <v>48173.829544879896</v>
      </c>
      <c r="G15" s="205"/>
      <c r="H15" s="205">
        <f>+H28*H43</f>
        <v>5398.5392384495663</v>
      </c>
      <c r="I15" s="20"/>
      <c r="J15" s="119">
        <f>SUM(C15:H15)</f>
        <v>56601.021734496782</v>
      </c>
      <c r="K15" s="119"/>
      <c r="L15" s="205">
        <f>+J15*12</f>
        <v>679212.26081396139</v>
      </c>
    </row>
    <row r="16" spans="1:12" x14ac:dyDescent="0.25">
      <c r="A16" s="20"/>
      <c r="B16" s="20"/>
      <c r="C16" s="205"/>
      <c r="D16" s="205"/>
      <c r="E16" s="205"/>
      <c r="F16" s="206"/>
      <c r="G16" s="205"/>
      <c r="H16" s="205"/>
      <c r="I16" s="20"/>
      <c r="J16" s="119"/>
      <c r="K16" s="119"/>
      <c r="L16" s="205"/>
    </row>
    <row r="17" spans="1:13" x14ac:dyDescent="0.25">
      <c r="A17" s="20" t="s">
        <v>222</v>
      </c>
      <c r="B17" s="20"/>
      <c r="C17" s="205"/>
      <c r="D17" s="205"/>
      <c r="E17" s="205">
        <f>+E28*E45</f>
        <v>1514.3211263645844</v>
      </c>
      <c r="F17" s="206">
        <f>+F28*F45</f>
        <v>3705.6802026811215</v>
      </c>
      <c r="G17" s="205"/>
      <c r="H17" s="205">
        <f>+H28*H45</f>
        <v>29691.956276550805</v>
      </c>
      <c r="I17" s="20"/>
      <c r="J17" s="119">
        <f>SUM(C17:H17)</f>
        <v>34911.957605596515</v>
      </c>
      <c r="K17" s="119"/>
      <c r="L17" s="205">
        <f>+J17*12</f>
        <v>418943.49126715818</v>
      </c>
    </row>
    <row r="18" spans="1:13" x14ac:dyDescent="0.25">
      <c r="A18" s="20"/>
      <c r="B18" s="20"/>
      <c r="C18" s="205"/>
      <c r="D18" s="205"/>
      <c r="E18" s="205"/>
      <c r="F18" s="206"/>
      <c r="G18" s="205"/>
      <c r="H18" s="205"/>
      <c r="I18" s="20"/>
      <c r="J18" s="119"/>
      <c r="K18" s="119"/>
      <c r="L18" s="205"/>
    </row>
    <row r="19" spans="1:13" x14ac:dyDescent="0.25">
      <c r="A19" s="20" t="s">
        <v>223</v>
      </c>
      <c r="B19" s="20"/>
      <c r="C19" s="205">
        <f>250000/12</f>
        <v>20833.333333333332</v>
      </c>
      <c r="D19" s="205"/>
      <c r="E19" s="205"/>
      <c r="F19" s="206"/>
      <c r="G19" s="205"/>
      <c r="H19" s="205"/>
      <c r="I19" s="20"/>
      <c r="J19" s="119">
        <f>SUM(C19:H19)</f>
        <v>20833.333333333332</v>
      </c>
      <c r="K19" s="119"/>
      <c r="L19" s="205">
        <f>+J19*12</f>
        <v>250000</v>
      </c>
      <c r="M19" t="s">
        <v>60</v>
      </c>
    </row>
    <row r="20" spans="1:13" x14ac:dyDescent="0.25">
      <c r="A20" s="20"/>
      <c r="B20" s="20"/>
      <c r="C20" s="205"/>
      <c r="D20" s="205"/>
      <c r="E20" s="205"/>
      <c r="F20" s="206"/>
      <c r="G20" s="205"/>
      <c r="H20" s="205"/>
      <c r="I20" s="20"/>
      <c r="J20" s="119"/>
      <c r="K20" s="119"/>
      <c r="L20" s="118"/>
    </row>
    <row r="21" spans="1:13" x14ac:dyDescent="0.25">
      <c r="A21" s="20" t="s">
        <v>224</v>
      </c>
      <c r="B21" s="20"/>
      <c r="C21" s="205"/>
      <c r="D21" s="205">
        <f>3000000/12</f>
        <v>250000</v>
      </c>
      <c r="E21" s="205"/>
      <c r="F21" s="206"/>
      <c r="G21" s="205"/>
      <c r="H21" s="205"/>
      <c r="I21" s="20"/>
      <c r="J21" s="119">
        <f>SUM(C21:H21)</f>
        <v>250000</v>
      </c>
      <c r="K21" s="119"/>
      <c r="L21" s="205">
        <v>3000000</v>
      </c>
      <c r="M21" t="s">
        <v>69</v>
      </c>
    </row>
    <row r="22" spans="1:13" x14ac:dyDescent="0.25">
      <c r="A22" s="20"/>
      <c r="B22" s="20"/>
      <c r="C22" s="205"/>
      <c r="D22" s="205"/>
      <c r="E22" s="205"/>
      <c r="F22" s="206"/>
      <c r="G22" s="205"/>
      <c r="H22" s="205"/>
      <c r="I22" s="20"/>
      <c r="J22" s="119"/>
      <c r="K22" s="119"/>
      <c r="L22" s="118"/>
    </row>
    <row r="23" spans="1:13" x14ac:dyDescent="0.25">
      <c r="A23" s="20" t="s">
        <v>51</v>
      </c>
      <c r="B23" s="20"/>
      <c r="C23" s="205">
        <f>+C28*C49</f>
        <v>7915.8416666666662</v>
      </c>
      <c r="D23" s="205"/>
      <c r="E23" s="205"/>
      <c r="F23" s="206"/>
      <c r="G23" s="205"/>
      <c r="H23" s="205"/>
      <c r="I23" s="20"/>
      <c r="J23" s="119">
        <f>SUM(C23:H23)</f>
        <v>7915.8416666666662</v>
      </c>
      <c r="K23" s="119"/>
      <c r="L23" s="205">
        <f>+J23*12</f>
        <v>94990.099999999991</v>
      </c>
    </row>
    <row r="24" spans="1:13" ht="13.8" thickBot="1" x14ac:dyDescent="0.3">
      <c r="A24" s="20"/>
      <c r="B24" s="20"/>
      <c r="C24" s="205"/>
      <c r="D24" s="205"/>
      <c r="E24" s="205"/>
      <c r="F24" s="206"/>
      <c r="G24" s="205"/>
      <c r="H24" s="205"/>
      <c r="I24" s="20"/>
      <c r="J24" s="118"/>
      <c r="K24" s="118"/>
      <c r="L24" s="118"/>
    </row>
    <row r="25" spans="1:13" ht="13.8" thickBot="1" x14ac:dyDescent="0.3">
      <c r="A25" s="120" t="s">
        <v>27</v>
      </c>
      <c r="C25" s="207">
        <f>SUM(C7:C24)</f>
        <v>54981.493589391277</v>
      </c>
      <c r="D25" s="207">
        <f>SUM(D7:D24)</f>
        <v>250000</v>
      </c>
      <c r="E25" s="207">
        <f>SUM(E9:E17)</f>
        <v>9085.9481550638047</v>
      </c>
      <c r="F25" s="208">
        <f>SUM(F7:F17)</f>
        <v>188989.63797683851</v>
      </c>
      <c r="G25" s="208">
        <f>SUM(G7:G17)</f>
        <v>127128.33333333333</v>
      </c>
      <c r="H25" s="207">
        <f>SUM(H9:H17)</f>
        <v>429183.70736306981</v>
      </c>
      <c r="I25" s="121"/>
      <c r="J25" s="122">
        <f>SUM(J7:J23)</f>
        <v>1059369.1204176967</v>
      </c>
      <c r="K25" s="122"/>
      <c r="L25" s="122">
        <f>SUM(L7:L23)</f>
        <v>12712429.445012359</v>
      </c>
    </row>
    <row r="26" spans="1:13" x14ac:dyDescent="0.25">
      <c r="C26" s="79"/>
      <c r="D26" s="79"/>
      <c r="E26" s="79"/>
      <c r="F26" s="79"/>
      <c r="G26" s="79"/>
      <c r="H26" s="79"/>
    </row>
    <row r="27" spans="1:13" x14ac:dyDescent="0.25">
      <c r="C27" s="79"/>
      <c r="D27" s="79"/>
      <c r="E27" s="79"/>
      <c r="F27" s="79"/>
      <c r="G27" s="79"/>
      <c r="H27" s="79"/>
    </row>
    <row r="28" spans="1:13" x14ac:dyDescent="0.25">
      <c r="A28" t="s">
        <v>225</v>
      </c>
      <c r="C28" s="79">
        <f>5899802-4000000</f>
        <v>1899802</v>
      </c>
      <c r="D28" s="79">
        <f>(7297279-5000000)</f>
        <v>2297279</v>
      </c>
      <c r="E28" s="79">
        <f>(1137398-250000)</f>
        <v>887398</v>
      </c>
      <c r="F28" s="79">
        <f>(4131101-1000000)</f>
        <v>3131101</v>
      </c>
      <c r="G28" s="79">
        <f>6525540-5000000</f>
        <v>1525540</v>
      </c>
      <c r="H28" s="79">
        <f>(5376804-2000000)</f>
        <v>3376804</v>
      </c>
      <c r="L28" s="109"/>
    </row>
    <row r="29" spans="1:13" x14ac:dyDescent="0.25">
      <c r="C29" s="79"/>
      <c r="D29" s="79"/>
      <c r="E29" s="79"/>
      <c r="F29" s="79"/>
      <c r="G29" s="79"/>
      <c r="H29" s="79"/>
    </row>
    <row r="30" spans="1:13" x14ac:dyDescent="0.25">
      <c r="C30" s="79"/>
      <c r="D30" s="79"/>
      <c r="E30" s="79"/>
      <c r="F30" s="79"/>
      <c r="G30" s="79"/>
      <c r="H30" s="79"/>
      <c r="J30" s="79"/>
      <c r="K30" s="79"/>
    </row>
    <row r="31" spans="1:13" x14ac:dyDescent="0.25">
      <c r="C31" s="79"/>
      <c r="D31" s="79"/>
      <c r="E31" s="79"/>
      <c r="F31" s="79"/>
      <c r="G31" s="79"/>
      <c r="H31" s="79"/>
    </row>
    <row r="32" spans="1:13" ht="13.8" thickBot="1" x14ac:dyDescent="0.3">
      <c r="C32" s="79"/>
      <c r="D32" s="79"/>
      <c r="E32" s="79"/>
      <c r="F32" s="79"/>
      <c r="G32" s="79"/>
      <c r="H32" s="79"/>
    </row>
    <row r="33" spans="1:12" ht="13.8" thickBot="1" x14ac:dyDescent="0.3">
      <c r="C33" s="116" t="s">
        <v>210</v>
      </c>
      <c r="D33" s="116" t="s">
        <v>211</v>
      </c>
      <c r="E33" s="116" t="s">
        <v>212</v>
      </c>
      <c r="F33" s="117" t="s">
        <v>213</v>
      </c>
      <c r="G33" s="116" t="str">
        <f>G5</f>
        <v>J. Murray - 107062</v>
      </c>
      <c r="H33" s="116" t="s">
        <v>214</v>
      </c>
      <c r="I33" s="117"/>
      <c r="J33" s="116" t="s">
        <v>27</v>
      </c>
      <c r="K33" s="123"/>
      <c r="L33" s="116" t="s">
        <v>27</v>
      </c>
    </row>
    <row r="34" spans="1:12" x14ac:dyDescent="0.25">
      <c r="C34" s="118"/>
      <c r="D34" s="118"/>
      <c r="E34" s="118"/>
      <c r="G34" s="118"/>
      <c r="H34" s="118"/>
      <c r="J34" s="119"/>
      <c r="K34" s="124"/>
      <c r="L34" s="119"/>
    </row>
    <row r="35" spans="1:12" x14ac:dyDescent="0.25">
      <c r="A35" s="20" t="s">
        <v>217</v>
      </c>
      <c r="B35" s="20"/>
      <c r="C35" s="209">
        <f>'[3]2001 Int Legal billout'!C7</f>
        <v>1.3807922398961196E-2</v>
      </c>
      <c r="D35" s="209"/>
      <c r="E35" s="210">
        <f>'[3]2001 Int Legal billout'!D7</f>
        <v>0</v>
      </c>
      <c r="F35" s="211">
        <f>'[3]2001 Int Legal billout'!E7</f>
        <v>1.1835066622519215E-2</v>
      </c>
      <c r="G35" s="209"/>
      <c r="H35" s="209">
        <f>'[3]2001 Int Legal billout'!G7</f>
        <v>0</v>
      </c>
      <c r="I35" s="20"/>
      <c r="J35" s="209">
        <f>SUM(C35:H35)</f>
        <v>2.5642989021480413E-2</v>
      </c>
      <c r="K35" s="212"/>
      <c r="L35" s="209">
        <f>+J35*12</f>
        <v>0.30771586825776498</v>
      </c>
    </row>
    <row r="36" spans="1:12" x14ac:dyDescent="0.25">
      <c r="A36" s="20"/>
      <c r="B36" s="20"/>
      <c r="C36" s="209"/>
      <c r="D36" s="205"/>
      <c r="E36" s="209"/>
      <c r="F36" s="211"/>
      <c r="G36" s="209"/>
      <c r="H36" s="209"/>
      <c r="I36" s="20"/>
      <c r="J36" s="209"/>
      <c r="K36" s="212"/>
      <c r="L36" s="209"/>
    </row>
    <row r="37" spans="1:12" x14ac:dyDescent="0.25">
      <c r="A37" s="20" t="s">
        <v>218</v>
      </c>
      <c r="B37" s="20"/>
      <c r="C37" s="209">
        <f>'[3]2001 Int Legal billout'!C9</f>
        <v>0</v>
      </c>
      <c r="D37" s="205"/>
      <c r="E37" s="209">
        <f>'[3]2001 Int Legal billout'!D9</f>
        <v>3.4129589554712974E-3</v>
      </c>
      <c r="F37" s="211">
        <f>'[3]2001 Int Legal billout'!E9</f>
        <v>2.367013324503843E-2</v>
      </c>
      <c r="G37" s="209"/>
      <c r="H37" s="209">
        <f>'[3]2001 Int Legal billout'!G9</f>
        <v>9.4324011890966342E-2</v>
      </c>
      <c r="I37" s="20"/>
      <c r="J37" s="209">
        <f>SUM(C37:H37)</f>
        <v>0.12140710409147606</v>
      </c>
      <c r="K37" s="212"/>
      <c r="L37" s="209">
        <f>+J37*12</f>
        <v>1.4568852490977129</v>
      </c>
    </row>
    <row r="38" spans="1:12" x14ac:dyDescent="0.25">
      <c r="A38" s="20"/>
      <c r="B38" s="20"/>
      <c r="C38" s="209"/>
      <c r="D38" s="205"/>
      <c r="E38" s="209"/>
      <c r="F38" s="211"/>
      <c r="G38" s="209"/>
      <c r="H38" s="209"/>
      <c r="I38" s="20"/>
      <c r="J38" s="209"/>
      <c r="K38" s="212"/>
      <c r="L38" s="209"/>
    </row>
    <row r="39" spans="1:12" x14ac:dyDescent="0.25">
      <c r="A39" s="20" t="s">
        <v>219</v>
      </c>
      <c r="B39" s="20"/>
      <c r="C39" s="209">
        <f>'[3]2001 Int Legal billout'!C11</f>
        <v>0</v>
      </c>
      <c r="D39" s="205"/>
      <c r="E39" s="209">
        <f>'[3]2001 Int Legal billout'!D11</f>
        <v>1.706473449753757E-3</v>
      </c>
      <c r="F39" s="211">
        <f>'[3]2001 Int Legal billout'!E11</f>
        <v>4.7340283212596737E-3</v>
      </c>
      <c r="G39" s="209">
        <f>100%/12</f>
        <v>8.3333333333333329E-2</v>
      </c>
      <c r="H39" s="209">
        <f>'[3]2001 Int Legal billout'!G11</f>
        <v>2.2381965668900741E-2</v>
      </c>
      <c r="I39" s="20"/>
      <c r="J39" s="209">
        <f>SUM(C39:H39)</f>
        <v>0.11215580077324751</v>
      </c>
      <c r="K39" s="212"/>
      <c r="L39" s="209">
        <f>+J39*12</f>
        <v>1.3458696092789701</v>
      </c>
    </row>
    <row r="40" spans="1:12" x14ac:dyDescent="0.25">
      <c r="A40" s="20"/>
      <c r="B40" s="20"/>
      <c r="C40" s="209"/>
      <c r="D40" s="205"/>
      <c r="E40" s="209"/>
      <c r="F40" s="211"/>
      <c r="G40" s="209"/>
      <c r="H40" s="209"/>
      <c r="I40" s="20"/>
      <c r="J40" s="209"/>
      <c r="K40" s="212"/>
      <c r="L40" s="209"/>
    </row>
    <row r="41" spans="1:12" x14ac:dyDescent="0.25">
      <c r="A41" s="20" t="s">
        <v>220</v>
      </c>
      <c r="B41" s="20"/>
      <c r="C41" s="209">
        <f>'[3]2001 Int Legal billout'!C13</f>
        <v>0</v>
      </c>
      <c r="D41" s="205"/>
      <c r="E41" s="210">
        <f>'[3]2001 Int Legal billout'!D13</f>
        <v>0</v>
      </c>
      <c r="F41" s="211">
        <f>'[3]2001 Int Legal billout'!E13</f>
        <v>3.550521240944756E-3</v>
      </c>
      <c r="G41" s="209"/>
      <c r="H41" s="209">
        <f>'[3]2001 Int Legal billout'!G13</f>
        <v>0</v>
      </c>
      <c r="I41" s="20"/>
      <c r="J41" s="209">
        <f>SUM(C41:H41)</f>
        <v>3.550521240944756E-3</v>
      </c>
      <c r="K41" s="212"/>
      <c r="L41" s="209">
        <f>+J41*12</f>
        <v>4.260625489133707E-2</v>
      </c>
    </row>
    <row r="42" spans="1:12" x14ac:dyDescent="0.25">
      <c r="A42" s="20"/>
      <c r="B42" s="20"/>
      <c r="C42" s="209"/>
      <c r="D42" s="205"/>
      <c r="E42" s="209"/>
      <c r="F42" s="211"/>
      <c r="G42" s="209"/>
      <c r="H42" s="209"/>
      <c r="I42" s="20"/>
      <c r="J42" s="209"/>
      <c r="K42" s="212"/>
      <c r="L42" s="209"/>
    </row>
    <row r="43" spans="1:12" x14ac:dyDescent="0.25">
      <c r="A43" s="20" t="s">
        <v>221</v>
      </c>
      <c r="B43" s="20"/>
      <c r="C43" s="209">
        <f>'[3]2001 Int Legal billout'!C15</f>
        <v>0</v>
      </c>
      <c r="D43" s="205"/>
      <c r="E43" s="209">
        <f>'[3]2001 Int Legal billout'!D15</f>
        <v>3.4129589554712974E-3</v>
      </c>
      <c r="F43" s="211">
        <f>'[3]2001 Int Legal billout'!E15</f>
        <v>1.538558786346397E-2</v>
      </c>
      <c r="G43" s="209"/>
      <c r="H43" s="209">
        <f>'[3]2001 Int Legal billout'!G15</f>
        <v>1.5987126402508306E-3</v>
      </c>
      <c r="I43" s="20"/>
      <c r="J43" s="209">
        <f>SUM(C43:H43)</f>
        <v>2.0397259459186096E-2</v>
      </c>
      <c r="K43" s="212"/>
      <c r="L43" s="209">
        <f>+J43*12</f>
        <v>0.24476711351023317</v>
      </c>
    </row>
    <row r="44" spans="1:12" x14ac:dyDescent="0.25">
      <c r="A44" s="20"/>
      <c r="B44" s="20"/>
      <c r="C44" s="209"/>
      <c r="D44" s="205"/>
      <c r="E44" s="209"/>
      <c r="F44" s="211"/>
      <c r="G44" s="209"/>
      <c r="H44" s="209"/>
      <c r="I44" s="20"/>
      <c r="J44" s="209"/>
      <c r="K44" s="212"/>
      <c r="L44" s="209"/>
    </row>
    <row r="45" spans="1:12" x14ac:dyDescent="0.25">
      <c r="A45" s="20" t="s">
        <v>222</v>
      </c>
      <c r="B45" s="20"/>
      <c r="C45" s="209">
        <f>'[3]2001 Int Legal billout'!C17</f>
        <v>0</v>
      </c>
      <c r="D45" s="205"/>
      <c r="E45" s="209">
        <f>'[3]2001 Int Legal billout'!D17</f>
        <v>1.706473449753757E-3</v>
      </c>
      <c r="F45" s="211">
        <f>'[3]2001 Int Legal billout'!E17</f>
        <v>1.1835070803149184E-3</v>
      </c>
      <c r="G45" s="209"/>
      <c r="H45" s="209">
        <f>'[3]2001 Int Legal billout'!G17</f>
        <v>8.7929166977268464E-3</v>
      </c>
      <c r="I45" s="20"/>
      <c r="J45" s="209">
        <f>SUM(C45:H45)</f>
        <v>1.1682897227795521E-2</v>
      </c>
      <c r="K45" s="212"/>
      <c r="L45" s="209">
        <f>+J45*12</f>
        <v>0.14019476673354625</v>
      </c>
    </row>
    <row r="46" spans="1:12" x14ac:dyDescent="0.25">
      <c r="A46" s="20"/>
      <c r="B46" s="20"/>
      <c r="C46" s="209"/>
      <c r="D46" s="205"/>
      <c r="E46" s="209"/>
      <c r="F46" s="211"/>
      <c r="G46" s="209"/>
      <c r="H46" s="209"/>
      <c r="I46" s="20"/>
      <c r="J46" s="209"/>
      <c r="K46" s="212"/>
      <c r="L46" s="209"/>
    </row>
    <row r="47" spans="1:12" x14ac:dyDescent="0.25">
      <c r="A47" s="20" t="s">
        <v>223</v>
      </c>
      <c r="B47" s="20"/>
      <c r="C47" s="213" t="s">
        <v>294</v>
      </c>
      <c r="D47" s="209"/>
      <c r="E47" s="209">
        <f>'[3]2001 Int Legal billout'!D19</f>
        <v>0</v>
      </c>
      <c r="F47" s="211">
        <f>'[3]2001 Int Legal billout'!E19</f>
        <v>0</v>
      </c>
      <c r="G47" s="209"/>
      <c r="H47" s="209">
        <f>'[3]2001 Int Legal billout'!G19</f>
        <v>0</v>
      </c>
      <c r="I47" s="20"/>
      <c r="J47" s="209">
        <f>SUM(C47:H47)</f>
        <v>0</v>
      </c>
      <c r="K47" s="212"/>
      <c r="L47" s="209">
        <f>+J47*12</f>
        <v>0</v>
      </c>
    </row>
    <row r="48" spans="1:12" x14ac:dyDescent="0.25">
      <c r="A48" s="20"/>
      <c r="B48" s="20"/>
      <c r="C48" s="209"/>
      <c r="D48" s="209"/>
      <c r="E48" s="209"/>
      <c r="F48" s="211"/>
      <c r="G48" s="209"/>
      <c r="H48" s="209"/>
      <c r="I48" s="20"/>
      <c r="J48" s="209"/>
      <c r="K48" s="212"/>
      <c r="L48" s="209"/>
    </row>
    <row r="49" spans="1:13" x14ac:dyDescent="0.25">
      <c r="A49" s="20" t="s">
        <v>51</v>
      </c>
      <c r="B49" s="20"/>
      <c r="C49" s="209">
        <f>0.05/12</f>
        <v>4.1666666666666666E-3</v>
      </c>
      <c r="D49" s="125"/>
      <c r="E49" s="209"/>
      <c r="F49" s="211"/>
      <c r="G49" s="209"/>
      <c r="H49" s="209"/>
      <c r="I49" s="20"/>
      <c r="J49" s="209">
        <f>SUM(C49:H49)</f>
        <v>4.1666666666666666E-3</v>
      </c>
      <c r="K49" s="212"/>
      <c r="L49" s="209">
        <f>+J49*12</f>
        <v>0.05</v>
      </c>
    </row>
    <row r="50" spans="1:13" x14ac:dyDescent="0.25">
      <c r="A50" s="20"/>
      <c r="B50" s="20"/>
      <c r="C50" s="209"/>
      <c r="D50" s="125"/>
      <c r="E50" s="209"/>
      <c r="F50" s="211"/>
      <c r="G50" s="209"/>
      <c r="H50" s="209"/>
      <c r="I50" s="20"/>
      <c r="J50" s="209"/>
      <c r="K50" s="212"/>
      <c r="L50" s="209"/>
    </row>
    <row r="51" spans="1:13" x14ac:dyDescent="0.25">
      <c r="A51" s="20" t="s">
        <v>224</v>
      </c>
      <c r="B51" s="20"/>
      <c r="C51" s="209"/>
      <c r="D51" s="213" t="s">
        <v>226</v>
      </c>
      <c r="E51" s="209">
        <v>0</v>
      </c>
      <c r="F51" s="211">
        <v>0</v>
      </c>
      <c r="G51" s="209"/>
      <c r="H51" s="209">
        <v>0</v>
      </c>
      <c r="I51" s="20"/>
      <c r="J51" s="209">
        <f>SUM(C51:H51)</f>
        <v>0</v>
      </c>
      <c r="K51" s="212"/>
      <c r="L51" s="209">
        <f>+J51*12</f>
        <v>0</v>
      </c>
    </row>
    <row r="52" spans="1:13" x14ac:dyDescent="0.25">
      <c r="A52" s="20"/>
      <c r="B52" s="20"/>
      <c r="C52" s="209"/>
      <c r="D52" s="209"/>
      <c r="E52" s="209"/>
      <c r="F52" s="214"/>
      <c r="G52" s="209"/>
      <c r="H52" s="209"/>
      <c r="I52" s="20"/>
      <c r="J52" s="215"/>
      <c r="K52" s="212"/>
      <c r="L52" s="215"/>
    </row>
    <row r="53" spans="1:13" ht="13.8" thickBot="1" x14ac:dyDescent="0.3">
      <c r="A53" s="20"/>
      <c r="B53" s="20"/>
      <c r="C53" s="205"/>
      <c r="D53" s="205"/>
      <c r="E53" s="209"/>
      <c r="F53" s="214"/>
      <c r="G53" s="209"/>
      <c r="H53" s="209"/>
      <c r="I53" s="20"/>
      <c r="J53" s="215"/>
      <c r="K53" s="212"/>
      <c r="L53" s="215"/>
    </row>
    <row r="54" spans="1:13" ht="13.8" thickBot="1" x14ac:dyDescent="0.3">
      <c r="A54" s="120" t="s">
        <v>27</v>
      </c>
      <c r="C54" s="216">
        <f>SUM(C35:C51)</f>
        <v>1.7974589065627863E-2</v>
      </c>
      <c r="D54" s="217"/>
      <c r="E54" s="217">
        <f>SUM(E35:E52)</f>
        <v>1.0238864810450108E-2</v>
      </c>
      <c r="F54" s="218">
        <f>SUM(F35:F52)</f>
        <v>6.0358844373540971E-2</v>
      </c>
      <c r="G54" s="218">
        <f>SUM(G35:G52)</f>
        <v>8.3333333333333329E-2</v>
      </c>
      <c r="H54" s="217">
        <f>SUM(H35:H52)</f>
        <v>0.12709760689784477</v>
      </c>
      <c r="I54" s="121"/>
      <c r="J54" s="217">
        <f>SUM(J35:J52)</f>
        <v>0.29900323848079696</v>
      </c>
      <c r="K54" s="212"/>
      <c r="L54" s="217">
        <f>SUM(L35:L52)</f>
        <v>3.5880388617695642</v>
      </c>
    </row>
    <row r="55" spans="1:13" x14ac:dyDescent="0.25">
      <c r="C55" s="79"/>
      <c r="D55" s="79"/>
      <c r="E55" s="79"/>
      <c r="F55" s="79"/>
      <c r="G55" s="219" t="s">
        <v>58</v>
      </c>
      <c r="H55" s="79"/>
    </row>
    <row r="56" spans="1:13" x14ac:dyDescent="0.25">
      <c r="C56" s="79"/>
      <c r="D56" s="79"/>
      <c r="E56" s="79"/>
      <c r="F56" s="79"/>
      <c r="G56" s="79"/>
      <c r="H56" s="79"/>
    </row>
    <row r="57" spans="1:13" x14ac:dyDescent="0.25">
      <c r="A57" t="s">
        <v>227</v>
      </c>
      <c r="C57" s="79"/>
      <c r="D57" s="79"/>
      <c r="E57" s="79"/>
      <c r="F57" s="79"/>
      <c r="G57" s="79"/>
      <c r="H57" s="79"/>
    </row>
    <row r="58" spans="1:13" x14ac:dyDescent="0.25">
      <c r="A58" t="s">
        <v>228</v>
      </c>
      <c r="C58" s="79"/>
      <c r="D58" s="79"/>
      <c r="E58" s="79"/>
      <c r="F58" s="79"/>
      <c r="G58" s="79"/>
      <c r="H58" s="79"/>
    </row>
    <row r="59" spans="1:13" x14ac:dyDescent="0.25">
      <c r="A59" t="s">
        <v>295</v>
      </c>
      <c r="C59" s="79"/>
      <c r="D59" s="79"/>
      <c r="E59" s="79"/>
      <c r="F59" s="79"/>
      <c r="G59" s="79"/>
      <c r="H59" s="79"/>
    </row>
    <row r="60" spans="1:13" x14ac:dyDescent="0.25">
      <c r="A60" t="s">
        <v>296</v>
      </c>
      <c r="C60" s="79"/>
      <c r="D60" s="79"/>
      <c r="E60" s="79"/>
      <c r="F60" s="79"/>
      <c r="G60" s="79"/>
      <c r="H60" s="79"/>
      <c r="M60" s="126" t="str">
        <f ca="1">CELL("filename",A1)</f>
        <v>O:\Fin_Ops\Finrpt\2002\2002 Plan\Group\[EA Alloc to Other BUs - Support.xls]Detail - Internal Legal</v>
      </c>
    </row>
    <row r="61" spans="1:13" x14ac:dyDescent="0.25">
      <c r="C61" s="79"/>
      <c r="D61" s="79"/>
      <c r="E61" s="79"/>
      <c r="F61" s="79"/>
      <c r="G61" s="79"/>
      <c r="H61" s="79"/>
    </row>
    <row r="62" spans="1:13" x14ac:dyDescent="0.25">
      <c r="A62" s="127"/>
      <c r="B62" s="20"/>
      <c r="C62" s="206"/>
      <c r="D62" s="206"/>
      <c r="E62" s="79"/>
      <c r="F62" s="79"/>
      <c r="G62" s="79"/>
      <c r="H62" s="79"/>
    </row>
    <row r="63" spans="1:13" x14ac:dyDescent="0.25">
      <c r="A63" s="127"/>
      <c r="B63" s="20"/>
      <c r="C63" s="206"/>
      <c r="D63" s="206"/>
      <c r="E63" s="79"/>
      <c r="F63" s="79"/>
      <c r="G63" s="79"/>
      <c r="H63" s="79"/>
    </row>
    <row r="64" spans="1:13" x14ac:dyDescent="0.25">
      <c r="A64" s="127"/>
      <c r="B64" s="20"/>
      <c r="C64" s="206"/>
      <c r="D64" s="206"/>
      <c r="E64" s="79"/>
      <c r="F64" s="79"/>
      <c r="G64" s="79"/>
      <c r="H64" s="79"/>
    </row>
    <row r="65" spans="1:8" x14ac:dyDescent="0.25">
      <c r="A65" s="20"/>
      <c r="B65" s="20"/>
      <c r="C65" s="206"/>
      <c r="D65" s="206"/>
      <c r="E65" s="79"/>
      <c r="F65" s="79"/>
      <c r="G65" s="79"/>
      <c r="H65" s="79"/>
    </row>
    <row r="66" spans="1:8" x14ac:dyDescent="0.25">
      <c r="C66" s="79"/>
      <c r="D66" s="79"/>
      <c r="E66" s="79"/>
      <c r="F66" s="79"/>
      <c r="G66" s="79"/>
      <c r="H66" s="79"/>
    </row>
    <row r="67" spans="1:8" x14ac:dyDescent="0.25">
      <c r="C67" s="79"/>
      <c r="D67" s="79"/>
      <c r="E67" s="79"/>
      <c r="F67" s="79"/>
      <c r="G67" s="79"/>
      <c r="H67" s="79"/>
    </row>
    <row r="68" spans="1:8" x14ac:dyDescent="0.25">
      <c r="C68" s="79"/>
      <c r="D68" s="79"/>
      <c r="E68" s="79"/>
      <c r="F68" s="79"/>
      <c r="G68" s="79"/>
      <c r="H68" s="7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CABC</vt:lpstr>
      <vt:lpstr>eSource</vt:lpstr>
      <vt:lpstr>Fin Ops</vt:lpstr>
      <vt:lpstr>Fin Ops Detail</vt:lpstr>
      <vt:lpstr>HR</vt:lpstr>
      <vt:lpstr>HR Detail</vt:lpstr>
      <vt:lpstr>Legal</vt:lpstr>
      <vt:lpstr>Detail - Outside Legal</vt:lpstr>
      <vt:lpstr>Detail - Internal Legal</vt:lpstr>
      <vt:lpstr>PR</vt:lpstr>
      <vt:lpstr>Research</vt:lpstr>
      <vt:lpstr>Tax</vt:lpstr>
      <vt:lpstr>Transaction Supp</vt:lpstr>
      <vt:lpstr>Treasury</vt:lpstr>
      <vt:lpstr>Sheet6</vt:lpstr>
      <vt:lpstr>Sheet5</vt:lpstr>
      <vt:lpstr>Sheet4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Havlíček Jan</cp:lastModifiedBy>
  <dcterms:created xsi:type="dcterms:W3CDTF">2001-09-10T15:57:30Z</dcterms:created>
  <dcterms:modified xsi:type="dcterms:W3CDTF">2023-09-10T14:58:08Z</dcterms:modified>
</cp:coreProperties>
</file>