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 activeTab="1"/>
  </bookViews>
  <sheets>
    <sheet name="Joint" sheetId="1" r:id="rId1"/>
    <sheet name="Amex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2" l="1"/>
  <c r="C10" i="2"/>
  <c r="C11" i="2"/>
  <c r="C13" i="2"/>
  <c r="C14" i="2"/>
  <c r="C16" i="2"/>
  <c r="C23" i="2"/>
  <c r="C26" i="2"/>
  <c r="C27" i="2"/>
  <c r="C28" i="2"/>
  <c r="C30" i="2"/>
  <c r="C31" i="2"/>
  <c r="C32" i="2"/>
  <c r="C33" i="2"/>
  <c r="C34" i="2"/>
  <c r="C36" i="2"/>
  <c r="C37" i="2"/>
  <c r="C45" i="2"/>
  <c r="C46" i="2"/>
  <c r="C47" i="2"/>
  <c r="C49" i="2"/>
  <c r="C50" i="2"/>
  <c r="C52" i="2"/>
  <c r="C53" i="2"/>
  <c r="C54" i="2"/>
  <c r="C55" i="2"/>
  <c r="C60" i="2"/>
  <c r="C65" i="2"/>
  <c r="C66" i="2"/>
  <c r="C69" i="2"/>
  <c r="C70" i="2"/>
  <c r="C71" i="2"/>
  <c r="C72" i="2"/>
  <c r="C73" i="2"/>
  <c r="C75" i="2"/>
  <c r="C76" i="2"/>
  <c r="C78" i="2"/>
  <c r="C81" i="2"/>
  <c r="C87" i="2"/>
  <c r="C90" i="2"/>
  <c r="C91" i="2"/>
  <c r="C96" i="2"/>
  <c r="C108" i="2"/>
  <c r="C109" i="2"/>
  <c r="C110" i="2"/>
  <c r="C112" i="2"/>
  <c r="C113" i="2"/>
  <c r="C115" i="2"/>
  <c r="C116" i="2"/>
  <c r="C118" i="2"/>
  <c r="C131" i="2"/>
  <c r="C132" i="2"/>
  <c r="C135" i="2"/>
  <c r="C136" i="2"/>
  <c r="C138" i="2"/>
  <c r="C139" i="2"/>
  <c r="C149" i="2"/>
  <c r="C153" i="2"/>
  <c r="C154" i="2"/>
  <c r="C155" i="2"/>
  <c r="C157" i="2"/>
  <c r="C158" i="2"/>
  <c r="C159" i="2"/>
  <c r="C160" i="2"/>
  <c r="C161" i="2"/>
  <c r="C163" i="2"/>
  <c r="C164" i="2"/>
  <c r="C168" i="2"/>
  <c r="C173" i="2"/>
  <c r="C177" i="2"/>
  <c r="C178" i="2"/>
  <c r="C181" i="2"/>
  <c r="C182" i="2"/>
  <c r="C183" i="2"/>
  <c r="C184" i="2"/>
  <c r="C185" i="2"/>
  <c r="C187" i="2"/>
  <c r="C199" i="2"/>
  <c r="C200" i="2"/>
  <c r="C203" i="2"/>
  <c r="C204" i="2"/>
  <c r="C205" i="2"/>
  <c r="C206" i="2"/>
  <c r="C209" i="2"/>
  <c r="C210" i="2"/>
  <c r="C214" i="2"/>
  <c r="C222" i="2"/>
  <c r="C223" i="2"/>
  <c r="C224" i="2"/>
  <c r="C226" i="2"/>
  <c r="C227" i="2"/>
  <c r="C229" i="2"/>
  <c r="C230" i="2"/>
  <c r="C232" i="2"/>
  <c r="C236" i="2"/>
  <c r="C244" i="2"/>
  <c r="C245" i="2"/>
  <c r="C246" i="2"/>
  <c r="C248" i="2"/>
  <c r="C249" i="2"/>
  <c r="C250" i="2"/>
  <c r="C251" i="2"/>
  <c r="C254" i="2"/>
  <c r="C255" i="2"/>
  <c r="C257" i="2"/>
  <c r="C259" i="2"/>
  <c r="C261" i="2"/>
  <c r="C266" i="2"/>
  <c r="C268" i="2"/>
  <c r="C270" i="2"/>
  <c r="C271" i="2"/>
  <c r="C272" i="2"/>
  <c r="C273" i="2"/>
  <c r="C274" i="2"/>
  <c r="C276" i="2"/>
  <c r="C277" i="2"/>
  <c r="C281" i="2"/>
  <c r="C288" i="2"/>
  <c r="C289" i="2"/>
  <c r="C292" i="2"/>
  <c r="C293" i="2"/>
  <c r="C295" i="2"/>
  <c r="C296" i="2"/>
  <c r="C298" i="2"/>
  <c r="C299" i="2"/>
  <c r="C305" i="2"/>
  <c r="C310" i="2"/>
  <c r="C311" i="2"/>
  <c r="C314" i="2"/>
  <c r="C315" i="2"/>
  <c r="C317" i="2"/>
  <c r="C318" i="2"/>
  <c r="C320" i="2"/>
  <c r="C321" i="2"/>
  <c r="C325" i="2"/>
  <c r="C5" i="1"/>
  <c r="C6" i="1"/>
  <c r="C7" i="1"/>
  <c r="C10" i="1"/>
  <c r="C11" i="1"/>
  <c r="C13" i="1"/>
  <c r="C16" i="1"/>
  <c r="C17" i="1"/>
  <c r="C18" i="1"/>
  <c r="C19" i="1"/>
  <c r="C23" i="1"/>
  <c r="C24" i="1"/>
  <c r="C25" i="1"/>
  <c r="C35" i="1"/>
  <c r="C36" i="1"/>
  <c r="C37" i="1"/>
  <c r="C41" i="1"/>
  <c r="C43" i="1"/>
  <c r="C46" i="1"/>
  <c r="C47" i="1"/>
  <c r="C49" i="1"/>
  <c r="C50" i="1"/>
  <c r="C54" i="1"/>
  <c r="C56" i="1"/>
  <c r="C60" i="1"/>
  <c r="C62" i="1"/>
  <c r="C65" i="1"/>
  <c r="C66" i="1"/>
  <c r="C68" i="1"/>
  <c r="C72" i="1"/>
  <c r="C73" i="1"/>
  <c r="C74" i="1"/>
  <c r="C77" i="1"/>
  <c r="C78" i="1"/>
  <c r="C80" i="1"/>
  <c r="C83" i="1"/>
  <c r="E83" i="1"/>
  <c r="C84" i="1"/>
  <c r="E84" i="1"/>
  <c r="C86" i="1"/>
  <c r="E86" i="1"/>
  <c r="C87" i="1"/>
  <c r="E87" i="1"/>
  <c r="C89" i="1"/>
</calcChain>
</file>

<file path=xl/sharedStrings.xml><?xml version="1.0" encoding="utf-8"?>
<sst xmlns="http://schemas.openxmlformats.org/spreadsheetml/2006/main" count="355" uniqueCount="67">
  <si>
    <t>Joint Account Deposits</t>
  </si>
  <si>
    <t>06/19/00-07/17/00</t>
  </si>
  <si>
    <t>Business</t>
  </si>
  <si>
    <t>Enron</t>
  </si>
  <si>
    <t>07/18/00-08/17/00</t>
  </si>
  <si>
    <t>Reserve advances</t>
  </si>
  <si>
    <t>08/18/00-09/17/00</t>
  </si>
  <si>
    <t>Enron paycheck</t>
  </si>
  <si>
    <t>09/18/00-10/17/00</t>
  </si>
  <si>
    <t>10/18/00-11/19/00</t>
  </si>
  <si>
    <t>11/20/00-12/17/00</t>
  </si>
  <si>
    <t>12/18/00-01/18/01</t>
  </si>
  <si>
    <t>01/19/01-02/19/01</t>
  </si>
  <si>
    <t>Enron bonus</t>
  </si>
  <si>
    <t>02/20/01-03/18/01</t>
  </si>
  <si>
    <t>03/19/01-04/1701</t>
  </si>
  <si>
    <t>04/18/01-05/17/01</t>
  </si>
  <si>
    <t>05/18/01-06/17/01</t>
  </si>
  <si>
    <t>06/18/01-07/17/01</t>
  </si>
  <si>
    <t>Check to total</t>
  </si>
  <si>
    <t xml:space="preserve">Average per month </t>
  </si>
  <si>
    <t>Total Previous 12 Months</t>
  </si>
  <si>
    <t>American Express</t>
  </si>
  <si>
    <t>Previous 12 Months</t>
  </si>
  <si>
    <t>June, 2000</t>
  </si>
  <si>
    <t>Kids clothes</t>
  </si>
  <si>
    <t>Kids misc</t>
  </si>
  <si>
    <t>Family dinner</t>
  </si>
  <si>
    <t>Kids activities</t>
  </si>
  <si>
    <t>Grocery</t>
  </si>
  <si>
    <t>Target</t>
  </si>
  <si>
    <t>Gas</t>
  </si>
  <si>
    <t>Household items</t>
  </si>
  <si>
    <t>Kids dentist</t>
  </si>
  <si>
    <t>Cable bill</t>
  </si>
  <si>
    <t>Clothes</t>
  </si>
  <si>
    <t>July, 2000</t>
  </si>
  <si>
    <t>Vacation</t>
  </si>
  <si>
    <t>Cell phone</t>
  </si>
  <si>
    <t>Includes school uniforms $420</t>
  </si>
  <si>
    <t>Grocery/drug store</t>
  </si>
  <si>
    <t>medical bill</t>
  </si>
  <si>
    <t>Car repair</t>
  </si>
  <si>
    <t>August, 2000</t>
  </si>
  <si>
    <t>Kids clothes/shoes</t>
  </si>
  <si>
    <t>Misc</t>
  </si>
  <si>
    <t>September, 2000</t>
  </si>
  <si>
    <t>Contacts/glasses</t>
  </si>
  <si>
    <t>Glasses 791, contacts 140</t>
  </si>
  <si>
    <t>Dallas family visit</t>
  </si>
  <si>
    <t>October, 2000</t>
  </si>
  <si>
    <t>Dry cleaning</t>
  </si>
  <si>
    <t>November, 2000</t>
  </si>
  <si>
    <t>December, 2000</t>
  </si>
  <si>
    <t>Christmas gifts</t>
  </si>
  <si>
    <t>January, 2001</t>
  </si>
  <si>
    <t>Includes ski clothes</t>
  </si>
  <si>
    <t>February, 2001</t>
  </si>
  <si>
    <t>March, 2001</t>
  </si>
  <si>
    <t>Family meals out</t>
  </si>
  <si>
    <t>Photos $300</t>
  </si>
  <si>
    <t>May, 2001</t>
  </si>
  <si>
    <t>April, 2001</t>
  </si>
  <si>
    <t>June, 2001</t>
  </si>
  <si>
    <t>July, 2001</t>
  </si>
  <si>
    <t>August, 2001</t>
  </si>
  <si>
    <t>uniforms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</si>
</sst>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0" applyNumberFormat="1"/>
    <xf numFmtId="0" fontId="2" fillId="0" borderId="0" xfId="0" applyFont="1"/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6" workbookViewId="0">
      <selection activeCell="H81" sqref="H81"/>
    </sheetView>
  </sheetViews>
  <sheetFormatPr defaultRowHeight="13.2" x14ac:dyDescent="0.25"/>
  <cols>
    <col min="3" max="3" width="10.33203125" bestFit="1" customWidth="1"/>
    <col min="5" max="5" width="9.33203125" bestFit="1" customWidth="1"/>
  </cols>
  <sheetData>
    <row r="1" spans="1:3" x14ac:dyDescent="0.25">
      <c r="A1" s="4" t="s">
        <v>0</v>
      </c>
    </row>
    <row r="2" spans="1:3" x14ac:dyDescent="0.25">
      <c r="A2" s="4" t="s">
        <v>23</v>
      </c>
    </row>
    <row r="4" spans="1:3" x14ac:dyDescent="0.25">
      <c r="A4" t="s">
        <v>1</v>
      </c>
    </row>
    <row r="5" spans="1:3" x14ac:dyDescent="0.25">
      <c r="A5" t="s">
        <v>2</v>
      </c>
      <c r="C5" s="1">
        <f>2000+2500</f>
        <v>4500</v>
      </c>
    </row>
    <row r="6" spans="1:3" x14ac:dyDescent="0.25">
      <c r="A6" t="s">
        <v>3</v>
      </c>
      <c r="C6" s="2">
        <f>2144+2092</f>
        <v>4236</v>
      </c>
    </row>
    <row r="7" spans="1:3" x14ac:dyDescent="0.25">
      <c r="C7" s="1">
        <f>SUM(C5:C6)</f>
        <v>8736</v>
      </c>
    </row>
    <row r="8" spans="1:3" x14ac:dyDescent="0.25">
      <c r="C8" s="1"/>
    </row>
    <row r="9" spans="1:3" x14ac:dyDescent="0.25">
      <c r="A9" t="s">
        <v>4</v>
      </c>
      <c r="C9" s="1"/>
    </row>
    <row r="10" spans="1:3" x14ac:dyDescent="0.25">
      <c r="A10" t="s">
        <v>2</v>
      </c>
      <c r="C10" s="1">
        <f>1000+2000</f>
        <v>3000</v>
      </c>
    </row>
    <row r="11" spans="1:3" x14ac:dyDescent="0.25">
      <c r="A11" t="s">
        <v>7</v>
      </c>
      <c r="C11" s="1">
        <f>2075+2144</f>
        <v>4219</v>
      </c>
    </row>
    <row r="12" spans="1:3" x14ac:dyDescent="0.25">
      <c r="A12" t="s">
        <v>5</v>
      </c>
      <c r="C12" s="2">
        <v>1800</v>
      </c>
    </row>
    <row r="13" spans="1:3" x14ac:dyDescent="0.25">
      <c r="C13" s="1">
        <f>SUM(C10:C12)</f>
        <v>9019</v>
      </c>
    </row>
    <row r="14" spans="1:3" x14ac:dyDescent="0.25">
      <c r="C14" s="1"/>
    </row>
    <row r="15" spans="1:3" x14ac:dyDescent="0.25">
      <c r="A15" t="s">
        <v>6</v>
      </c>
      <c r="C15" s="1"/>
    </row>
    <row r="16" spans="1:3" x14ac:dyDescent="0.25">
      <c r="A16" t="s">
        <v>2</v>
      </c>
      <c r="C16" s="1">
        <f>2000+4300</f>
        <v>6300</v>
      </c>
    </row>
    <row r="17" spans="1:8" x14ac:dyDescent="0.25">
      <c r="A17" t="s">
        <v>7</v>
      </c>
      <c r="C17" s="1">
        <f>2079+2149</f>
        <v>4228</v>
      </c>
    </row>
    <row r="18" spans="1:8" x14ac:dyDescent="0.25">
      <c r="A18" t="s">
        <v>5</v>
      </c>
      <c r="C18" s="2">
        <f>2230-1800+90+117</f>
        <v>637</v>
      </c>
    </row>
    <row r="19" spans="1:8" x14ac:dyDescent="0.25">
      <c r="C19" s="1">
        <f>SUM(C16:C18)</f>
        <v>11165</v>
      </c>
    </row>
    <row r="21" spans="1:8" x14ac:dyDescent="0.25">
      <c r="A21" t="s">
        <v>8</v>
      </c>
    </row>
    <row r="22" spans="1:8" x14ac:dyDescent="0.25">
      <c r="A22" t="s">
        <v>2</v>
      </c>
      <c r="C22" s="1">
        <v>5300</v>
      </c>
      <c r="D22" s="1"/>
      <c r="E22" s="1"/>
      <c r="F22" s="1"/>
      <c r="G22" s="1"/>
      <c r="H22" s="1"/>
    </row>
    <row r="23" spans="1:8" x14ac:dyDescent="0.25">
      <c r="A23" t="s">
        <v>7</v>
      </c>
      <c r="C23" s="1">
        <f>2116+2363</f>
        <v>4479</v>
      </c>
      <c r="D23" s="1"/>
      <c r="E23" s="1"/>
      <c r="F23" s="1"/>
      <c r="G23" s="1"/>
      <c r="H23" s="1"/>
    </row>
    <row r="24" spans="1:8" x14ac:dyDescent="0.25">
      <c r="A24" t="s">
        <v>5</v>
      </c>
      <c r="C24" s="2">
        <f>5070-5000</f>
        <v>70</v>
      </c>
      <c r="D24" s="1"/>
      <c r="E24" s="1"/>
      <c r="F24" s="1"/>
      <c r="G24" s="1"/>
      <c r="H24" s="1"/>
    </row>
    <row r="25" spans="1:8" x14ac:dyDescent="0.25">
      <c r="C25" s="1">
        <f>SUM(C22:C24)</f>
        <v>9849</v>
      </c>
      <c r="D25" s="1"/>
      <c r="E25" s="1"/>
      <c r="F25" s="1"/>
      <c r="G25" s="1"/>
      <c r="H25" s="1"/>
    </row>
    <row r="26" spans="1:8" x14ac:dyDescent="0.25">
      <c r="C26" s="1"/>
      <c r="D26" s="1"/>
      <c r="E26" s="1"/>
      <c r="F26" s="1"/>
      <c r="G26" s="1"/>
      <c r="H26" s="1"/>
    </row>
    <row r="27" spans="1:8" x14ac:dyDescent="0.25">
      <c r="A27" t="s">
        <v>9</v>
      </c>
      <c r="C27" s="1"/>
      <c r="D27" s="1"/>
      <c r="E27" s="1"/>
      <c r="F27" s="1"/>
      <c r="G27" s="1"/>
      <c r="H27" s="1"/>
    </row>
    <row r="28" spans="1:8" x14ac:dyDescent="0.25">
      <c r="A28" t="s">
        <v>2</v>
      </c>
      <c r="C28" s="1"/>
      <c r="D28" s="1"/>
      <c r="E28" s="1"/>
      <c r="F28" s="1"/>
      <c r="G28" s="1"/>
      <c r="H28" s="1"/>
    </row>
    <row r="29" spans="1:8" x14ac:dyDescent="0.25">
      <c r="A29" t="s">
        <v>7</v>
      </c>
      <c r="C29" s="1"/>
      <c r="D29" s="1"/>
      <c r="E29" s="1"/>
      <c r="F29" s="1"/>
      <c r="G29" s="1"/>
      <c r="H29" s="1"/>
    </row>
    <row r="30" spans="1:8" x14ac:dyDescent="0.25">
      <c r="A30" t="s">
        <v>5</v>
      </c>
      <c r="C30" s="1"/>
      <c r="D30" s="1"/>
      <c r="E30" s="1"/>
      <c r="F30" s="1"/>
      <c r="G30" s="1"/>
      <c r="H30" s="1"/>
    </row>
    <row r="31" spans="1:8" x14ac:dyDescent="0.25">
      <c r="C31" s="1"/>
      <c r="D31" s="1"/>
      <c r="E31" s="1"/>
      <c r="F31" s="1"/>
      <c r="G31" s="1"/>
      <c r="H31" s="1"/>
    </row>
    <row r="32" spans="1:8" x14ac:dyDescent="0.25">
      <c r="C32" s="1"/>
      <c r="D32" s="1"/>
      <c r="E32" s="1"/>
      <c r="F32" s="1"/>
      <c r="G32" s="1"/>
      <c r="H32" s="1"/>
    </row>
    <row r="33" spans="1:8" x14ac:dyDescent="0.25">
      <c r="A33" t="s">
        <v>10</v>
      </c>
      <c r="C33" s="1"/>
      <c r="D33" s="1"/>
      <c r="E33" s="1"/>
      <c r="F33" s="1"/>
      <c r="G33" s="1"/>
      <c r="H33" s="1"/>
    </row>
    <row r="34" spans="1:8" x14ac:dyDescent="0.25">
      <c r="A34" t="s">
        <v>2</v>
      </c>
      <c r="C34" s="1">
        <v>9000</v>
      </c>
      <c r="D34" s="1"/>
      <c r="E34" s="1"/>
      <c r="F34" s="1"/>
      <c r="G34" s="1"/>
      <c r="H34" s="1"/>
    </row>
    <row r="35" spans="1:8" x14ac:dyDescent="0.25">
      <c r="A35" t="s">
        <v>7</v>
      </c>
      <c r="C35" s="1">
        <f>2255+2362</f>
        <v>4617</v>
      </c>
      <c r="D35" s="1"/>
      <c r="E35" s="1"/>
      <c r="F35" s="1"/>
      <c r="G35" s="1"/>
      <c r="H35" s="1"/>
    </row>
    <row r="36" spans="1:8" x14ac:dyDescent="0.25">
      <c r="A36" t="s">
        <v>5</v>
      </c>
      <c r="C36" s="2">
        <f>2700-4985+110</f>
        <v>-2175</v>
      </c>
      <c r="D36" s="1"/>
      <c r="E36" s="1"/>
      <c r="F36" s="1"/>
      <c r="G36" s="1"/>
      <c r="H36" s="1"/>
    </row>
    <row r="37" spans="1:8" x14ac:dyDescent="0.25">
      <c r="C37" s="1">
        <f>SUM(C34:C36)</f>
        <v>11442</v>
      </c>
      <c r="D37" s="1"/>
      <c r="E37" s="1"/>
      <c r="F37" s="1"/>
      <c r="G37" s="1"/>
      <c r="H37" s="1"/>
    </row>
    <row r="38" spans="1:8" x14ac:dyDescent="0.25">
      <c r="C38" s="1"/>
      <c r="D38" s="1"/>
      <c r="E38" s="1"/>
      <c r="F38" s="1"/>
      <c r="G38" s="1"/>
      <c r="H38" s="1"/>
    </row>
    <row r="39" spans="1:8" x14ac:dyDescent="0.25">
      <c r="A39" t="s">
        <v>11</v>
      </c>
      <c r="C39" s="1"/>
      <c r="D39" s="1"/>
      <c r="E39" s="1"/>
      <c r="F39" s="1"/>
      <c r="G39" s="1"/>
      <c r="H39" s="1"/>
    </row>
    <row r="40" spans="1:8" x14ac:dyDescent="0.25">
      <c r="A40" t="s">
        <v>2</v>
      </c>
      <c r="C40" s="1">
        <v>2000</v>
      </c>
      <c r="D40" s="1"/>
      <c r="E40" s="1"/>
      <c r="F40" s="1"/>
      <c r="G40" s="1"/>
      <c r="H40" s="1"/>
    </row>
    <row r="41" spans="1:8" x14ac:dyDescent="0.25">
      <c r="A41" t="s">
        <v>7</v>
      </c>
      <c r="C41" s="1">
        <f>2271+2112</f>
        <v>4383</v>
      </c>
      <c r="D41" s="1"/>
      <c r="E41" s="1"/>
      <c r="F41" s="1"/>
      <c r="G41" s="1"/>
      <c r="H41" s="1"/>
    </row>
    <row r="42" spans="1:8" x14ac:dyDescent="0.25">
      <c r="A42" t="s">
        <v>5</v>
      </c>
      <c r="C42" s="2">
        <v>1700</v>
      </c>
      <c r="D42" s="1"/>
      <c r="E42" s="1"/>
      <c r="F42" s="1"/>
      <c r="G42" s="1"/>
      <c r="H42" s="1"/>
    </row>
    <row r="43" spans="1:8" x14ac:dyDescent="0.25">
      <c r="C43" s="1">
        <f>SUM(C40:C42)</f>
        <v>8083</v>
      </c>
      <c r="D43" s="1"/>
      <c r="E43" s="1"/>
      <c r="F43" s="1"/>
      <c r="G43" s="1"/>
      <c r="H43" s="1"/>
    </row>
    <row r="44" spans="1:8" x14ac:dyDescent="0.25">
      <c r="C44" s="1"/>
      <c r="D44" s="1"/>
      <c r="E44" s="1"/>
      <c r="F44" s="1"/>
      <c r="G44" s="1"/>
      <c r="H44" s="1"/>
    </row>
    <row r="45" spans="1:8" x14ac:dyDescent="0.25">
      <c r="A45" t="s">
        <v>12</v>
      </c>
      <c r="C45" s="1"/>
      <c r="D45" s="1"/>
      <c r="E45" s="1"/>
      <c r="F45" s="1"/>
      <c r="G45" s="1"/>
      <c r="H45" s="1"/>
    </row>
    <row r="46" spans="1:8" x14ac:dyDescent="0.25">
      <c r="A46" t="s">
        <v>2</v>
      </c>
      <c r="C46" s="1">
        <f>2500+4000</f>
        <v>6500</v>
      </c>
      <c r="D46" s="1"/>
      <c r="E46" s="1"/>
      <c r="F46" s="1"/>
      <c r="G46" s="1"/>
      <c r="H46" s="1"/>
    </row>
    <row r="47" spans="1:8" x14ac:dyDescent="0.25">
      <c r="A47" t="s">
        <v>7</v>
      </c>
      <c r="C47" s="1">
        <f>2073+220</f>
        <v>2293</v>
      </c>
      <c r="D47" s="1"/>
      <c r="E47" s="1"/>
      <c r="F47" s="1"/>
      <c r="G47" s="1"/>
      <c r="H47" s="1"/>
    </row>
    <row r="48" spans="1:8" x14ac:dyDescent="0.25">
      <c r="A48" t="s">
        <v>13</v>
      </c>
      <c r="C48" s="1">
        <v>23166</v>
      </c>
      <c r="D48" s="1"/>
      <c r="E48" s="1"/>
      <c r="F48" s="1"/>
      <c r="G48" s="1"/>
      <c r="H48" s="1"/>
    </row>
    <row r="49" spans="1:8" x14ac:dyDescent="0.25">
      <c r="A49" t="s">
        <v>5</v>
      </c>
      <c r="C49" s="2">
        <f>900-2230+192+130</f>
        <v>-1008</v>
      </c>
      <c r="D49" s="1"/>
      <c r="E49" s="1"/>
      <c r="F49" s="1"/>
      <c r="G49" s="1"/>
      <c r="H49" s="1"/>
    </row>
    <row r="50" spans="1:8" x14ac:dyDescent="0.25">
      <c r="C50" s="1">
        <f>SUM(C46:C49)</f>
        <v>30951</v>
      </c>
      <c r="D50" s="1"/>
      <c r="E50" s="1"/>
      <c r="F50" s="1"/>
      <c r="G50" s="1"/>
      <c r="H50" s="1"/>
    </row>
    <row r="51" spans="1:8" x14ac:dyDescent="0.25">
      <c r="C51" s="1"/>
      <c r="D51" s="1"/>
      <c r="E51" s="1"/>
      <c r="F51" s="1"/>
      <c r="G51" s="1"/>
      <c r="H51" s="1"/>
    </row>
    <row r="52" spans="1:8" x14ac:dyDescent="0.25">
      <c r="A52" t="s">
        <v>14</v>
      </c>
      <c r="C52" s="1"/>
      <c r="D52" s="1"/>
      <c r="E52" s="1"/>
      <c r="F52" s="1"/>
      <c r="G52" s="1"/>
      <c r="H52" s="1"/>
    </row>
    <row r="53" spans="1:8" x14ac:dyDescent="0.25">
      <c r="A53" t="s">
        <v>2</v>
      </c>
      <c r="C53" s="1">
        <v>3000</v>
      </c>
      <c r="D53" s="1"/>
      <c r="E53" s="1"/>
      <c r="F53" s="1"/>
      <c r="G53" s="1"/>
      <c r="H53" s="1"/>
    </row>
    <row r="54" spans="1:8" x14ac:dyDescent="0.25">
      <c r="A54" t="s">
        <v>7</v>
      </c>
      <c r="C54" s="1">
        <f>2095+2115</f>
        <v>4210</v>
      </c>
      <c r="D54" s="1"/>
      <c r="E54" s="1"/>
      <c r="F54" s="1"/>
      <c r="G54" s="1"/>
      <c r="H54" s="1"/>
    </row>
    <row r="55" spans="1:8" x14ac:dyDescent="0.25">
      <c r="A55" t="s">
        <v>5</v>
      </c>
      <c r="C55" s="2">
        <v>2000</v>
      </c>
      <c r="D55" s="1"/>
      <c r="E55" s="1"/>
      <c r="F55" s="1"/>
      <c r="G55" s="1"/>
      <c r="H55" s="1"/>
    </row>
    <row r="56" spans="1:8" x14ac:dyDescent="0.25">
      <c r="C56" s="1">
        <f>SUM(C53:C55)</f>
        <v>9210</v>
      </c>
      <c r="D56" s="1"/>
    </row>
    <row r="58" spans="1:8" x14ac:dyDescent="0.25">
      <c r="A58" t="s">
        <v>15</v>
      </c>
    </row>
    <row r="59" spans="1:8" x14ac:dyDescent="0.25">
      <c r="A59" t="s">
        <v>2</v>
      </c>
      <c r="C59" s="1">
        <v>4000</v>
      </c>
    </row>
    <row r="60" spans="1:8" x14ac:dyDescent="0.25">
      <c r="A60" t="s">
        <v>7</v>
      </c>
      <c r="C60" s="1">
        <f>2095+2022</f>
        <v>4117</v>
      </c>
    </row>
    <row r="61" spans="1:8" x14ac:dyDescent="0.25">
      <c r="A61" t="s">
        <v>5</v>
      </c>
      <c r="C61" s="2">
        <v>600</v>
      </c>
    </row>
    <row r="62" spans="1:8" x14ac:dyDescent="0.25">
      <c r="C62" s="1">
        <f>SUM(C59:C61)</f>
        <v>8717</v>
      </c>
    </row>
    <row r="64" spans="1:8" x14ac:dyDescent="0.25">
      <c r="A64" t="s">
        <v>16</v>
      </c>
    </row>
    <row r="65" spans="1:3" x14ac:dyDescent="0.25">
      <c r="A65" t="s">
        <v>2</v>
      </c>
      <c r="C65" s="1">
        <f>4000+3000</f>
        <v>7000</v>
      </c>
    </row>
    <row r="66" spans="1:3" x14ac:dyDescent="0.25">
      <c r="A66" t="s">
        <v>7</v>
      </c>
      <c r="C66" s="1">
        <f>2025+2095</f>
        <v>4120</v>
      </c>
    </row>
    <row r="67" spans="1:3" x14ac:dyDescent="0.25">
      <c r="A67" t="s">
        <v>5</v>
      </c>
      <c r="C67" s="2">
        <v>0</v>
      </c>
    </row>
    <row r="68" spans="1:3" x14ac:dyDescent="0.25">
      <c r="C68" s="1">
        <f>SUM(C65:C67)</f>
        <v>11120</v>
      </c>
    </row>
    <row r="70" spans="1:3" x14ac:dyDescent="0.25">
      <c r="A70" t="s">
        <v>17</v>
      </c>
    </row>
    <row r="71" spans="1:3" x14ac:dyDescent="0.25">
      <c r="A71" t="s">
        <v>2</v>
      </c>
      <c r="C71" s="1">
        <v>4000</v>
      </c>
    </row>
    <row r="72" spans="1:3" x14ac:dyDescent="0.25">
      <c r="A72" t="s">
        <v>7</v>
      </c>
      <c r="C72" s="1">
        <f>2035+2095</f>
        <v>4130</v>
      </c>
    </row>
    <row r="73" spans="1:3" x14ac:dyDescent="0.25">
      <c r="A73" t="s">
        <v>5</v>
      </c>
      <c r="C73" s="2">
        <f>1480-2087+216</f>
        <v>-391</v>
      </c>
    </row>
    <row r="74" spans="1:3" x14ac:dyDescent="0.25">
      <c r="C74" s="1">
        <f>SUM(C71:C73)</f>
        <v>7739</v>
      </c>
    </row>
    <row r="76" spans="1:3" x14ac:dyDescent="0.25">
      <c r="A76" t="s">
        <v>18</v>
      </c>
    </row>
    <row r="77" spans="1:3" x14ac:dyDescent="0.25">
      <c r="A77" t="s">
        <v>2</v>
      </c>
      <c r="C77" s="1">
        <f>2000+3000</f>
        <v>5000</v>
      </c>
    </row>
    <row r="78" spans="1:3" x14ac:dyDescent="0.25">
      <c r="A78" t="s">
        <v>7</v>
      </c>
      <c r="C78" s="1">
        <f>1863+2226</f>
        <v>4089</v>
      </c>
    </row>
    <row r="79" spans="1:3" x14ac:dyDescent="0.25">
      <c r="A79" t="s">
        <v>5</v>
      </c>
      <c r="C79" s="2">
        <v>887</v>
      </c>
    </row>
    <row r="80" spans="1:3" x14ac:dyDescent="0.25">
      <c r="C80" s="1">
        <f>SUM(C77:C79)</f>
        <v>9976</v>
      </c>
    </row>
    <row r="82" spans="1:5" x14ac:dyDescent="0.25">
      <c r="A82" s="4" t="s">
        <v>21</v>
      </c>
      <c r="E82" s="4" t="s">
        <v>20</v>
      </c>
    </row>
    <row r="83" spans="1:5" x14ac:dyDescent="0.25">
      <c r="A83" t="s">
        <v>2</v>
      </c>
      <c r="C83" s="1">
        <f>+C5+C10+C16+C22+C28+C34+C40+C46+C53+C59+C65+C71+C77</f>
        <v>59600</v>
      </c>
      <c r="E83" s="1">
        <f>+C83/12</f>
        <v>4966.666666666667</v>
      </c>
    </row>
    <row r="84" spans="1:5" x14ac:dyDescent="0.25">
      <c r="A84" t="s">
        <v>7</v>
      </c>
      <c r="C84" s="1">
        <f>+C6+C11+C17+C23+C29+C35+C41+C47+C54+C60+C66+C72+C78</f>
        <v>49121</v>
      </c>
      <c r="E84" s="1">
        <f>+C84/12</f>
        <v>4093.4166666666665</v>
      </c>
    </row>
    <row r="85" spans="1:5" x14ac:dyDescent="0.25">
      <c r="A85" t="s">
        <v>13</v>
      </c>
      <c r="C85" s="1">
        <v>23166</v>
      </c>
    </row>
    <row r="86" spans="1:5" x14ac:dyDescent="0.25">
      <c r="A86" t="s">
        <v>5</v>
      </c>
      <c r="C86" s="2">
        <f>+C12+C18+C24+C30+C36+C42+C49+C55+C61+C67+C73+C79</f>
        <v>4120</v>
      </c>
      <c r="E86" s="2">
        <f>+C86/12</f>
        <v>343.33333333333331</v>
      </c>
    </row>
    <row r="87" spans="1:5" x14ac:dyDescent="0.25">
      <c r="C87" s="1">
        <f>SUM(C83:C86)</f>
        <v>136007</v>
      </c>
      <c r="E87" s="3">
        <f>SUM(E83:E86)</f>
        <v>9403.4166666666679</v>
      </c>
    </row>
    <row r="89" spans="1:5" x14ac:dyDescent="0.25">
      <c r="A89" t="s">
        <v>19</v>
      </c>
      <c r="C89" s="3">
        <f>+C80+C74+C68+C62+C56+C50+C43+C37+C31+C25+C19+C13+C7</f>
        <v>136007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tabSelected="1" topLeftCell="A306" workbookViewId="0">
      <selection activeCell="C318" sqref="C318"/>
    </sheetView>
  </sheetViews>
  <sheetFormatPr defaultRowHeight="13.2" x14ac:dyDescent="0.25"/>
  <cols>
    <col min="3" max="3" width="9.33203125" bestFit="1" customWidth="1"/>
  </cols>
  <sheetData>
    <row r="1" spans="1:4" x14ac:dyDescent="0.25">
      <c r="A1" s="4" t="s">
        <v>22</v>
      </c>
    </row>
    <row r="2" spans="1:4" x14ac:dyDescent="0.25">
      <c r="A2" s="4" t="s">
        <v>23</v>
      </c>
    </row>
    <row r="5" spans="1:4" x14ac:dyDescent="0.25">
      <c r="A5" s="4" t="s">
        <v>24</v>
      </c>
    </row>
    <row r="6" spans="1:4" x14ac:dyDescent="0.25">
      <c r="A6" t="s">
        <v>44</v>
      </c>
      <c r="C6" s="1">
        <v>147</v>
      </c>
      <c r="D6" s="1"/>
    </row>
    <row r="7" spans="1:4" x14ac:dyDescent="0.25">
      <c r="A7" t="s">
        <v>26</v>
      </c>
      <c r="C7" s="1">
        <f>16+11+134+61+40+42</f>
        <v>304</v>
      </c>
      <c r="D7" s="1"/>
    </row>
    <row r="8" spans="1:4" x14ac:dyDescent="0.25">
      <c r="A8" t="s">
        <v>28</v>
      </c>
      <c r="C8" s="1">
        <v>0</v>
      </c>
      <c r="D8" s="1"/>
    </row>
    <row r="9" spans="1:4" x14ac:dyDescent="0.25">
      <c r="A9" t="s">
        <v>33</v>
      </c>
      <c r="C9" s="1">
        <v>201</v>
      </c>
      <c r="D9" s="1"/>
    </row>
    <row r="10" spans="1:4" x14ac:dyDescent="0.25">
      <c r="A10" t="s">
        <v>27</v>
      </c>
      <c r="C10" s="1">
        <f>70+12+25+15+41+19</f>
        <v>182</v>
      </c>
      <c r="D10" s="1"/>
    </row>
    <row r="11" spans="1:4" x14ac:dyDescent="0.25">
      <c r="A11" t="s">
        <v>29</v>
      </c>
      <c r="C11" s="1">
        <f>125+90+108+67+209+556+12</f>
        <v>1167</v>
      </c>
      <c r="D11" s="1"/>
    </row>
    <row r="12" spans="1:4" x14ac:dyDescent="0.25">
      <c r="A12" t="s">
        <v>30</v>
      </c>
      <c r="C12" s="1">
        <v>252</v>
      </c>
      <c r="D12" s="1"/>
    </row>
    <row r="13" spans="1:4" x14ac:dyDescent="0.25">
      <c r="A13" t="s">
        <v>31</v>
      </c>
      <c r="C13" s="1">
        <f>32+32+33+13</f>
        <v>110</v>
      </c>
      <c r="D13" s="1"/>
    </row>
    <row r="14" spans="1:4" x14ac:dyDescent="0.25">
      <c r="A14" t="s">
        <v>32</v>
      </c>
      <c r="C14" s="1">
        <f>281+63+59</f>
        <v>403</v>
      </c>
      <c r="D14" s="1"/>
    </row>
    <row r="15" spans="1:4" x14ac:dyDescent="0.25">
      <c r="A15" t="s">
        <v>34</v>
      </c>
      <c r="C15" s="1">
        <v>97</v>
      </c>
      <c r="D15" s="1"/>
    </row>
    <row r="16" spans="1:4" x14ac:dyDescent="0.25">
      <c r="A16" t="s">
        <v>35</v>
      </c>
      <c r="C16" s="5">
        <f>148+42+23+251+65+98+24</f>
        <v>651</v>
      </c>
      <c r="D16" s="1"/>
    </row>
    <row r="17" spans="1:4" x14ac:dyDescent="0.25">
      <c r="A17" t="s">
        <v>37</v>
      </c>
      <c r="C17" s="5"/>
      <c r="D17" s="1"/>
    </row>
    <row r="18" spans="1:4" x14ac:dyDescent="0.25">
      <c r="A18" t="s">
        <v>38</v>
      </c>
      <c r="C18" s="5"/>
      <c r="D18" s="1"/>
    </row>
    <row r="19" spans="1:4" x14ac:dyDescent="0.25">
      <c r="A19" t="s">
        <v>41</v>
      </c>
      <c r="C19" s="5"/>
      <c r="D19" s="1"/>
    </row>
    <row r="20" spans="1:4" x14ac:dyDescent="0.25">
      <c r="A20" t="s">
        <v>42</v>
      </c>
      <c r="C20" s="5"/>
      <c r="D20" s="1"/>
    </row>
    <row r="21" spans="1:4" x14ac:dyDescent="0.25">
      <c r="C21" s="5"/>
      <c r="D21" s="1"/>
    </row>
    <row r="22" spans="1:4" x14ac:dyDescent="0.25">
      <c r="C22" s="5"/>
      <c r="D22" s="1"/>
    </row>
    <row r="23" spans="1:4" x14ac:dyDescent="0.25">
      <c r="C23" s="1">
        <f>SUM(C6:C16)</f>
        <v>3514</v>
      </c>
      <c r="D23" s="1"/>
    </row>
    <row r="24" spans="1:4" x14ac:dyDescent="0.25">
      <c r="C24" s="1"/>
      <c r="D24" s="1"/>
    </row>
    <row r="25" spans="1:4" x14ac:dyDescent="0.25">
      <c r="A25" s="4" t="s">
        <v>36</v>
      </c>
      <c r="C25" s="1"/>
      <c r="D25" s="1"/>
    </row>
    <row r="26" spans="1:4" x14ac:dyDescent="0.25">
      <c r="A26" t="s">
        <v>25</v>
      </c>
      <c r="C26" s="1">
        <f>96+420+14+185+42+80+17</f>
        <v>854</v>
      </c>
      <c r="D26" s="1" t="s">
        <v>39</v>
      </c>
    </row>
    <row r="27" spans="1:4" x14ac:dyDescent="0.25">
      <c r="A27" t="s">
        <v>26</v>
      </c>
      <c r="C27">
        <f>38+60+23+44+84</f>
        <v>249</v>
      </c>
    </row>
    <row r="28" spans="1:4" x14ac:dyDescent="0.25">
      <c r="A28" t="s">
        <v>28</v>
      </c>
      <c r="C28">
        <f>145+102</f>
        <v>247</v>
      </c>
    </row>
    <row r="29" spans="1:4" x14ac:dyDescent="0.25">
      <c r="A29" t="s">
        <v>33</v>
      </c>
      <c r="C29">
        <v>0</v>
      </c>
    </row>
    <row r="30" spans="1:4" x14ac:dyDescent="0.25">
      <c r="A30" t="s">
        <v>27</v>
      </c>
      <c r="C30">
        <f>13+48+42+28+72+8+72+250+8+18+41+10</f>
        <v>610</v>
      </c>
    </row>
    <row r="31" spans="1:4" x14ac:dyDescent="0.25">
      <c r="A31" t="s">
        <v>40</v>
      </c>
      <c r="C31">
        <f>14+18+17+190+29+181+98+202</f>
        <v>749</v>
      </c>
    </row>
    <row r="32" spans="1:4" x14ac:dyDescent="0.25">
      <c r="A32" t="s">
        <v>30</v>
      </c>
      <c r="C32">
        <f>107+4+257</f>
        <v>368</v>
      </c>
    </row>
    <row r="33" spans="1:3" x14ac:dyDescent="0.25">
      <c r="A33" t="s">
        <v>31</v>
      </c>
      <c r="C33">
        <f>26+29+10</f>
        <v>65</v>
      </c>
    </row>
    <row r="34" spans="1:3" x14ac:dyDescent="0.25">
      <c r="A34" t="s">
        <v>32</v>
      </c>
      <c r="C34">
        <f>43+33</f>
        <v>76</v>
      </c>
    </row>
    <row r="35" spans="1:3" x14ac:dyDescent="0.25">
      <c r="A35" t="s">
        <v>34</v>
      </c>
      <c r="C35">
        <v>0</v>
      </c>
    </row>
    <row r="36" spans="1:3" x14ac:dyDescent="0.25">
      <c r="A36" t="s">
        <v>35</v>
      </c>
      <c r="C36">
        <f>158+328+22+98+110+19+87+156+237+57</f>
        <v>1272</v>
      </c>
    </row>
    <row r="37" spans="1:3" x14ac:dyDescent="0.25">
      <c r="A37" t="s">
        <v>37</v>
      </c>
      <c r="C37">
        <f>42+155+31+95+40+108+37+1106</f>
        <v>1614</v>
      </c>
    </row>
    <row r="38" spans="1:3" x14ac:dyDescent="0.25">
      <c r="A38" t="s">
        <v>38</v>
      </c>
      <c r="C38">
        <v>485</v>
      </c>
    </row>
    <row r="39" spans="1:3" x14ac:dyDescent="0.25">
      <c r="A39" t="s">
        <v>41</v>
      </c>
      <c r="C39">
        <v>302</v>
      </c>
    </row>
    <row r="40" spans="1:3" x14ac:dyDescent="0.25">
      <c r="A40" t="s">
        <v>42</v>
      </c>
      <c r="C40">
        <v>28</v>
      </c>
    </row>
    <row r="44" spans="1:3" x14ac:dyDescent="0.25">
      <c r="A44" s="4" t="s">
        <v>43</v>
      </c>
    </row>
    <row r="45" spans="1:3" x14ac:dyDescent="0.25">
      <c r="A45" t="s">
        <v>25</v>
      </c>
      <c r="C45">
        <f>135+63+92+44+36+88+121+19</f>
        <v>598</v>
      </c>
    </row>
    <row r="46" spans="1:3" x14ac:dyDescent="0.25">
      <c r="A46" t="s">
        <v>26</v>
      </c>
      <c r="C46">
        <f>31+19+15</f>
        <v>65</v>
      </c>
    </row>
    <row r="47" spans="1:3" x14ac:dyDescent="0.25">
      <c r="A47" t="s">
        <v>28</v>
      </c>
      <c r="C47">
        <f>100+8+100+31</f>
        <v>239</v>
      </c>
    </row>
    <row r="48" spans="1:3" x14ac:dyDescent="0.25">
      <c r="A48" t="s">
        <v>33</v>
      </c>
    </row>
    <row r="49" spans="1:3" x14ac:dyDescent="0.25">
      <c r="A49" t="s">
        <v>27</v>
      </c>
      <c r="C49">
        <f>61+15+15+76+18</f>
        <v>185</v>
      </c>
    </row>
    <row r="50" spans="1:3" x14ac:dyDescent="0.25">
      <c r="A50" t="s">
        <v>40</v>
      </c>
      <c r="C50">
        <f>155+29+283+58+252</f>
        <v>777</v>
      </c>
    </row>
    <row r="51" spans="1:3" x14ac:dyDescent="0.25">
      <c r="A51" t="s">
        <v>30</v>
      </c>
      <c r="C51">
        <v>101</v>
      </c>
    </row>
    <row r="52" spans="1:3" x14ac:dyDescent="0.25">
      <c r="A52" t="s">
        <v>31</v>
      </c>
      <c r="C52">
        <f>35+32+29+32</f>
        <v>128</v>
      </c>
    </row>
    <row r="53" spans="1:3" x14ac:dyDescent="0.25">
      <c r="A53" t="s">
        <v>32</v>
      </c>
      <c r="C53">
        <f>166+199</f>
        <v>365</v>
      </c>
    </row>
    <row r="54" spans="1:3" x14ac:dyDescent="0.25">
      <c r="A54" t="s">
        <v>34</v>
      </c>
      <c r="C54">
        <f>102+209</f>
        <v>311</v>
      </c>
    </row>
    <row r="55" spans="1:3" x14ac:dyDescent="0.25">
      <c r="A55" t="s">
        <v>35</v>
      </c>
      <c r="C55">
        <f>48+50+73+143</f>
        <v>314</v>
      </c>
    </row>
    <row r="56" spans="1:3" x14ac:dyDescent="0.25">
      <c r="A56" t="s">
        <v>37</v>
      </c>
    </row>
    <row r="57" spans="1:3" x14ac:dyDescent="0.25">
      <c r="A57" t="s">
        <v>38</v>
      </c>
    </row>
    <row r="58" spans="1:3" x14ac:dyDescent="0.25">
      <c r="A58" t="s">
        <v>41</v>
      </c>
    </row>
    <row r="59" spans="1:3" x14ac:dyDescent="0.25">
      <c r="A59" t="s">
        <v>42</v>
      </c>
    </row>
    <row r="60" spans="1:3" x14ac:dyDescent="0.25">
      <c r="A60" t="s">
        <v>45</v>
      </c>
      <c r="C60">
        <f>31+13+216</f>
        <v>260</v>
      </c>
    </row>
    <row r="64" spans="1:3" x14ac:dyDescent="0.25">
      <c r="A64" s="4" t="s">
        <v>46</v>
      </c>
    </row>
    <row r="65" spans="1:4" x14ac:dyDescent="0.25">
      <c r="A65" t="s">
        <v>25</v>
      </c>
      <c r="C65">
        <f>30+7</f>
        <v>37</v>
      </c>
    </row>
    <row r="66" spans="1:4" x14ac:dyDescent="0.25">
      <c r="A66" t="s">
        <v>26</v>
      </c>
      <c r="C66">
        <f>37+22+29+28+12</f>
        <v>128</v>
      </c>
    </row>
    <row r="67" spans="1:4" x14ac:dyDescent="0.25">
      <c r="A67" t="s">
        <v>28</v>
      </c>
      <c r="C67">
        <v>45</v>
      </c>
    </row>
    <row r="68" spans="1:4" x14ac:dyDescent="0.25">
      <c r="A68" t="s">
        <v>33</v>
      </c>
    </row>
    <row r="69" spans="1:4" x14ac:dyDescent="0.25">
      <c r="A69" t="s">
        <v>27</v>
      </c>
      <c r="C69">
        <f>82+124+49+32+16+193+28+26</f>
        <v>550</v>
      </c>
    </row>
    <row r="70" spans="1:4" x14ac:dyDescent="0.25">
      <c r="A70" t="s">
        <v>40</v>
      </c>
      <c r="C70">
        <f>39+75+61+44+41+49+32+30+122+98+27+56+763+16+19</f>
        <v>1472</v>
      </c>
    </row>
    <row r="71" spans="1:4" x14ac:dyDescent="0.25">
      <c r="A71" t="s">
        <v>30</v>
      </c>
      <c r="C71">
        <f>115+210</f>
        <v>325</v>
      </c>
    </row>
    <row r="72" spans="1:4" x14ac:dyDescent="0.25">
      <c r="A72" t="s">
        <v>31</v>
      </c>
      <c r="C72">
        <f>31+30+31</f>
        <v>92</v>
      </c>
    </row>
    <row r="73" spans="1:4" x14ac:dyDescent="0.25">
      <c r="A73" t="s">
        <v>32</v>
      </c>
      <c r="C73">
        <f>18+78+49+10+49+19</f>
        <v>223</v>
      </c>
    </row>
    <row r="74" spans="1:4" x14ac:dyDescent="0.25">
      <c r="A74" t="s">
        <v>34</v>
      </c>
    </row>
    <row r="75" spans="1:4" x14ac:dyDescent="0.25">
      <c r="A75" t="s">
        <v>35</v>
      </c>
      <c r="C75">
        <f>44+322</f>
        <v>366</v>
      </c>
    </row>
    <row r="76" spans="1:4" x14ac:dyDescent="0.25">
      <c r="A76" t="s">
        <v>37</v>
      </c>
      <c r="C76">
        <f>185+20</f>
        <v>205</v>
      </c>
      <c r="D76" t="s">
        <v>49</v>
      </c>
    </row>
    <row r="77" spans="1:4" x14ac:dyDescent="0.25">
      <c r="A77" t="s">
        <v>38</v>
      </c>
    </row>
    <row r="78" spans="1:4" x14ac:dyDescent="0.25">
      <c r="A78" t="s">
        <v>41</v>
      </c>
      <c r="C78">
        <f>111+80</f>
        <v>191</v>
      </c>
    </row>
    <row r="79" spans="1:4" x14ac:dyDescent="0.25">
      <c r="A79" t="s">
        <v>42</v>
      </c>
    </row>
    <row r="80" spans="1:4" x14ac:dyDescent="0.25">
      <c r="A80" t="s">
        <v>45</v>
      </c>
    </row>
    <row r="81" spans="1:4" x14ac:dyDescent="0.25">
      <c r="A81" t="s">
        <v>47</v>
      </c>
      <c r="C81">
        <f>791+140</f>
        <v>931</v>
      </c>
      <c r="D81" t="s">
        <v>48</v>
      </c>
    </row>
    <row r="82" spans="1:4" x14ac:dyDescent="0.25">
      <c r="A82" t="s">
        <v>51</v>
      </c>
    </row>
    <row r="85" spans="1:4" x14ac:dyDescent="0.25">
      <c r="A85" s="4" t="s">
        <v>50</v>
      </c>
    </row>
    <row r="86" spans="1:4" x14ac:dyDescent="0.25">
      <c r="A86" t="s">
        <v>25</v>
      </c>
      <c r="C86">
        <v>74</v>
      </c>
    </row>
    <row r="87" spans="1:4" x14ac:dyDescent="0.25">
      <c r="A87" t="s">
        <v>26</v>
      </c>
      <c r="C87">
        <f>90+13+15+11</f>
        <v>129</v>
      </c>
    </row>
    <row r="88" spans="1:4" x14ac:dyDescent="0.25">
      <c r="A88" t="s">
        <v>28</v>
      </c>
    </row>
    <row r="89" spans="1:4" x14ac:dyDescent="0.25">
      <c r="A89" t="s">
        <v>33</v>
      </c>
    </row>
    <row r="90" spans="1:4" x14ac:dyDescent="0.25">
      <c r="A90" t="s">
        <v>27</v>
      </c>
      <c r="C90">
        <f>46+73+40+23</f>
        <v>182</v>
      </c>
    </row>
    <row r="91" spans="1:4" x14ac:dyDescent="0.25">
      <c r="A91" t="s">
        <v>40</v>
      </c>
      <c r="C91">
        <f>26+273+96</f>
        <v>395</v>
      </c>
    </row>
    <row r="92" spans="1:4" x14ac:dyDescent="0.25">
      <c r="A92" t="s">
        <v>30</v>
      </c>
      <c r="C92">
        <v>205</v>
      </c>
    </row>
    <row r="93" spans="1:4" x14ac:dyDescent="0.25">
      <c r="A93" t="s">
        <v>31</v>
      </c>
      <c r="C93">
        <v>31</v>
      </c>
    </row>
    <row r="94" spans="1:4" x14ac:dyDescent="0.25">
      <c r="A94" t="s">
        <v>32</v>
      </c>
    </row>
    <row r="95" spans="1:4" x14ac:dyDescent="0.25">
      <c r="A95" t="s">
        <v>34</v>
      </c>
    </row>
    <row r="96" spans="1:4" x14ac:dyDescent="0.25">
      <c r="A96" t="s">
        <v>35</v>
      </c>
      <c r="C96">
        <f>43+123+16+99-48</f>
        <v>233</v>
      </c>
    </row>
    <row r="97" spans="1:3" x14ac:dyDescent="0.25">
      <c r="A97" t="s">
        <v>37</v>
      </c>
    </row>
    <row r="98" spans="1:3" x14ac:dyDescent="0.25">
      <c r="A98" t="s">
        <v>38</v>
      </c>
    </row>
    <row r="99" spans="1:3" x14ac:dyDescent="0.25">
      <c r="A99" t="s">
        <v>41</v>
      </c>
    </row>
    <row r="100" spans="1:3" x14ac:dyDescent="0.25">
      <c r="A100" t="s">
        <v>42</v>
      </c>
    </row>
    <row r="101" spans="1:3" x14ac:dyDescent="0.25">
      <c r="A101" t="s">
        <v>45</v>
      </c>
    </row>
    <row r="102" spans="1:3" x14ac:dyDescent="0.25">
      <c r="A102" t="s">
        <v>47</v>
      </c>
    </row>
    <row r="103" spans="1:3" x14ac:dyDescent="0.25">
      <c r="A103" t="s">
        <v>51</v>
      </c>
      <c r="C103">
        <v>18</v>
      </c>
    </row>
    <row r="107" spans="1:3" x14ac:dyDescent="0.25">
      <c r="A107" s="4" t="s">
        <v>52</v>
      </c>
    </row>
    <row r="108" spans="1:3" x14ac:dyDescent="0.25">
      <c r="A108" t="s">
        <v>25</v>
      </c>
      <c r="C108">
        <f>89+73+201+57</f>
        <v>420</v>
      </c>
    </row>
    <row r="109" spans="1:3" x14ac:dyDescent="0.25">
      <c r="A109" t="s">
        <v>26</v>
      </c>
      <c r="C109">
        <f>28+28+35+8+20+20+45+85+250</f>
        <v>519</v>
      </c>
    </row>
    <row r="110" spans="1:3" x14ac:dyDescent="0.25">
      <c r="A110" t="s">
        <v>28</v>
      </c>
      <c r="C110">
        <f>90+120+15</f>
        <v>225</v>
      </c>
    </row>
    <row r="111" spans="1:3" x14ac:dyDescent="0.25">
      <c r="A111" t="s">
        <v>33</v>
      </c>
    </row>
    <row r="112" spans="1:3" x14ac:dyDescent="0.25">
      <c r="A112" t="s">
        <v>27</v>
      </c>
      <c r="C112">
        <f>139+41+40+61+58+18+53+40</f>
        <v>450</v>
      </c>
    </row>
    <row r="113" spans="1:3" x14ac:dyDescent="0.25">
      <c r="A113" t="s">
        <v>40</v>
      </c>
      <c r="C113">
        <f>10+38+17+26+55+9+225+11+29+36+561+155</f>
        <v>1172</v>
      </c>
    </row>
    <row r="114" spans="1:3" x14ac:dyDescent="0.25">
      <c r="A114" t="s">
        <v>30</v>
      </c>
    </row>
    <row r="115" spans="1:3" x14ac:dyDescent="0.25">
      <c r="A115" t="s">
        <v>31</v>
      </c>
      <c r="C115">
        <f>37+19+28</f>
        <v>84</v>
      </c>
    </row>
    <row r="116" spans="1:3" x14ac:dyDescent="0.25">
      <c r="A116" t="s">
        <v>32</v>
      </c>
      <c r="C116">
        <f>143+38+158+14+40+93+21</f>
        <v>507</v>
      </c>
    </row>
    <row r="117" spans="1:3" x14ac:dyDescent="0.25">
      <c r="A117" t="s">
        <v>34</v>
      </c>
      <c r="C117">
        <v>199</v>
      </c>
    </row>
    <row r="118" spans="1:3" x14ac:dyDescent="0.25">
      <c r="A118" t="s">
        <v>35</v>
      </c>
      <c r="C118">
        <f>10+70+628+41</f>
        <v>749</v>
      </c>
    </row>
    <row r="119" spans="1:3" x14ac:dyDescent="0.25">
      <c r="A119" t="s">
        <v>37</v>
      </c>
    </row>
    <row r="120" spans="1:3" x14ac:dyDescent="0.25">
      <c r="A120" t="s">
        <v>38</v>
      </c>
    </row>
    <row r="121" spans="1:3" x14ac:dyDescent="0.25">
      <c r="A121" t="s">
        <v>41</v>
      </c>
      <c r="C121">
        <v>44</v>
      </c>
    </row>
    <row r="122" spans="1:3" x14ac:dyDescent="0.25">
      <c r="A122" t="s">
        <v>42</v>
      </c>
    </row>
    <row r="123" spans="1:3" x14ac:dyDescent="0.25">
      <c r="A123" t="s">
        <v>45</v>
      </c>
    </row>
    <row r="124" spans="1:3" x14ac:dyDescent="0.25">
      <c r="A124" t="s">
        <v>47</v>
      </c>
    </row>
    <row r="125" spans="1:3" x14ac:dyDescent="0.25">
      <c r="A125" t="s">
        <v>51</v>
      </c>
      <c r="C125">
        <v>26</v>
      </c>
    </row>
    <row r="130" spans="1:3" x14ac:dyDescent="0.25">
      <c r="A130" s="4" t="s">
        <v>53</v>
      </c>
    </row>
    <row r="131" spans="1:3" x14ac:dyDescent="0.25">
      <c r="A131" t="s">
        <v>25</v>
      </c>
      <c r="C131">
        <f>75+145+44</f>
        <v>264</v>
      </c>
    </row>
    <row r="132" spans="1:3" x14ac:dyDescent="0.25">
      <c r="A132" t="s">
        <v>26</v>
      </c>
      <c r="C132">
        <f>114+41+13+158</f>
        <v>326</v>
      </c>
    </row>
    <row r="133" spans="1:3" x14ac:dyDescent="0.25">
      <c r="A133" t="s">
        <v>28</v>
      </c>
    </row>
    <row r="134" spans="1:3" x14ac:dyDescent="0.25">
      <c r="A134" t="s">
        <v>33</v>
      </c>
    </row>
    <row r="135" spans="1:3" x14ac:dyDescent="0.25">
      <c r="A135" t="s">
        <v>27</v>
      </c>
      <c r="C135">
        <f>166+12</f>
        <v>178</v>
      </c>
    </row>
    <row r="136" spans="1:3" x14ac:dyDescent="0.25">
      <c r="A136" t="s">
        <v>40</v>
      </c>
      <c r="C136">
        <f>188+10+28+35+207+42+31+22+265+16+79</f>
        <v>923</v>
      </c>
    </row>
    <row r="137" spans="1:3" x14ac:dyDescent="0.25">
      <c r="A137" t="s">
        <v>30</v>
      </c>
      <c r="C137">
        <v>124</v>
      </c>
    </row>
    <row r="138" spans="1:3" x14ac:dyDescent="0.25">
      <c r="A138" t="s">
        <v>31</v>
      </c>
      <c r="C138">
        <f>21+54</f>
        <v>75</v>
      </c>
    </row>
    <row r="139" spans="1:3" x14ac:dyDescent="0.25">
      <c r="A139" t="s">
        <v>32</v>
      </c>
      <c r="C139">
        <f>29+39+58+148+119+21+86+25+89+20</f>
        <v>634</v>
      </c>
    </row>
    <row r="140" spans="1:3" x14ac:dyDescent="0.25">
      <c r="A140" t="s">
        <v>34</v>
      </c>
      <c r="C140">
        <v>97</v>
      </c>
    </row>
    <row r="141" spans="1:3" x14ac:dyDescent="0.25">
      <c r="A141" t="s">
        <v>35</v>
      </c>
      <c r="C141">
        <v>22</v>
      </c>
    </row>
    <row r="142" spans="1:3" x14ac:dyDescent="0.25">
      <c r="A142" t="s">
        <v>37</v>
      </c>
    </row>
    <row r="143" spans="1:3" x14ac:dyDescent="0.25">
      <c r="A143" t="s">
        <v>38</v>
      </c>
    </row>
    <row r="144" spans="1:3" x14ac:dyDescent="0.25">
      <c r="A144" t="s">
        <v>41</v>
      </c>
    </row>
    <row r="145" spans="1:3" x14ac:dyDescent="0.25">
      <c r="A145" t="s">
        <v>42</v>
      </c>
    </row>
    <row r="146" spans="1:3" x14ac:dyDescent="0.25">
      <c r="A146" t="s">
        <v>45</v>
      </c>
      <c r="C146">
        <v>29</v>
      </c>
    </row>
    <row r="147" spans="1:3" x14ac:dyDescent="0.25">
      <c r="A147" t="s">
        <v>47</v>
      </c>
    </row>
    <row r="148" spans="1:3" x14ac:dyDescent="0.25">
      <c r="A148" t="s">
        <v>51</v>
      </c>
    </row>
    <row r="149" spans="1:3" x14ac:dyDescent="0.25">
      <c r="A149" t="s">
        <v>54</v>
      </c>
      <c r="C149">
        <f>21+145+100+313+27+109+36+137</f>
        <v>888</v>
      </c>
    </row>
    <row r="152" spans="1:3" x14ac:dyDescent="0.25">
      <c r="A152" s="4" t="s">
        <v>55</v>
      </c>
    </row>
    <row r="153" spans="1:3" x14ac:dyDescent="0.25">
      <c r="A153" t="s">
        <v>25</v>
      </c>
      <c r="C153">
        <f>43+70+125+51</f>
        <v>289</v>
      </c>
    </row>
    <row r="154" spans="1:3" x14ac:dyDescent="0.25">
      <c r="A154" t="s">
        <v>26</v>
      </c>
      <c r="C154">
        <f>67+59+17+150+37</f>
        <v>330</v>
      </c>
    </row>
    <row r="155" spans="1:3" x14ac:dyDescent="0.25">
      <c r="A155" t="s">
        <v>28</v>
      </c>
      <c r="C155">
        <f>175+10+50+161</f>
        <v>396</v>
      </c>
    </row>
    <row r="156" spans="1:3" x14ac:dyDescent="0.25">
      <c r="A156" t="s">
        <v>33</v>
      </c>
      <c r="C156">
        <v>18</v>
      </c>
    </row>
    <row r="157" spans="1:3" x14ac:dyDescent="0.25">
      <c r="A157" t="s">
        <v>27</v>
      </c>
      <c r="C157">
        <f>107+42+293+143+75+34+51+153+57+23+50+20+25+8+15</f>
        <v>1096</v>
      </c>
    </row>
    <row r="158" spans="1:3" x14ac:dyDescent="0.25">
      <c r="A158" t="s">
        <v>40</v>
      </c>
      <c r="C158">
        <f>8+229+5+15+13+45+23+17+55+55+226+640+7+51</f>
        <v>1389</v>
      </c>
    </row>
    <row r="159" spans="1:3" x14ac:dyDescent="0.25">
      <c r="A159" t="s">
        <v>30</v>
      </c>
      <c r="C159">
        <f>288+190</f>
        <v>478</v>
      </c>
    </row>
    <row r="160" spans="1:3" x14ac:dyDescent="0.25">
      <c r="A160" t="s">
        <v>31</v>
      </c>
      <c r="C160">
        <f>32+33</f>
        <v>65</v>
      </c>
    </row>
    <row r="161" spans="1:4" x14ac:dyDescent="0.25">
      <c r="A161" t="s">
        <v>32</v>
      </c>
      <c r="C161">
        <f>36+32+35+17+73+364</f>
        <v>557</v>
      </c>
    </row>
    <row r="162" spans="1:4" x14ac:dyDescent="0.25">
      <c r="A162" t="s">
        <v>34</v>
      </c>
      <c r="C162">
        <v>97</v>
      </c>
    </row>
    <row r="163" spans="1:4" x14ac:dyDescent="0.25">
      <c r="A163" t="s">
        <v>35</v>
      </c>
      <c r="C163">
        <f>265+31+49+85+18</f>
        <v>448</v>
      </c>
    </row>
    <row r="164" spans="1:4" x14ac:dyDescent="0.25">
      <c r="A164" t="s">
        <v>37</v>
      </c>
      <c r="C164">
        <f>1154+230+1832+955+973+710-433</f>
        <v>5421</v>
      </c>
      <c r="D164" t="s">
        <v>56</v>
      </c>
    </row>
    <row r="165" spans="1:4" x14ac:dyDescent="0.25">
      <c r="A165" t="s">
        <v>38</v>
      </c>
    </row>
    <row r="166" spans="1:4" x14ac:dyDescent="0.25">
      <c r="A166" t="s">
        <v>41</v>
      </c>
    </row>
    <row r="167" spans="1:4" x14ac:dyDescent="0.25">
      <c r="A167" t="s">
        <v>42</v>
      </c>
    </row>
    <row r="168" spans="1:4" x14ac:dyDescent="0.25">
      <c r="A168" t="s">
        <v>45</v>
      </c>
      <c r="C168">
        <f>32+31</f>
        <v>63</v>
      </c>
    </row>
    <row r="169" spans="1:4" x14ac:dyDescent="0.25">
      <c r="A169" t="s">
        <v>47</v>
      </c>
    </row>
    <row r="170" spans="1:4" x14ac:dyDescent="0.25">
      <c r="A170" t="s">
        <v>51</v>
      </c>
    </row>
    <row r="171" spans="1:4" x14ac:dyDescent="0.25">
      <c r="A171" t="s">
        <v>54</v>
      </c>
    </row>
    <row r="173" spans="1:4" x14ac:dyDescent="0.25">
      <c r="C173">
        <f>SUM(C153:C172)</f>
        <v>10647</v>
      </c>
    </row>
    <row r="176" spans="1:4" x14ac:dyDescent="0.25">
      <c r="A176" s="4" t="s">
        <v>57</v>
      </c>
    </row>
    <row r="177" spans="1:3" x14ac:dyDescent="0.25">
      <c r="A177" t="s">
        <v>25</v>
      </c>
      <c r="C177">
        <f>65+40+84</f>
        <v>189</v>
      </c>
    </row>
    <row r="178" spans="1:3" x14ac:dyDescent="0.25">
      <c r="A178" t="s">
        <v>26</v>
      </c>
      <c r="C178">
        <f>22+38+31+8+39+20</f>
        <v>158</v>
      </c>
    </row>
    <row r="179" spans="1:3" x14ac:dyDescent="0.25">
      <c r="A179" t="s">
        <v>28</v>
      </c>
      <c r="C179">
        <v>150</v>
      </c>
    </row>
    <row r="180" spans="1:3" x14ac:dyDescent="0.25">
      <c r="A180" t="s">
        <v>33</v>
      </c>
    </row>
    <row r="181" spans="1:3" x14ac:dyDescent="0.25">
      <c r="A181" t="s">
        <v>27</v>
      </c>
      <c r="C181">
        <f>28+72+190+13+29+54+13+10+18+28</f>
        <v>455</v>
      </c>
    </row>
    <row r="182" spans="1:3" x14ac:dyDescent="0.25">
      <c r="A182" t="s">
        <v>40</v>
      </c>
      <c r="C182">
        <f>38+191+29+98+6+218</f>
        <v>580</v>
      </c>
    </row>
    <row r="183" spans="1:3" x14ac:dyDescent="0.25">
      <c r="A183" t="s">
        <v>30</v>
      </c>
      <c r="C183">
        <f>36+233</f>
        <v>269</v>
      </c>
    </row>
    <row r="184" spans="1:3" x14ac:dyDescent="0.25">
      <c r="A184" t="s">
        <v>31</v>
      </c>
      <c r="C184">
        <f>32+32+39</f>
        <v>103</v>
      </c>
    </row>
    <row r="185" spans="1:3" x14ac:dyDescent="0.25">
      <c r="A185" t="s">
        <v>32</v>
      </c>
      <c r="C185">
        <f>108+22</f>
        <v>130</v>
      </c>
    </row>
    <row r="186" spans="1:3" x14ac:dyDescent="0.25">
      <c r="A186" t="s">
        <v>34</v>
      </c>
      <c r="C186">
        <v>209</v>
      </c>
    </row>
    <row r="187" spans="1:3" x14ac:dyDescent="0.25">
      <c r="A187" t="s">
        <v>35</v>
      </c>
      <c r="C187">
        <f>71+55+296+75+75+9+13</f>
        <v>594</v>
      </c>
    </row>
    <row r="188" spans="1:3" x14ac:dyDescent="0.25">
      <c r="A188" t="s">
        <v>37</v>
      </c>
      <c r="C188">
        <v>955</v>
      </c>
    </row>
    <row r="189" spans="1:3" x14ac:dyDescent="0.25">
      <c r="A189" t="s">
        <v>38</v>
      </c>
    </row>
    <row r="190" spans="1:3" x14ac:dyDescent="0.25">
      <c r="A190" t="s">
        <v>41</v>
      </c>
    </row>
    <row r="191" spans="1:3" x14ac:dyDescent="0.25">
      <c r="A191" t="s">
        <v>42</v>
      </c>
    </row>
    <row r="192" spans="1:3" x14ac:dyDescent="0.25">
      <c r="A192" t="s">
        <v>45</v>
      </c>
    </row>
    <row r="193" spans="1:3" x14ac:dyDescent="0.25">
      <c r="A193" t="s">
        <v>47</v>
      </c>
    </row>
    <row r="194" spans="1:3" x14ac:dyDescent="0.25">
      <c r="A194" t="s">
        <v>51</v>
      </c>
    </row>
    <row r="195" spans="1:3" x14ac:dyDescent="0.25">
      <c r="A195" t="s">
        <v>54</v>
      </c>
    </row>
    <row r="198" spans="1:3" x14ac:dyDescent="0.25">
      <c r="A198" s="4" t="s">
        <v>58</v>
      </c>
    </row>
    <row r="199" spans="1:3" x14ac:dyDescent="0.25">
      <c r="A199" t="s">
        <v>25</v>
      </c>
      <c r="C199">
        <f>30+83</f>
        <v>113</v>
      </c>
    </row>
    <row r="200" spans="1:3" x14ac:dyDescent="0.25">
      <c r="A200" t="s">
        <v>26</v>
      </c>
      <c r="C200">
        <f>14+26+85+46</f>
        <v>171</v>
      </c>
    </row>
    <row r="201" spans="1:3" x14ac:dyDescent="0.25">
      <c r="A201" t="s">
        <v>28</v>
      </c>
      <c r="C201">
        <v>125</v>
      </c>
    </row>
    <row r="202" spans="1:3" x14ac:dyDescent="0.25">
      <c r="A202" t="s">
        <v>33</v>
      </c>
    </row>
    <row r="203" spans="1:3" x14ac:dyDescent="0.25">
      <c r="A203" t="s">
        <v>59</v>
      </c>
      <c r="C203">
        <f>18+97+47+92+29+59+30</f>
        <v>372</v>
      </c>
    </row>
    <row r="204" spans="1:3" x14ac:dyDescent="0.25">
      <c r="A204" t="s">
        <v>40</v>
      </c>
      <c r="C204">
        <f>65+99+69+87+106+166</f>
        <v>592</v>
      </c>
    </row>
    <row r="205" spans="1:3" x14ac:dyDescent="0.25">
      <c r="A205" t="s">
        <v>30</v>
      </c>
      <c r="C205">
        <f>236+168</f>
        <v>404</v>
      </c>
    </row>
    <row r="206" spans="1:3" x14ac:dyDescent="0.25">
      <c r="A206" t="s">
        <v>31</v>
      </c>
      <c r="C206">
        <f>30+32+30</f>
        <v>92</v>
      </c>
    </row>
    <row r="207" spans="1:3" x14ac:dyDescent="0.25">
      <c r="A207" t="s">
        <v>32</v>
      </c>
      <c r="C207">
        <v>10</v>
      </c>
    </row>
    <row r="208" spans="1:3" x14ac:dyDescent="0.25">
      <c r="A208" t="s">
        <v>34</v>
      </c>
    </row>
    <row r="209" spans="1:4" x14ac:dyDescent="0.25">
      <c r="A209" t="s">
        <v>35</v>
      </c>
      <c r="C209">
        <f>364+18+106+128+92+81</f>
        <v>789</v>
      </c>
    </row>
    <row r="210" spans="1:4" x14ac:dyDescent="0.25">
      <c r="A210" t="s">
        <v>37</v>
      </c>
      <c r="C210">
        <f>90+44+29+160+313+44+144+26+110+17-309+65+66+29+8+927+405</f>
        <v>2168</v>
      </c>
    </row>
    <row r="211" spans="1:4" x14ac:dyDescent="0.25">
      <c r="A211" t="s">
        <v>38</v>
      </c>
    </row>
    <row r="212" spans="1:4" x14ac:dyDescent="0.25">
      <c r="A212" t="s">
        <v>41</v>
      </c>
    </row>
    <row r="213" spans="1:4" x14ac:dyDescent="0.25">
      <c r="A213" t="s">
        <v>42</v>
      </c>
    </row>
    <row r="214" spans="1:4" x14ac:dyDescent="0.25">
      <c r="A214" t="s">
        <v>45</v>
      </c>
      <c r="C214">
        <f>14+330+60</f>
        <v>404</v>
      </c>
      <c r="D214" t="s">
        <v>60</v>
      </c>
    </row>
    <row r="215" spans="1:4" x14ac:dyDescent="0.25">
      <c r="A215" t="s">
        <v>47</v>
      </c>
    </row>
    <row r="216" spans="1:4" x14ac:dyDescent="0.25">
      <c r="A216" t="s">
        <v>51</v>
      </c>
    </row>
    <row r="217" spans="1:4" x14ac:dyDescent="0.25">
      <c r="A217" t="s">
        <v>54</v>
      </c>
    </row>
    <row r="221" spans="1:4" x14ac:dyDescent="0.25">
      <c r="A221" s="4" t="s">
        <v>62</v>
      </c>
    </row>
    <row r="222" spans="1:4" x14ac:dyDescent="0.25">
      <c r="A222" t="s">
        <v>25</v>
      </c>
      <c r="C222">
        <f>43+51+71</f>
        <v>165</v>
      </c>
    </row>
    <row r="223" spans="1:4" x14ac:dyDescent="0.25">
      <c r="A223" t="s">
        <v>26</v>
      </c>
      <c r="C223">
        <f>13+3+15+79+53+15</f>
        <v>178</v>
      </c>
    </row>
    <row r="224" spans="1:4" x14ac:dyDescent="0.25">
      <c r="A224" t="s">
        <v>28</v>
      </c>
      <c r="C224">
        <f>135+70+350</f>
        <v>555</v>
      </c>
    </row>
    <row r="225" spans="1:3" x14ac:dyDescent="0.25">
      <c r="A225" t="s">
        <v>33</v>
      </c>
    </row>
    <row r="226" spans="1:3" x14ac:dyDescent="0.25">
      <c r="A226" t="s">
        <v>59</v>
      </c>
      <c r="C226">
        <f>29+14+29+102+18+76+25+25+28+87+23+13</f>
        <v>469</v>
      </c>
    </row>
    <row r="227" spans="1:3" x14ac:dyDescent="0.25">
      <c r="A227" t="s">
        <v>40</v>
      </c>
      <c r="C227">
        <f>53+20+10+196+22+17+55+23+66+28+235+55+11</f>
        <v>791</v>
      </c>
    </row>
    <row r="228" spans="1:3" x14ac:dyDescent="0.25">
      <c r="A228" t="s">
        <v>30</v>
      </c>
      <c r="C228">
        <v>116</v>
      </c>
    </row>
    <row r="229" spans="1:3" x14ac:dyDescent="0.25">
      <c r="A229" t="s">
        <v>31</v>
      </c>
      <c r="C229">
        <f>18+36+35</f>
        <v>89</v>
      </c>
    </row>
    <row r="230" spans="1:3" x14ac:dyDescent="0.25">
      <c r="A230" t="s">
        <v>32</v>
      </c>
      <c r="C230">
        <f>81+35+81</f>
        <v>197</v>
      </c>
    </row>
    <row r="231" spans="1:3" x14ac:dyDescent="0.25">
      <c r="A231" t="s">
        <v>34</v>
      </c>
    </row>
    <row r="232" spans="1:3" x14ac:dyDescent="0.25">
      <c r="A232" t="s">
        <v>35</v>
      </c>
      <c r="C232">
        <f>38+58+170+860+140+125</f>
        <v>1391</v>
      </c>
    </row>
    <row r="233" spans="1:3" x14ac:dyDescent="0.25">
      <c r="A233" t="s">
        <v>37</v>
      </c>
      <c r="C233">
        <v>242</v>
      </c>
    </row>
    <row r="234" spans="1:3" x14ac:dyDescent="0.25">
      <c r="A234" t="s">
        <v>38</v>
      </c>
    </row>
    <row r="235" spans="1:3" x14ac:dyDescent="0.25">
      <c r="A235" t="s">
        <v>41</v>
      </c>
    </row>
    <row r="236" spans="1:3" x14ac:dyDescent="0.25">
      <c r="A236" t="s">
        <v>42</v>
      </c>
      <c r="C236">
        <f>122+254</f>
        <v>376</v>
      </c>
    </row>
    <row r="237" spans="1:3" x14ac:dyDescent="0.25">
      <c r="A237" t="s">
        <v>45</v>
      </c>
    </row>
    <row r="238" spans="1:3" x14ac:dyDescent="0.25">
      <c r="A238" t="s">
        <v>47</v>
      </c>
    </row>
    <row r="239" spans="1:3" x14ac:dyDescent="0.25">
      <c r="A239" t="s">
        <v>51</v>
      </c>
    </row>
    <row r="240" spans="1:3" x14ac:dyDescent="0.25">
      <c r="A240" t="s">
        <v>54</v>
      </c>
    </row>
    <row r="243" spans="1:3" x14ac:dyDescent="0.25">
      <c r="A243" s="4" t="s">
        <v>61</v>
      </c>
    </row>
    <row r="244" spans="1:3" x14ac:dyDescent="0.25">
      <c r="A244" t="s">
        <v>25</v>
      </c>
      <c r="C244">
        <f>23+173+63+109+41+113</f>
        <v>522</v>
      </c>
    </row>
    <row r="245" spans="1:3" x14ac:dyDescent="0.25">
      <c r="A245" t="s">
        <v>26</v>
      </c>
      <c r="C245">
        <f>10+32+25+35+28+15</f>
        <v>145</v>
      </c>
    </row>
    <row r="246" spans="1:3" x14ac:dyDescent="0.25">
      <c r="A246" t="s">
        <v>28</v>
      </c>
      <c r="C246">
        <f>25+70</f>
        <v>95</v>
      </c>
    </row>
    <row r="247" spans="1:3" x14ac:dyDescent="0.25">
      <c r="A247" t="s">
        <v>33</v>
      </c>
    </row>
    <row r="248" spans="1:3" x14ac:dyDescent="0.25">
      <c r="A248" t="s">
        <v>59</v>
      </c>
      <c r="C248">
        <f>16+18+17+6+13+22+35+50+10</f>
        <v>187</v>
      </c>
    </row>
    <row r="249" spans="1:3" x14ac:dyDescent="0.25">
      <c r="A249" t="s">
        <v>40</v>
      </c>
      <c r="C249">
        <f>38+7+29+36+17+6+108+99+44+13+257+7+17+49+76+9+31</f>
        <v>843</v>
      </c>
    </row>
    <row r="250" spans="1:3" x14ac:dyDescent="0.25">
      <c r="A250" t="s">
        <v>30</v>
      </c>
      <c r="C250">
        <f>45+58</f>
        <v>103</v>
      </c>
    </row>
    <row r="251" spans="1:3" x14ac:dyDescent="0.25">
      <c r="A251" t="s">
        <v>31</v>
      </c>
      <c r="C251">
        <f>35+37+19</f>
        <v>91</v>
      </c>
    </row>
    <row r="252" spans="1:3" x14ac:dyDescent="0.25">
      <c r="A252" t="s">
        <v>32</v>
      </c>
      <c r="C252">
        <v>114</v>
      </c>
    </row>
    <row r="253" spans="1:3" x14ac:dyDescent="0.25">
      <c r="A253" t="s">
        <v>34</v>
      </c>
      <c r="C253">
        <v>361</v>
      </c>
    </row>
    <row r="254" spans="1:3" x14ac:dyDescent="0.25">
      <c r="A254" t="s">
        <v>35</v>
      </c>
      <c r="C254">
        <f>155+59+159+105+117+63+80+21</f>
        <v>759</v>
      </c>
    </row>
    <row r="255" spans="1:3" x14ac:dyDescent="0.25">
      <c r="A255" t="s">
        <v>37</v>
      </c>
      <c r="C255">
        <f>133+22+32+158+15+175+221+13+369+125+132+33</f>
        <v>1428</v>
      </c>
    </row>
    <row r="256" spans="1:3" x14ac:dyDescent="0.25">
      <c r="A256" t="s">
        <v>38</v>
      </c>
    </row>
    <row r="257" spans="1:3" x14ac:dyDescent="0.25">
      <c r="A257" t="s">
        <v>41</v>
      </c>
      <c r="C257">
        <f>1250+514</f>
        <v>1764</v>
      </c>
    </row>
    <row r="258" spans="1:3" x14ac:dyDescent="0.25">
      <c r="A258" t="s">
        <v>42</v>
      </c>
    </row>
    <row r="259" spans="1:3" x14ac:dyDescent="0.25">
      <c r="A259" t="s">
        <v>45</v>
      </c>
      <c r="C259">
        <f>56+19</f>
        <v>75</v>
      </c>
    </row>
    <row r="260" spans="1:3" x14ac:dyDescent="0.25">
      <c r="A260" t="s">
        <v>47</v>
      </c>
      <c r="C260">
        <v>140</v>
      </c>
    </row>
    <row r="261" spans="1:3" x14ac:dyDescent="0.25">
      <c r="A261" t="s">
        <v>51</v>
      </c>
      <c r="C261">
        <f>23+17+97</f>
        <v>137</v>
      </c>
    </row>
    <row r="262" spans="1:3" x14ac:dyDescent="0.25">
      <c r="A262" t="s">
        <v>54</v>
      </c>
    </row>
    <row r="265" spans="1:3" x14ac:dyDescent="0.25">
      <c r="A265" s="4" t="s">
        <v>63</v>
      </c>
    </row>
    <row r="266" spans="1:3" x14ac:dyDescent="0.25">
      <c r="A266" t="s">
        <v>25</v>
      </c>
      <c r="C266">
        <f>39+109+63+58</f>
        <v>269</v>
      </c>
    </row>
    <row r="267" spans="1:3" x14ac:dyDescent="0.25">
      <c r="A267" t="s">
        <v>26</v>
      </c>
    </row>
    <row r="268" spans="1:3" x14ac:dyDescent="0.25">
      <c r="A268" t="s">
        <v>28</v>
      </c>
      <c r="C268">
        <f>116+75</f>
        <v>191</v>
      </c>
    </row>
    <row r="269" spans="1:3" x14ac:dyDescent="0.25">
      <c r="A269" t="s">
        <v>33</v>
      </c>
    </row>
    <row r="270" spans="1:3" x14ac:dyDescent="0.25">
      <c r="A270" t="s">
        <v>59</v>
      </c>
      <c r="C270">
        <f>38+13+12+85+15+21+25+44+33+16+152+8</f>
        <v>462</v>
      </c>
    </row>
    <row r="271" spans="1:3" x14ac:dyDescent="0.25">
      <c r="A271" t="s">
        <v>40</v>
      </c>
      <c r="C271">
        <f>39+67+120+51+79+50+119+188+25+7+21</f>
        <v>766</v>
      </c>
    </row>
    <row r="272" spans="1:3" x14ac:dyDescent="0.25">
      <c r="A272" t="s">
        <v>30</v>
      </c>
      <c r="C272">
        <f>178+140</f>
        <v>318</v>
      </c>
    </row>
    <row r="273" spans="1:3" x14ac:dyDescent="0.25">
      <c r="A273" t="s">
        <v>31</v>
      </c>
      <c r="C273">
        <f>36+32+26+18</f>
        <v>112</v>
      </c>
    </row>
    <row r="274" spans="1:3" x14ac:dyDescent="0.25">
      <c r="A274" t="s">
        <v>32</v>
      </c>
      <c r="C274">
        <f>22+112+189+189+35-186+35+43+297</f>
        <v>736</v>
      </c>
    </row>
    <row r="275" spans="1:3" x14ac:dyDescent="0.25">
      <c r="A275" t="s">
        <v>34</v>
      </c>
    </row>
    <row r="276" spans="1:3" x14ac:dyDescent="0.25">
      <c r="A276" t="s">
        <v>35</v>
      </c>
      <c r="C276">
        <f>60+108</f>
        <v>168</v>
      </c>
    </row>
    <row r="277" spans="1:3" x14ac:dyDescent="0.25">
      <c r="A277" t="s">
        <v>37</v>
      </c>
      <c r="C277">
        <f>98+110+90</f>
        <v>298</v>
      </c>
    </row>
    <row r="278" spans="1:3" x14ac:dyDescent="0.25">
      <c r="A278" t="s">
        <v>38</v>
      </c>
    </row>
    <row r="279" spans="1:3" x14ac:dyDescent="0.25">
      <c r="A279" t="s">
        <v>41</v>
      </c>
    </row>
    <row r="280" spans="1:3" x14ac:dyDescent="0.25">
      <c r="A280" t="s">
        <v>42</v>
      </c>
    </row>
    <row r="281" spans="1:3" x14ac:dyDescent="0.25">
      <c r="A281" t="s">
        <v>45</v>
      </c>
      <c r="C281">
        <f>148+11+5</f>
        <v>164</v>
      </c>
    </row>
    <row r="282" spans="1:3" x14ac:dyDescent="0.25">
      <c r="A282" t="s">
        <v>47</v>
      </c>
    </row>
    <row r="283" spans="1:3" x14ac:dyDescent="0.25">
      <c r="A283" t="s">
        <v>51</v>
      </c>
      <c r="C283">
        <v>51</v>
      </c>
    </row>
    <row r="284" spans="1:3" x14ac:dyDescent="0.25">
      <c r="A284" t="s">
        <v>54</v>
      </c>
    </row>
    <row r="287" spans="1:3" x14ac:dyDescent="0.25">
      <c r="A287" s="4" t="s">
        <v>64</v>
      </c>
    </row>
    <row r="288" spans="1:3" x14ac:dyDescent="0.25">
      <c r="A288" t="s">
        <v>25</v>
      </c>
      <c r="C288">
        <f>175+85+82+42+112+63+67</f>
        <v>626</v>
      </c>
    </row>
    <row r="289" spans="1:3" x14ac:dyDescent="0.25">
      <c r="A289" t="s">
        <v>26</v>
      </c>
      <c r="C289">
        <f>30+59+55+49</f>
        <v>193</v>
      </c>
    </row>
    <row r="290" spans="1:3" x14ac:dyDescent="0.25">
      <c r="A290" t="s">
        <v>28</v>
      </c>
    </row>
    <row r="291" spans="1:3" x14ac:dyDescent="0.25">
      <c r="A291" t="s">
        <v>33</v>
      </c>
    </row>
    <row r="292" spans="1:3" x14ac:dyDescent="0.25">
      <c r="A292" t="s">
        <v>59</v>
      </c>
      <c r="C292">
        <f>61+15+123+57+27+27+7+10+36+19+15+23+13+28+212</f>
        <v>673</v>
      </c>
    </row>
    <row r="293" spans="1:3" x14ac:dyDescent="0.25">
      <c r="A293" t="s">
        <v>40</v>
      </c>
      <c r="C293">
        <f>8+9+275+32+28-10+14+249+6+16</f>
        <v>627</v>
      </c>
    </row>
    <row r="294" spans="1:3" x14ac:dyDescent="0.25">
      <c r="A294" t="s">
        <v>30</v>
      </c>
      <c r="C294">
        <v>187</v>
      </c>
    </row>
    <row r="295" spans="1:3" x14ac:dyDescent="0.25">
      <c r="A295" t="s">
        <v>31</v>
      </c>
      <c r="C295">
        <f>35+29+31</f>
        <v>95</v>
      </c>
    </row>
    <row r="296" spans="1:3" x14ac:dyDescent="0.25">
      <c r="A296" t="s">
        <v>32</v>
      </c>
      <c r="C296">
        <f>104+44+30+31+292</f>
        <v>501</v>
      </c>
    </row>
    <row r="297" spans="1:3" x14ac:dyDescent="0.25">
      <c r="A297" t="s">
        <v>34</v>
      </c>
    </row>
    <row r="298" spans="1:3" x14ac:dyDescent="0.25">
      <c r="A298" t="s">
        <v>35</v>
      </c>
      <c r="C298">
        <f>57+105+150+71+104</f>
        <v>487</v>
      </c>
    </row>
    <row r="299" spans="1:3" x14ac:dyDescent="0.25">
      <c r="A299" t="s">
        <v>37</v>
      </c>
      <c r="C299">
        <f>99+1564+120+28+31+17+19+8</f>
        <v>1886</v>
      </c>
    </row>
    <row r="300" spans="1:3" x14ac:dyDescent="0.25">
      <c r="A300" t="s">
        <v>38</v>
      </c>
    </row>
    <row r="301" spans="1:3" x14ac:dyDescent="0.25">
      <c r="A301" t="s">
        <v>41</v>
      </c>
    </row>
    <row r="302" spans="1:3" x14ac:dyDescent="0.25">
      <c r="A302" t="s">
        <v>42</v>
      </c>
    </row>
    <row r="303" spans="1:3" x14ac:dyDescent="0.25">
      <c r="A303" t="s">
        <v>45</v>
      </c>
      <c r="C303">
        <v>51</v>
      </c>
    </row>
    <row r="304" spans="1:3" x14ac:dyDescent="0.25">
      <c r="A304" t="s">
        <v>47</v>
      </c>
    </row>
    <row r="305" spans="1:4" x14ac:dyDescent="0.25">
      <c r="A305" t="s">
        <v>51</v>
      </c>
      <c r="C305">
        <f>16+71</f>
        <v>87</v>
      </c>
    </row>
    <row r="306" spans="1:4" x14ac:dyDescent="0.25">
      <c r="A306" t="s">
        <v>54</v>
      </c>
    </row>
    <row r="309" spans="1:4" x14ac:dyDescent="0.25">
      <c r="A309" s="4" t="s">
        <v>65</v>
      </c>
    </row>
    <row r="310" spans="1:4" x14ac:dyDescent="0.25">
      <c r="A310" t="s">
        <v>25</v>
      </c>
      <c r="C310">
        <f>270+230+19+12+59</f>
        <v>590</v>
      </c>
      <c r="D310" t="s">
        <v>66</v>
      </c>
    </row>
    <row r="311" spans="1:4" x14ac:dyDescent="0.25">
      <c r="A311" t="s">
        <v>26</v>
      </c>
      <c r="C311">
        <f>65+19+12</f>
        <v>96</v>
      </c>
    </row>
    <row r="312" spans="1:4" x14ac:dyDescent="0.25">
      <c r="A312" t="s">
        <v>28</v>
      </c>
      <c r="C312">
        <v>270</v>
      </c>
    </row>
    <row r="313" spans="1:4" x14ac:dyDescent="0.25">
      <c r="A313" t="s">
        <v>33</v>
      </c>
    </row>
    <row r="314" spans="1:4" x14ac:dyDescent="0.25">
      <c r="A314" t="s">
        <v>59</v>
      </c>
      <c r="C314">
        <f>56+93+77+18+15+30+113+21+8+32+21</f>
        <v>484</v>
      </c>
    </row>
    <row r="315" spans="1:4" x14ac:dyDescent="0.25">
      <c r="A315" t="s">
        <v>40</v>
      </c>
      <c r="C315">
        <f>53+58+8+44+173+47+17+33</f>
        <v>433</v>
      </c>
    </row>
    <row r="316" spans="1:4" x14ac:dyDescent="0.25">
      <c r="A316" t="s">
        <v>30</v>
      </c>
    </row>
    <row r="317" spans="1:4" x14ac:dyDescent="0.25">
      <c r="A317" t="s">
        <v>31</v>
      </c>
      <c r="C317">
        <f>29+25</f>
        <v>54</v>
      </c>
    </row>
    <row r="318" spans="1:4" x14ac:dyDescent="0.25">
      <c r="A318" t="s">
        <v>32</v>
      </c>
      <c r="C318">
        <f>13+94+37</f>
        <v>144</v>
      </c>
    </row>
    <row r="319" spans="1:4" x14ac:dyDescent="0.25">
      <c r="A319" t="s">
        <v>34</v>
      </c>
    </row>
    <row r="320" spans="1:4" x14ac:dyDescent="0.25">
      <c r="A320" t="s">
        <v>35</v>
      </c>
      <c r="C320">
        <f>265+409+112+78+64</f>
        <v>928</v>
      </c>
    </row>
    <row r="321" spans="1:3" x14ac:dyDescent="0.25">
      <c r="A321" t="s">
        <v>37</v>
      </c>
      <c r="C321">
        <f>270+220+82</f>
        <v>572</v>
      </c>
    </row>
    <row r="322" spans="1:3" x14ac:dyDescent="0.25">
      <c r="A322" t="s">
        <v>38</v>
      </c>
    </row>
    <row r="323" spans="1:3" x14ac:dyDescent="0.25">
      <c r="A323" t="s">
        <v>41</v>
      </c>
    </row>
    <row r="324" spans="1:3" x14ac:dyDescent="0.25">
      <c r="A324" t="s">
        <v>42</v>
      </c>
      <c r="C324">
        <v>1021</v>
      </c>
    </row>
    <row r="325" spans="1:3" x14ac:dyDescent="0.25">
      <c r="A325" t="s">
        <v>45</v>
      </c>
      <c r="C325">
        <f>35+15</f>
        <v>50</v>
      </c>
    </row>
    <row r="326" spans="1:3" x14ac:dyDescent="0.25">
      <c r="A326" t="s">
        <v>47</v>
      </c>
    </row>
    <row r="327" spans="1:3" x14ac:dyDescent="0.25">
      <c r="A327" t="s">
        <v>51</v>
      </c>
      <c r="C327">
        <v>58</v>
      </c>
    </row>
    <row r="328" spans="1:3" x14ac:dyDescent="0.25">
      <c r="A328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</vt:lpstr>
      <vt:lpstr>Amex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Geaccone</dc:creator>
  <cp:lastModifiedBy>Havlíček Jan</cp:lastModifiedBy>
  <cp:lastPrinted>2001-09-23T19:29:19Z</cp:lastPrinted>
  <dcterms:created xsi:type="dcterms:W3CDTF">2001-09-23T17:58:09Z</dcterms:created>
  <dcterms:modified xsi:type="dcterms:W3CDTF">2023-09-10T14:58:23Z</dcterms:modified>
</cp:coreProperties>
</file>