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Allocations!$A$1:$G$41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Allocations!$A$1:$K$40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 iterate="1" calcOnSave="0"/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D38" i="4"/>
  <c r="E38" i="4"/>
  <c r="G38" i="4"/>
  <c r="I38" i="4"/>
  <c r="D40" i="4"/>
  <c r="E40" i="4"/>
  <c r="G40" i="4"/>
  <c r="I40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40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8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2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D60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D77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D101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D114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D134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D162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D166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<sst xmlns="http://schemas.openxmlformats.org/spreadsheetml/2006/main" count="433" uniqueCount="255">
  <si>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</si>
  <si>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</si>
  <si>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</si>
  <si>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</si>
  <si>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</si>
  <si>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</si>
  <si>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</si>
  <si>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</si>
  <si>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</si>
  <si>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</si>
  <si>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</si>
  <si>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</si>
  <si>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</si>
  <si>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</si>
  <si>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</si>
  <si>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</si>
  <si>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</si>
  <si>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</si>
  <si>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</si>
  <si>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</si>
  <si>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</si>
  <si>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</si>
  <si>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</si>
  <si>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</si>
  <si>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</si>
  <si>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</si>
  <si>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</si>
  <si>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</si>
  <si>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</si>
  <si>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</si>
  <si>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</si>
  <si>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</si>
  <si>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</si>
  <si>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</si>
  <si>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</si>
  <si>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</si>
  <si>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</si>
  <si>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</si>
  <si>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</si>
  <si>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</si>
  <si>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</si>
  <si>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</si>
  <si>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</si>
  <si>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</si>
  <si>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</si>
  <si>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</si>
  <si>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</si>
  <si>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</si>
  <si>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</si>
  <si>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</si>
  <si>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</si>
  <si>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</si>
  <si>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</si>
  <si>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</si>
  <si>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</si>
  <si>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</si>
  <si>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</si>
  <si>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</si>
  <si>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</si>
  <si>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</si>
  <si>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</si>
  <si>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</si>
  <si>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</si>
  <si>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</si>
  <si>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</si>
  <si>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</si>
  <si>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</si>
  <si>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</si>
  <si>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</si>
  <si>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</si>
  <si>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</si>
  <si>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</si>
  <si>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</si>
  <si>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</si>
  <si>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</si>
  <si>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</si>
  <si>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</si>
  <si>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</si>
  <si>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</si>
  <si>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</si>
  <si>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</si>
  <si>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</si>
  <si>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</si>
  <si>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</si>
  <si>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</si>
  <si>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</si>
  <si>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</si>
  <si>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</si>
  <si>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</si>
  <si>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</si>
  <si>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</si>
  <si>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</si>
  <si>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</si>
  <si>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</si>
  <si>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</si>
  <si>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</si>
  <si>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</si>
  <si>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</si>
  <si>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</si>
  <si>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</si>
  <si>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</si>
  <si>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</si>
  <si>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</si>
  <si>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</si>
  <si>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</si>
  <si>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</si>
  <si>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</si>
  <si>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</si>
  <si>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</si>
  <si>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</si>
  <si>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</si>
  <si>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</si>
  <si>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</si>
  <si>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</si>
  <si>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</si>
  <si>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</si>
  <si>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</si>
  <si>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</si>
  <si>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</si>
  <si>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</si>
  <si>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</si>
  <si>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</si>
  <si>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India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</si>
  <si>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</si>
  <si>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</si>
  <si>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</si>
  <si>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</si>
  <si>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</si>
  <si>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</si>
  <si>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</si>
  <si>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</si>
  <si>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</si>
  <si>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</si>
  <si>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</si>
  <si>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</si>
  <si>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</si>
  <si>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061P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</si>
  <si>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</si>
  <si>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</si>
  <si>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</si>
  <si>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</si>
  <si>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</si>
  <si>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</si>
  <si>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</si>
  <si>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</si>
  <si>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</si>
  <si>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</si>
  <si>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</si>
  <si>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</si>
  <si>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</si>
  <si>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</si>
  <si>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</si>
  <si>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</si>
  <si>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</si>
  <si>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</si>
  <si>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</si>
  <si>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</si>
  <si>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</si>
  <si>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</si>
  <si>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</si>
  <si>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</si>
  <si>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</si>
  <si>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</si>
  <si>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</si>
  <si>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</si>
  <si>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</si>
  <si>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</si>
  <si>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</si>
  <si>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</si>
  <si>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</si>
  <si>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</si>
  <si>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</si>
  <si>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</si>
  <si>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</si>
  <si>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</si>
  <si>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</si>
  <si>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</si>
  <si>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</si>
  <si>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</si>
  <si>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</si>
  <si>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</si>
  <si>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</si>
  <si>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</si>
  <si>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</si>
  <si>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</si>
  <si>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</si>
  <si>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</si>
  <si>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</si>
  <si>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</si>
  <si>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</si>
  <si>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</si>
  <si>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</si>
  <si>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</si>
  <si>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</si>
  <si>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</si>
  <si>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</si>
  <si>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</si>
  <si>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</si>
  <si>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</si>
  <si>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</si>
  <si>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</si>
  <si>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</si>
  <si>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</si>
  <si>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</si>
  <si>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</si>
  <si>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</si>
  <si>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</si>
  <si>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 xml:space="preserve">3.  Complete the 'Detail Expense' sheet.   </t>
  </si>
  <si>
    <t>5.  Complete the 'Allocations' sheet.  These are the charges you will be sending to each business unit via the</t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</si>
  <si>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</si>
  <si>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</si>
  <si>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</si>
  <si>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</si>
  <si>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</si>
  <si>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</si>
  <si>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</si>
  <si>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</si>
  <si>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</si>
  <si>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</si>
  <si>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</si>
  <si>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</si>
  <si>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</si>
  <si>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</si>
  <si>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</si>
  <si>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</si>
  <si>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</si>
  <si>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</si>
  <si>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</si>
  <si>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</si>
  <si>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7.  Return completed file to Elizabeth Linnell by August 6th.</t>
  </si>
  <si>
    <r>
      <t xml:space="preserve">4.  Complete the 'Detail Capital' sheet.   </t>
    </r>
    <r>
      <rPr>
        <i/>
        <strike/>
        <sz val="12"/>
        <color indexed="10"/>
        <rFont val="Arial"/>
        <family val="2"/>
      </rPr>
      <t>Please do not capitalize more than planned expenses.</t>
    </r>
  </si>
  <si>
    <t>0011</t>
  </si>
  <si>
    <t>100145</t>
  </si>
  <si>
    <t>International Public Relations and Marketing</t>
  </si>
  <si>
    <t>John Ambler</t>
  </si>
  <si>
    <t>Vice President (John Ambler)</t>
  </si>
  <si>
    <t>Sr. Director (Keith Miceli)</t>
  </si>
  <si>
    <t>Director (Habiba Bayi)</t>
  </si>
  <si>
    <t>Manager (Johan Zaayman)</t>
  </si>
  <si>
    <t>Sr. Specialist (Katrin Haux)</t>
  </si>
  <si>
    <t>Specialist (to be filled in Aug 2000)</t>
  </si>
  <si>
    <t>Sr. Adm. Asst (Carla Galvan)</t>
  </si>
  <si>
    <t>Assoc. (Beth Peters convert to SrSpec)</t>
  </si>
  <si>
    <t>Regional/function meetings</t>
  </si>
  <si>
    <t>Project /work overflow</t>
  </si>
  <si>
    <t>Classes for staff</t>
  </si>
  <si>
    <t>PRSA, IABC,IPAD</t>
  </si>
  <si>
    <t>International/Dom. Travel on Projects</t>
  </si>
  <si>
    <t>Events, contractors</t>
  </si>
  <si>
    <t>PR Firms (Int'l/project&amp;regional)</t>
  </si>
  <si>
    <t xml:space="preserve">Brochures/Ads </t>
  </si>
  <si>
    <t>GSM/cellular/remote</t>
  </si>
  <si>
    <t>GPAI/HWAC/</t>
  </si>
  <si>
    <t>Int'l pilot programs/matches</t>
  </si>
  <si>
    <t>Based on Historical usage and anticipated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</si>
</sst>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30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  <font>
      <strike/>
      <sz val="12"/>
      <name val="Arial"/>
      <family val="2"/>
    </font>
    <font>
      <i/>
      <strike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2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8" fillId="0" borderId="0" xfId="0" applyFont="1"/>
    <xf numFmtId="37" fontId="0" fillId="0" borderId="0" xfId="0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13" fillId="0" borderId="0" xfId="0" applyFont="1" applyAlignment="1"/>
    <xf numFmtId="37" fontId="8" fillId="0" borderId="0" xfId="0" applyFont="1" applyAlignme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workbookViewId="0">
      <selection activeCell="G5" sqref="G5:H5"/>
    </sheetView>
  </sheetViews>
  <sheetFormatPr defaultRowHeight="15" x14ac:dyDescent="0.25"/>
  <cols>
    <col min="1" max="1" width="2.54296875" customWidth="1"/>
    <col min="2" max="2" width="4.36328125" customWidth="1"/>
    <col min="3" max="4" width="11" customWidth="1"/>
    <col min="11" max="11" width="10.1796875" customWidth="1"/>
    <col min="12" max="12" width="9.36328125" customWidth="1"/>
  </cols>
  <sheetData>
    <row r="1" spans="2:13" ht="8.25" customHeight="1" x14ac:dyDescent="0.25"/>
    <row r="2" spans="2:13" ht="16.5" customHeight="1" x14ac:dyDescent="0.3">
      <c r="B2" s="223" t="s">
        <v>159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5"/>
    </row>
    <row r="3" spans="2:13" ht="18.75" customHeight="1" x14ac:dyDescent="0.25"/>
    <row r="4" spans="2:13" ht="15.6" x14ac:dyDescent="0.3">
      <c r="B4" t="s">
        <v>101</v>
      </c>
      <c r="E4" s="218" t="s">
        <v>104</v>
      </c>
      <c r="F4" s="218"/>
      <c r="G4" s="219" t="s">
        <v>231</v>
      </c>
      <c r="H4" s="220"/>
    </row>
    <row r="5" spans="2:13" ht="15.6" x14ac:dyDescent="0.3">
      <c r="E5" s="218" t="s">
        <v>102</v>
      </c>
      <c r="F5" s="218"/>
      <c r="G5" s="219" t="s">
        <v>232</v>
      </c>
      <c r="H5" s="220"/>
    </row>
    <row r="6" spans="2:13" ht="15.6" x14ac:dyDescent="0.3">
      <c r="E6" s="218" t="s">
        <v>103</v>
      </c>
      <c r="F6" s="218"/>
      <c r="G6" s="221" t="s">
        <v>233</v>
      </c>
      <c r="H6" s="222"/>
    </row>
    <row r="7" spans="2:13" ht="15.6" x14ac:dyDescent="0.3">
      <c r="E7" s="218" t="s">
        <v>140</v>
      </c>
      <c r="F7" s="218"/>
      <c r="G7" s="221" t="s">
        <v>234</v>
      </c>
      <c r="H7" s="222"/>
    </row>
    <row r="9" spans="2:13" x14ac:dyDescent="0.25">
      <c r="B9" t="s">
        <v>211</v>
      </c>
    </row>
    <row r="11" spans="2:13" x14ac:dyDescent="0.25">
      <c r="B11" t="s">
        <v>207</v>
      </c>
    </row>
    <row r="12" spans="2:13" x14ac:dyDescent="0.25">
      <c r="C12" t="s">
        <v>210</v>
      </c>
    </row>
    <row r="13" spans="2:13" x14ac:dyDescent="0.25">
      <c r="C13" s="148" t="s">
        <v>224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5">
      <c r="C14" s="148" t="s">
        <v>160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5">
      <c r="C15" s="148"/>
      <c r="D15" s="148" t="s">
        <v>146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5">
      <c r="C16" s="148"/>
      <c r="D16" s="148" t="s">
        <v>147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5">
      <c r="C17" t="s">
        <v>213</v>
      </c>
    </row>
    <row r="18" spans="2:12" x14ac:dyDescent="0.25">
      <c r="C18" t="s">
        <v>225</v>
      </c>
    </row>
    <row r="19" spans="2:12" x14ac:dyDescent="0.25">
      <c r="C19" t="s">
        <v>226</v>
      </c>
    </row>
    <row r="21" spans="2:12" ht="15.6" x14ac:dyDescent="0.3">
      <c r="B21" s="217" t="s">
        <v>230</v>
      </c>
    </row>
    <row r="23" spans="2:12" x14ac:dyDescent="0.25">
      <c r="B23" t="s">
        <v>208</v>
      </c>
    </row>
    <row r="24" spans="2:12" ht="15.6" x14ac:dyDescent="0.3">
      <c r="C24" t="s">
        <v>148</v>
      </c>
    </row>
    <row r="26" spans="2:12" x14ac:dyDescent="0.25">
      <c r="B26" s="148" t="s">
        <v>209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x14ac:dyDescent="0.25">
      <c r="B28" t="s">
        <v>229</v>
      </c>
    </row>
  </sheetData>
  <mergeCells count="9">
    <mergeCell ref="E6:F6"/>
    <mergeCell ref="E7:F7"/>
    <mergeCell ref="G5:H5"/>
    <mergeCell ref="G6:H6"/>
    <mergeCell ref="G7:H7"/>
    <mergeCell ref="B2:M2"/>
    <mergeCell ref="G4:H4"/>
    <mergeCell ref="E4:F4"/>
    <mergeCell ref="E5:F5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1" sqref="I1"/>
    </sheetView>
  </sheetViews>
  <sheetFormatPr defaultRowHeight="15" x14ac:dyDescent="0.25"/>
  <cols>
    <col min="2" max="2" width="31.6328125" customWidth="1"/>
    <col min="15" max="15" width="9.81640625" bestFit="1" customWidth="1"/>
  </cols>
  <sheetData>
    <row r="1" spans="1:15" ht="15" customHeight="1" x14ac:dyDescent="0.3">
      <c r="A1" s="8" t="s">
        <v>199</v>
      </c>
      <c r="C1" s="206"/>
      <c r="O1" s="68"/>
    </row>
    <row r="2" spans="1:15" s="124" customFormat="1" ht="15" customHeight="1" x14ac:dyDescent="0.3">
      <c r="A2" s="202" t="str">
        <f>Instructions!G4</f>
        <v>0011</v>
      </c>
      <c r="B2" s="202"/>
      <c r="C2" s="207"/>
      <c r="O2" s="132"/>
    </row>
    <row r="3" spans="1:15" s="91" customFormat="1" ht="15" customHeight="1" x14ac:dyDescent="0.3">
      <c r="A3" s="203" t="str">
        <f>Instructions!G5</f>
        <v>100145</v>
      </c>
      <c r="B3" s="204" t="str">
        <f>Instructions!G6</f>
        <v>International Public Relations and Marketing</v>
      </c>
      <c r="C3" s="208"/>
      <c r="O3" s="135">
        <v>2002</v>
      </c>
    </row>
    <row r="4" spans="1:15" ht="15" customHeight="1" x14ac:dyDescent="0.3">
      <c r="A4" s="63"/>
      <c r="C4" s="206"/>
      <c r="O4" s="51" t="s">
        <v>40</v>
      </c>
    </row>
    <row r="5" spans="1:15" ht="17.399999999999999" x14ac:dyDescent="0.3">
      <c r="A5" s="63"/>
      <c r="B5" s="216" t="s">
        <v>67</v>
      </c>
      <c r="C5" s="206"/>
      <c r="O5" s="51"/>
    </row>
    <row r="6" spans="1:15" s="2" customFormat="1" ht="15" customHeight="1" x14ac:dyDescent="0.3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5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5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5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3">
      <c r="A10" s="63"/>
      <c r="B10" s="6" t="s">
        <v>35</v>
      </c>
      <c r="C10" s="206"/>
      <c r="O10" s="44"/>
    </row>
    <row r="11" spans="1:15" s="100" customFormat="1" x14ac:dyDescent="0.25">
      <c r="A11" s="116"/>
      <c r="B11" s="100" t="s">
        <v>235</v>
      </c>
      <c r="C11" s="211">
        <f>165000/12</f>
        <v>13750</v>
      </c>
      <c r="D11" s="103">
        <f t="shared" ref="D11:D18" si="0">+C11</f>
        <v>13750</v>
      </c>
      <c r="E11" s="103">
        <f>ROUND(+D11*1.0425,0)</f>
        <v>14334</v>
      </c>
      <c r="F11" s="103">
        <f t="shared" ref="F11:N11" si="1">+E11</f>
        <v>14334</v>
      </c>
      <c r="G11" s="103">
        <f t="shared" si="1"/>
        <v>14334</v>
      </c>
      <c r="H11" s="103">
        <f t="shared" si="1"/>
        <v>14334</v>
      </c>
      <c r="I11" s="103">
        <f t="shared" si="1"/>
        <v>14334</v>
      </c>
      <c r="J11" s="103">
        <f t="shared" si="1"/>
        <v>14334</v>
      </c>
      <c r="K11" s="103">
        <f t="shared" si="1"/>
        <v>14334</v>
      </c>
      <c r="L11" s="103">
        <f t="shared" si="1"/>
        <v>14334</v>
      </c>
      <c r="M11" s="103">
        <f t="shared" si="1"/>
        <v>14334</v>
      </c>
      <c r="N11" s="103">
        <f t="shared" si="1"/>
        <v>14334</v>
      </c>
      <c r="O11" s="104">
        <f>SUM(C11:N11)</f>
        <v>170840</v>
      </c>
    </row>
    <row r="12" spans="1:15" s="100" customFormat="1" x14ac:dyDescent="0.25">
      <c r="A12" s="116"/>
      <c r="B12" s="100" t="s">
        <v>236</v>
      </c>
      <c r="C12" s="211">
        <f>102500/12</f>
        <v>8541.6666666666661</v>
      </c>
      <c r="D12" s="103">
        <f t="shared" si="0"/>
        <v>8541.6666666666661</v>
      </c>
      <c r="E12" s="103">
        <f t="shared" ref="E12:E60" si="2">ROUND(+D12*1.0425,0)</f>
        <v>8905</v>
      </c>
      <c r="F12" s="103">
        <f t="shared" ref="F12:N12" si="3">+E12</f>
        <v>8905</v>
      </c>
      <c r="G12" s="103">
        <f t="shared" si="3"/>
        <v>8905</v>
      </c>
      <c r="H12" s="103">
        <f t="shared" si="3"/>
        <v>8905</v>
      </c>
      <c r="I12" s="103">
        <f t="shared" si="3"/>
        <v>8905</v>
      </c>
      <c r="J12" s="103">
        <f t="shared" si="3"/>
        <v>8905</v>
      </c>
      <c r="K12" s="103">
        <f t="shared" si="3"/>
        <v>8905</v>
      </c>
      <c r="L12" s="103">
        <f t="shared" si="3"/>
        <v>8905</v>
      </c>
      <c r="M12" s="103">
        <f t="shared" si="3"/>
        <v>8905</v>
      </c>
      <c r="N12" s="103">
        <f t="shared" si="3"/>
        <v>8905</v>
      </c>
      <c r="O12" s="104">
        <f t="shared" ref="O12:O60" si="4">SUM(C12:N12)</f>
        <v>106133.33333333333</v>
      </c>
    </row>
    <row r="13" spans="1:15" s="100" customFormat="1" x14ac:dyDescent="0.25">
      <c r="A13" s="116"/>
      <c r="B13" s="100" t="s">
        <v>237</v>
      </c>
      <c r="C13" s="211">
        <f>93825/12</f>
        <v>7818.75</v>
      </c>
      <c r="D13" s="103">
        <f t="shared" si="0"/>
        <v>7818.75</v>
      </c>
      <c r="E13" s="103">
        <f t="shared" si="2"/>
        <v>8151</v>
      </c>
      <c r="F13" s="103">
        <f t="shared" ref="F13:N13" si="5">+E13</f>
        <v>8151</v>
      </c>
      <c r="G13" s="103">
        <f t="shared" si="5"/>
        <v>8151</v>
      </c>
      <c r="H13" s="103">
        <f t="shared" si="5"/>
        <v>8151</v>
      </c>
      <c r="I13" s="103">
        <f t="shared" si="5"/>
        <v>8151</v>
      </c>
      <c r="J13" s="103">
        <f t="shared" si="5"/>
        <v>8151</v>
      </c>
      <c r="K13" s="103">
        <f t="shared" si="5"/>
        <v>8151</v>
      </c>
      <c r="L13" s="103">
        <f t="shared" si="5"/>
        <v>8151</v>
      </c>
      <c r="M13" s="103">
        <f t="shared" si="5"/>
        <v>8151</v>
      </c>
      <c r="N13" s="103">
        <f t="shared" si="5"/>
        <v>8151</v>
      </c>
      <c r="O13" s="104">
        <f t="shared" si="4"/>
        <v>97147.5</v>
      </c>
    </row>
    <row r="14" spans="1:15" s="100" customFormat="1" x14ac:dyDescent="0.25">
      <c r="A14" s="116"/>
      <c r="B14" s="100" t="s">
        <v>238</v>
      </c>
      <c r="C14" s="211">
        <f>74633/12</f>
        <v>6219.416666666667</v>
      </c>
      <c r="D14" s="103">
        <f t="shared" si="0"/>
        <v>6219.416666666667</v>
      </c>
      <c r="E14" s="103">
        <f t="shared" si="2"/>
        <v>6484</v>
      </c>
      <c r="F14" s="103">
        <f t="shared" ref="F14:N14" si="6">+E14</f>
        <v>6484</v>
      </c>
      <c r="G14" s="103">
        <f t="shared" si="6"/>
        <v>6484</v>
      </c>
      <c r="H14" s="103">
        <f t="shared" si="6"/>
        <v>6484</v>
      </c>
      <c r="I14" s="103">
        <f t="shared" si="6"/>
        <v>6484</v>
      </c>
      <c r="J14" s="103">
        <f t="shared" si="6"/>
        <v>6484</v>
      </c>
      <c r="K14" s="103">
        <f t="shared" si="6"/>
        <v>6484</v>
      </c>
      <c r="L14" s="103">
        <f t="shared" si="6"/>
        <v>6484</v>
      </c>
      <c r="M14" s="103">
        <f t="shared" si="6"/>
        <v>6484</v>
      </c>
      <c r="N14" s="103">
        <f t="shared" si="6"/>
        <v>6484</v>
      </c>
      <c r="O14" s="104">
        <f t="shared" si="4"/>
        <v>77278.833333333343</v>
      </c>
    </row>
    <row r="15" spans="1:15" s="100" customFormat="1" x14ac:dyDescent="0.25">
      <c r="A15" s="116"/>
      <c r="B15" s="100" t="s">
        <v>239</v>
      </c>
      <c r="C15" s="211">
        <f>53000/12</f>
        <v>4416.666666666667</v>
      </c>
      <c r="D15" s="103">
        <f t="shared" si="0"/>
        <v>4416.666666666667</v>
      </c>
      <c r="E15" s="103">
        <f t="shared" si="2"/>
        <v>4604</v>
      </c>
      <c r="F15" s="103">
        <f t="shared" ref="F15:N15" si="7">+E15</f>
        <v>4604</v>
      </c>
      <c r="G15" s="103">
        <f t="shared" si="7"/>
        <v>4604</v>
      </c>
      <c r="H15" s="103">
        <f t="shared" si="7"/>
        <v>4604</v>
      </c>
      <c r="I15" s="103">
        <f t="shared" si="7"/>
        <v>4604</v>
      </c>
      <c r="J15" s="103">
        <f t="shared" si="7"/>
        <v>4604</v>
      </c>
      <c r="K15" s="103">
        <f t="shared" si="7"/>
        <v>4604</v>
      </c>
      <c r="L15" s="103">
        <f t="shared" si="7"/>
        <v>4604</v>
      </c>
      <c r="M15" s="103">
        <f t="shared" si="7"/>
        <v>4604</v>
      </c>
      <c r="N15" s="103">
        <f t="shared" si="7"/>
        <v>4604</v>
      </c>
      <c r="O15" s="104">
        <f t="shared" si="4"/>
        <v>54873.333333333336</v>
      </c>
    </row>
    <row r="16" spans="1:15" s="100" customFormat="1" x14ac:dyDescent="0.25">
      <c r="A16" s="116"/>
      <c r="B16" s="100" t="s">
        <v>240</v>
      </c>
      <c r="C16" s="211">
        <f>46908/12</f>
        <v>3909</v>
      </c>
      <c r="D16" s="103">
        <f t="shared" si="0"/>
        <v>3909</v>
      </c>
      <c r="E16" s="103">
        <f t="shared" si="2"/>
        <v>4075</v>
      </c>
      <c r="F16" s="103">
        <f t="shared" ref="F16:N16" si="8">+E16</f>
        <v>4075</v>
      </c>
      <c r="G16" s="103">
        <f t="shared" si="8"/>
        <v>4075</v>
      </c>
      <c r="H16" s="103">
        <f t="shared" si="8"/>
        <v>4075</v>
      </c>
      <c r="I16" s="103">
        <f t="shared" si="8"/>
        <v>4075</v>
      </c>
      <c r="J16" s="103">
        <f t="shared" si="8"/>
        <v>4075</v>
      </c>
      <c r="K16" s="103">
        <f t="shared" si="8"/>
        <v>4075</v>
      </c>
      <c r="L16" s="103">
        <f t="shared" si="8"/>
        <v>4075</v>
      </c>
      <c r="M16" s="103">
        <f t="shared" si="8"/>
        <v>4075</v>
      </c>
      <c r="N16" s="103">
        <f t="shared" si="8"/>
        <v>4075</v>
      </c>
      <c r="O16" s="104">
        <f t="shared" si="4"/>
        <v>48568</v>
      </c>
    </row>
    <row r="17" spans="1:15" s="100" customFormat="1" x14ac:dyDescent="0.25">
      <c r="A17" s="116"/>
      <c r="B17" s="100" t="s">
        <v>240</v>
      </c>
      <c r="C17" s="211">
        <f>46908/12</f>
        <v>3909</v>
      </c>
      <c r="D17" s="103">
        <f t="shared" si="0"/>
        <v>3909</v>
      </c>
      <c r="E17" s="103">
        <f t="shared" si="2"/>
        <v>4075</v>
      </c>
      <c r="F17" s="103">
        <f t="shared" ref="F17:N17" si="9">+E17</f>
        <v>4075</v>
      </c>
      <c r="G17" s="103">
        <f t="shared" si="9"/>
        <v>4075</v>
      </c>
      <c r="H17" s="103">
        <f t="shared" si="9"/>
        <v>4075</v>
      </c>
      <c r="I17" s="103">
        <f t="shared" si="9"/>
        <v>4075</v>
      </c>
      <c r="J17" s="103">
        <f t="shared" si="9"/>
        <v>4075</v>
      </c>
      <c r="K17" s="103">
        <f t="shared" si="9"/>
        <v>4075</v>
      </c>
      <c r="L17" s="103">
        <f t="shared" si="9"/>
        <v>4075</v>
      </c>
      <c r="M17" s="103">
        <f t="shared" si="9"/>
        <v>4075</v>
      </c>
      <c r="N17" s="103">
        <f t="shared" si="9"/>
        <v>4075</v>
      </c>
      <c r="O17" s="104">
        <f t="shared" si="4"/>
        <v>48568</v>
      </c>
    </row>
    <row r="18" spans="1:15" s="100" customFormat="1" x14ac:dyDescent="0.25">
      <c r="A18" s="116"/>
      <c r="B18" s="100" t="s">
        <v>241</v>
      </c>
      <c r="C18" s="211">
        <f>36299/12</f>
        <v>3024.9166666666665</v>
      </c>
      <c r="D18" s="103">
        <f t="shared" si="0"/>
        <v>3024.9166666666665</v>
      </c>
      <c r="E18" s="103">
        <f t="shared" si="2"/>
        <v>3153</v>
      </c>
      <c r="F18" s="103">
        <f t="shared" ref="F18:N18" si="10">+E18</f>
        <v>3153</v>
      </c>
      <c r="G18" s="103">
        <f t="shared" si="10"/>
        <v>3153</v>
      </c>
      <c r="H18" s="103">
        <f t="shared" si="10"/>
        <v>3153</v>
      </c>
      <c r="I18" s="103">
        <f t="shared" si="10"/>
        <v>3153</v>
      </c>
      <c r="J18" s="103">
        <f t="shared" si="10"/>
        <v>3153</v>
      </c>
      <c r="K18" s="103">
        <f t="shared" si="10"/>
        <v>3153</v>
      </c>
      <c r="L18" s="103">
        <f t="shared" si="10"/>
        <v>3153</v>
      </c>
      <c r="M18" s="103">
        <f t="shared" si="10"/>
        <v>3153</v>
      </c>
      <c r="N18" s="103">
        <f t="shared" si="10"/>
        <v>3153</v>
      </c>
      <c r="O18" s="104">
        <f t="shared" si="4"/>
        <v>37579.833333333328</v>
      </c>
    </row>
    <row r="19" spans="1:15" s="100" customFormat="1" x14ac:dyDescent="0.25">
      <c r="A19" s="116"/>
      <c r="B19" s="100" t="s">
        <v>242</v>
      </c>
      <c r="C19" s="211">
        <f>81000/12</f>
        <v>6750</v>
      </c>
      <c r="D19" s="103">
        <f t="shared" ref="D19:D60" si="11">+C19</f>
        <v>6750</v>
      </c>
      <c r="E19" s="103">
        <f t="shared" si="2"/>
        <v>7037</v>
      </c>
      <c r="F19" s="103">
        <f t="shared" ref="F19:N19" si="12">+E19</f>
        <v>7037</v>
      </c>
      <c r="G19" s="103">
        <f t="shared" si="12"/>
        <v>7037</v>
      </c>
      <c r="H19" s="103">
        <f t="shared" si="12"/>
        <v>7037</v>
      </c>
      <c r="I19" s="103">
        <f t="shared" si="12"/>
        <v>7037</v>
      </c>
      <c r="J19" s="103">
        <f t="shared" si="12"/>
        <v>7037</v>
      </c>
      <c r="K19" s="103">
        <f t="shared" si="12"/>
        <v>7037</v>
      </c>
      <c r="L19" s="103">
        <f t="shared" si="12"/>
        <v>7037</v>
      </c>
      <c r="M19" s="103">
        <f t="shared" si="12"/>
        <v>7037</v>
      </c>
      <c r="N19" s="103">
        <f t="shared" si="12"/>
        <v>7037</v>
      </c>
      <c r="O19" s="104">
        <f t="shared" si="4"/>
        <v>83870</v>
      </c>
    </row>
    <row r="20" spans="1:15" s="100" customFormat="1" x14ac:dyDescent="0.25">
      <c r="A20" s="116"/>
      <c r="B20" s="100" t="s">
        <v>36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5">
      <c r="A21" s="116"/>
      <c r="B21" s="100" t="s">
        <v>106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5">
      <c r="A22" s="116"/>
      <c r="B22" s="100" t="s">
        <v>107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5">
      <c r="A23" s="116"/>
      <c r="B23" s="100" t="s">
        <v>108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5">
      <c r="A24" s="116"/>
      <c r="B24" s="100" t="s">
        <v>109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5">
      <c r="A25" s="116"/>
      <c r="B25" s="100" t="s">
        <v>110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5">
      <c r="A26" s="116"/>
      <c r="B26" s="100" t="s">
        <v>111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5">
      <c r="A27" s="116"/>
      <c r="B27" s="100" t="s">
        <v>112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5">
      <c r="A28" s="116"/>
      <c r="B28" s="100" t="s">
        <v>113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5">
      <c r="A29" s="116"/>
      <c r="B29" s="100" t="s">
        <v>114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5">
      <c r="A30" s="116"/>
      <c r="B30" s="100" t="s">
        <v>115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5">
      <c r="A31" s="116"/>
      <c r="B31" s="100" t="s">
        <v>116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5">
      <c r="A32" s="116"/>
      <c r="B32" s="100" t="s">
        <v>117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5">
      <c r="A33" s="116"/>
      <c r="B33" s="100" t="s">
        <v>118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5">
      <c r="A34" s="116"/>
      <c r="B34" s="100" t="s">
        <v>119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5">
      <c r="A35" s="116"/>
      <c r="B35" s="100" t="s">
        <v>120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5">
      <c r="A36" s="116"/>
      <c r="B36" s="100" t="s">
        <v>174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5">
      <c r="A37" s="116"/>
      <c r="B37" s="100" t="s">
        <v>175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5">
      <c r="A38" s="116"/>
      <c r="B38" s="100" t="s">
        <v>176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5">
      <c r="A39" s="116"/>
      <c r="B39" s="100" t="s">
        <v>177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5">
      <c r="A40" s="116"/>
      <c r="B40" s="100" t="s">
        <v>178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5">
      <c r="A41" s="116"/>
      <c r="B41" s="100" t="s">
        <v>179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5">
      <c r="A42" s="116"/>
      <c r="B42" s="100" t="s">
        <v>180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5">
      <c r="A43" s="116"/>
      <c r="B43" s="100" t="s">
        <v>181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5">
      <c r="A44" s="116"/>
      <c r="B44" s="100" t="s">
        <v>182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5">
      <c r="A45" s="116"/>
      <c r="B45" s="100" t="s">
        <v>183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5">
      <c r="A46" s="116"/>
      <c r="B46" s="100" t="s">
        <v>184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5">
      <c r="A47" s="116"/>
      <c r="B47" s="100" t="s">
        <v>185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5">
      <c r="A48" s="116"/>
      <c r="B48" s="100" t="s">
        <v>186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5">
      <c r="A49" s="116"/>
      <c r="B49" s="100" t="s">
        <v>187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5">
      <c r="A50" s="116"/>
      <c r="B50" s="100" t="s">
        <v>188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5">
      <c r="A51" s="116"/>
      <c r="B51" s="100" t="s">
        <v>189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5">
      <c r="A52" s="116"/>
      <c r="B52" s="100" t="s">
        <v>190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5">
      <c r="A53" s="116"/>
      <c r="B53" s="100" t="s">
        <v>191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5">
      <c r="A54" s="116"/>
      <c r="B54" s="100" t="s">
        <v>192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5">
      <c r="A55" s="116"/>
      <c r="B55" s="100" t="s">
        <v>193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5">
      <c r="A56" s="116"/>
      <c r="B56" s="100" t="s">
        <v>194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5">
      <c r="A57" s="116"/>
      <c r="B57" s="100" t="s">
        <v>195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5">
      <c r="A58" s="116"/>
      <c r="B58" s="100" t="s">
        <v>196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5">
      <c r="A59" s="116"/>
      <c r="B59" s="100" t="s">
        <v>197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5">
      <c r="A60" s="116"/>
      <c r="B60" s="100" t="s">
        <v>198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5">
      <c r="A61" s="63"/>
      <c r="B61" t="s">
        <v>16</v>
      </c>
      <c r="C61" s="213">
        <f t="shared" ref="C61:O61" si="54">SUM(C11:C60)</f>
        <v>58339.416666666657</v>
      </c>
      <c r="D61" s="13">
        <f t="shared" si="54"/>
        <v>58339.416666666657</v>
      </c>
      <c r="E61" s="13">
        <f t="shared" si="54"/>
        <v>60818</v>
      </c>
      <c r="F61" s="13">
        <f t="shared" si="54"/>
        <v>60818</v>
      </c>
      <c r="G61" s="13">
        <f t="shared" si="54"/>
        <v>60818</v>
      </c>
      <c r="H61" s="13">
        <f t="shared" si="54"/>
        <v>60818</v>
      </c>
      <c r="I61" s="13">
        <f t="shared" si="54"/>
        <v>60818</v>
      </c>
      <c r="J61" s="13">
        <f t="shared" si="54"/>
        <v>60818</v>
      </c>
      <c r="K61" s="13">
        <f t="shared" si="54"/>
        <v>60818</v>
      </c>
      <c r="L61" s="13">
        <f t="shared" si="54"/>
        <v>60818</v>
      </c>
      <c r="M61" s="13">
        <f t="shared" si="54"/>
        <v>60818</v>
      </c>
      <c r="N61" s="13">
        <f t="shared" si="54"/>
        <v>60818</v>
      </c>
      <c r="O61" s="88">
        <f t="shared" si="54"/>
        <v>724858.83333333337</v>
      </c>
    </row>
    <row r="62" spans="1:15" hidden="1" x14ac:dyDescent="0.25">
      <c r="A62" s="63"/>
      <c r="B62" s="15"/>
      <c r="C62" s="206"/>
      <c r="O62" s="44"/>
    </row>
    <row r="63" spans="1:15" ht="15.6" hidden="1" x14ac:dyDescent="0.3">
      <c r="A63" s="63"/>
      <c r="B63" s="6" t="s">
        <v>37</v>
      </c>
      <c r="C63" s="206"/>
      <c r="O63" s="44"/>
    </row>
    <row r="64" spans="1:15" s="9" customFormat="1" hidden="1" x14ac:dyDescent="0.25">
      <c r="A64" s="76"/>
      <c r="B64" s="9" t="str">
        <f>+B11</f>
        <v>Vice President (John Ambler)</v>
      </c>
      <c r="C64" s="212">
        <f>+C11</f>
        <v>13750</v>
      </c>
      <c r="D64" s="9">
        <f>+D11+C64+((C11*12)*0.17)</f>
        <v>55550</v>
      </c>
      <c r="E64" s="9">
        <f t="shared" ref="E64:N64" si="55">+E11+D64</f>
        <v>69884</v>
      </c>
      <c r="F64" s="9">
        <f t="shared" si="55"/>
        <v>84218</v>
      </c>
      <c r="G64" s="9">
        <f t="shared" si="55"/>
        <v>98552</v>
      </c>
      <c r="H64" s="9">
        <f t="shared" si="55"/>
        <v>112886</v>
      </c>
      <c r="I64" s="9">
        <f t="shared" si="55"/>
        <v>127220</v>
      </c>
      <c r="J64" s="9">
        <f t="shared" si="55"/>
        <v>141554</v>
      </c>
      <c r="K64" s="9">
        <f t="shared" si="55"/>
        <v>155888</v>
      </c>
      <c r="L64" s="9">
        <f t="shared" si="55"/>
        <v>170222</v>
      </c>
      <c r="M64" s="9">
        <f t="shared" si="55"/>
        <v>184556</v>
      </c>
      <c r="N64" s="9">
        <f t="shared" si="55"/>
        <v>198890</v>
      </c>
      <c r="O64" s="65"/>
    </row>
    <row r="65" spans="1:15" s="9" customFormat="1" hidden="1" x14ac:dyDescent="0.25">
      <c r="A65" s="76"/>
      <c r="B65" s="9" t="str">
        <f t="shared" ref="B65:C113" si="56">+B12</f>
        <v>Sr. Director (Keith Miceli)</v>
      </c>
      <c r="C65" s="212">
        <f t="shared" si="56"/>
        <v>8541.6666666666661</v>
      </c>
      <c r="D65" s="9">
        <f t="shared" ref="D65:D113" si="57">+D12+C65+((C12*12)*0.17)</f>
        <v>34508.333333333328</v>
      </c>
      <c r="E65" s="9">
        <f t="shared" ref="E65:N65" si="58">+E12+D65</f>
        <v>43413.333333333328</v>
      </c>
      <c r="F65" s="9">
        <f t="shared" si="58"/>
        <v>52318.333333333328</v>
      </c>
      <c r="G65" s="9">
        <f t="shared" si="58"/>
        <v>61223.333333333328</v>
      </c>
      <c r="H65" s="9">
        <f t="shared" si="58"/>
        <v>70128.333333333328</v>
      </c>
      <c r="I65" s="9">
        <f t="shared" si="58"/>
        <v>79033.333333333328</v>
      </c>
      <c r="J65" s="9">
        <f t="shared" si="58"/>
        <v>87938.333333333328</v>
      </c>
      <c r="K65" s="9">
        <f t="shared" si="58"/>
        <v>96843.333333333328</v>
      </c>
      <c r="L65" s="9">
        <f t="shared" si="58"/>
        <v>105748.33333333333</v>
      </c>
      <c r="M65" s="9">
        <f t="shared" si="58"/>
        <v>114653.33333333333</v>
      </c>
      <c r="N65" s="9">
        <f t="shared" si="58"/>
        <v>123558.33333333333</v>
      </c>
      <c r="O65" s="65"/>
    </row>
    <row r="66" spans="1:15" s="9" customFormat="1" hidden="1" x14ac:dyDescent="0.25">
      <c r="A66" s="76"/>
      <c r="B66" s="9" t="str">
        <f t="shared" si="56"/>
        <v>Director (Habiba Bayi)</v>
      </c>
      <c r="C66" s="212">
        <f t="shared" si="56"/>
        <v>7818.75</v>
      </c>
      <c r="D66" s="9">
        <f t="shared" si="57"/>
        <v>31587.75</v>
      </c>
      <c r="E66" s="9">
        <f t="shared" ref="E66:N66" si="59">+E13+D66</f>
        <v>39738.75</v>
      </c>
      <c r="F66" s="9">
        <f t="shared" si="59"/>
        <v>47889.75</v>
      </c>
      <c r="G66" s="9">
        <f t="shared" si="59"/>
        <v>56040.75</v>
      </c>
      <c r="H66" s="9">
        <f t="shared" si="59"/>
        <v>64191.75</v>
      </c>
      <c r="I66" s="9">
        <f t="shared" si="59"/>
        <v>72342.75</v>
      </c>
      <c r="J66" s="9">
        <f t="shared" si="59"/>
        <v>80493.75</v>
      </c>
      <c r="K66" s="9">
        <f t="shared" si="59"/>
        <v>88644.75</v>
      </c>
      <c r="L66" s="9">
        <f t="shared" si="59"/>
        <v>96795.75</v>
      </c>
      <c r="M66" s="9">
        <f t="shared" si="59"/>
        <v>104946.75</v>
      </c>
      <c r="N66" s="9">
        <f t="shared" si="59"/>
        <v>113097.75</v>
      </c>
      <c r="O66" s="65"/>
    </row>
    <row r="67" spans="1:15" s="9" customFormat="1" hidden="1" x14ac:dyDescent="0.25">
      <c r="A67" s="76"/>
      <c r="B67" s="9" t="str">
        <f t="shared" si="56"/>
        <v>Manager (Johan Zaayman)</v>
      </c>
      <c r="C67" s="212">
        <f t="shared" si="56"/>
        <v>6219.416666666667</v>
      </c>
      <c r="D67" s="9">
        <f t="shared" si="57"/>
        <v>25126.443333333336</v>
      </c>
      <c r="E67" s="9">
        <f t="shared" ref="E67:N67" si="60">+E14+D67</f>
        <v>31610.443333333336</v>
      </c>
      <c r="F67" s="9">
        <f t="shared" si="60"/>
        <v>38094.443333333336</v>
      </c>
      <c r="G67" s="9">
        <f t="shared" si="60"/>
        <v>44578.443333333336</v>
      </c>
      <c r="H67" s="9">
        <f t="shared" si="60"/>
        <v>51062.443333333336</v>
      </c>
      <c r="I67" s="9">
        <f t="shared" si="60"/>
        <v>57546.443333333336</v>
      </c>
      <c r="J67" s="9">
        <f t="shared" si="60"/>
        <v>64030.443333333336</v>
      </c>
      <c r="K67" s="9">
        <f t="shared" si="60"/>
        <v>70514.443333333329</v>
      </c>
      <c r="L67" s="9">
        <f t="shared" si="60"/>
        <v>76998.443333333329</v>
      </c>
      <c r="M67" s="9">
        <f t="shared" si="60"/>
        <v>83482.443333333329</v>
      </c>
      <c r="N67" s="9">
        <f t="shared" si="60"/>
        <v>89966.443333333329</v>
      </c>
      <c r="O67" s="65"/>
    </row>
    <row r="68" spans="1:15" s="9" customFormat="1" hidden="1" x14ac:dyDescent="0.25">
      <c r="A68" s="76"/>
      <c r="B68" s="9" t="str">
        <f t="shared" si="56"/>
        <v>Sr. Specialist (Katrin Haux)</v>
      </c>
      <c r="C68" s="212">
        <f t="shared" si="56"/>
        <v>4416.666666666667</v>
      </c>
      <c r="D68" s="9">
        <f t="shared" si="57"/>
        <v>17843.333333333336</v>
      </c>
      <c r="E68" s="9">
        <f t="shared" ref="E68:N68" si="61">+E15+D68</f>
        <v>22447.333333333336</v>
      </c>
      <c r="F68" s="9">
        <f t="shared" si="61"/>
        <v>27051.333333333336</v>
      </c>
      <c r="G68" s="9">
        <f t="shared" si="61"/>
        <v>31655.333333333336</v>
      </c>
      <c r="H68" s="9">
        <f t="shared" si="61"/>
        <v>36259.333333333336</v>
      </c>
      <c r="I68" s="9">
        <f t="shared" si="61"/>
        <v>40863.333333333336</v>
      </c>
      <c r="J68" s="9">
        <f t="shared" si="61"/>
        <v>45467.333333333336</v>
      </c>
      <c r="K68" s="9">
        <f t="shared" si="61"/>
        <v>50071.333333333336</v>
      </c>
      <c r="L68" s="9">
        <f t="shared" si="61"/>
        <v>54675.333333333336</v>
      </c>
      <c r="M68" s="9">
        <f t="shared" si="61"/>
        <v>59279.333333333336</v>
      </c>
      <c r="N68" s="9">
        <f t="shared" si="61"/>
        <v>63883.333333333336</v>
      </c>
      <c r="O68" s="65"/>
    </row>
    <row r="69" spans="1:15" s="9" customFormat="1" hidden="1" x14ac:dyDescent="0.25">
      <c r="A69" s="76"/>
      <c r="B69" s="9" t="str">
        <f t="shared" si="56"/>
        <v>Specialist (to be filled in Aug 2000)</v>
      </c>
      <c r="C69" s="212">
        <f t="shared" si="56"/>
        <v>3909</v>
      </c>
      <c r="D69" s="9">
        <f t="shared" si="57"/>
        <v>15792.36</v>
      </c>
      <c r="E69" s="9">
        <f t="shared" ref="E69:N69" si="62">+E16+D69</f>
        <v>19867.36</v>
      </c>
      <c r="F69" s="9">
        <f t="shared" si="62"/>
        <v>23942.36</v>
      </c>
      <c r="G69" s="9">
        <f t="shared" si="62"/>
        <v>28017.360000000001</v>
      </c>
      <c r="H69" s="9">
        <f t="shared" si="62"/>
        <v>32092.36</v>
      </c>
      <c r="I69" s="9">
        <f t="shared" si="62"/>
        <v>36167.360000000001</v>
      </c>
      <c r="J69" s="9">
        <f t="shared" si="62"/>
        <v>40242.36</v>
      </c>
      <c r="K69" s="9">
        <f t="shared" si="62"/>
        <v>44317.36</v>
      </c>
      <c r="L69" s="9">
        <f t="shared" si="62"/>
        <v>48392.36</v>
      </c>
      <c r="M69" s="9">
        <f t="shared" si="62"/>
        <v>52467.360000000001</v>
      </c>
      <c r="N69" s="9">
        <f t="shared" si="62"/>
        <v>56542.36</v>
      </c>
      <c r="O69" s="65"/>
    </row>
    <row r="70" spans="1:15" s="9" customFormat="1" hidden="1" x14ac:dyDescent="0.25">
      <c r="A70" s="76"/>
      <c r="B70" s="9" t="str">
        <f t="shared" si="56"/>
        <v>Specialist (to be filled in Aug 2000)</v>
      </c>
      <c r="C70" s="212">
        <f t="shared" si="56"/>
        <v>3909</v>
      </c>
      <c r="D70" s="9">
        <f t="shared" si="57"/>
        <v>15792.36</v>
      </c>
      <c r="E70" s="9">
        <f t="shared" ref="E70:N70" si="63">+E17+D70</f>
        <v>19867.36</v>
      </c>
      <c r="F70" s="9">
        <f t="shared" si="63"/>
        <v>23942.36</v>
      </c>
      <c r="G70" s="9">
        <f t="shared" si="63"/>
        <v>28017.360000000001</v>
      </c>
      <c r="H70" s="9">
        <f t="shared" si="63"/>
        <v>32092.36</v>
      </c>
      <c r="I70" s="9">
        <f t="shared" si="63"/>
        <v>36167.360000000001</v>
      </c>
      <c r="J70" s="9">
        <f t="shared" si="63"/>
        <v>40242.36</v>
      </c>
      <c r="K70" s="9">
        <f t="shared" si="63"/>
        <v>44317.36</v>
      </c>
      <c r="L70" s="9">
        <f t="shared" si="63"/>
        <v>48392.36</v>
      </c>
      <c r="M70" s="9">
        <f t="shared" si="63"/>
        <v>52467.360000000001</v>
      </c>
      <c r="N70" s="9">
        <f t="shared" si="63"/>
        <v>56542.36</v>
      </c>
      <c r="O70" s="65"/>
    </row>
    <row r="71" spans="1:15" s="9" customFormat="1" hidden="1" x14ac:dyDescent="0.25">
      <c r="A71" s="76"/>
      <c r="B71" s="9" t="str">
        <f t="shared" si="56"/>
        <v>Sr. Adm. Asst (Carla Galvan)</v>
      </c>
      <c r="C71" s="212">
        <f t="shared" si="56"/>
        <v>3024.9166666666665</v>
      </c>
      <c r="D71" s="9">
        <f t="shared" si="57"/>
        <v>12220.663333333334</v>
      </c>
      <c r="E71" s="9">
        <f t="shared" ref="E71:N71" si="64">+E18+D71</f>
        <v>15373.663333333334</v>
      </c>
      <c r="F71" s="9">
        <f t="shared" si="64"/>
        <v>18526.663333333334</v>
      </c>
      <c r="G71" s="9">
        <f t="shared" si="64"/>
        <v>21679.663333333334</v>
      </c>
      <c r="H71" s="9">
        <f t="shared" si="64"/>
        <v>24832.663333333334</v>
      </c>
      <c r="I71" s="9">
        <f t="shared" si="64"/>
        <v>27985.663333333334</v>
      </c>
      <c r="J71" s="9">
        <f t="shared" si="64"/>
        <v>31138.663333333334</v>
      </c>
      <c r="K71" s="9">
        <f t="shared" si="64"/>
        <v>34291.66333333333</v>
      </c>
      <c r="L71" s="9">
        <f t="shared" si="64"/>
        <v>37444.66333333333</v>
      </c>
      <c r="M71" s="9">
        <f t="shared" si="64"/>
        <v>40597.66333333333</v>
      </c>
      <c r="N71" s="9">
        <f t="shared" si="64"/>
        <v>43750.66333333333</v>
      </c>
      <c r="O71" s="65"/>
    </row>
    <row r="72" spans="1:15" s="9" customFormat="1" hidden="1" x14ac:dyDescent="0.25">
      <c r="A72" s="76"/>
      <c r="B72" s="9" t="e">
        <f>+#REF!</f>
        <v>#REF!</v>
      </c>
      <c r="C72" s="212">
        <f t="shared" si="56"/>
        <v>6750</v>
      </c>
      <c r="D72" s="9">
        <f t="shared" si="57"/>
        <v>27270</v>
      </c>
      <c r="E72" s="9">
        <f t="shared" ref="E72:N72" si="65">+E19+D72</f>
        <v>34307</v>
      </c>
      <c r="F72" s="9">
        <f t="shared" si="65"/>
        <v>41344</v>
      </c>
      <c r="G72" s="9">
        <f t="shared" si="65"/>
        <v>48381</v>
      </c>
      <c r="H72" s="9">
        <f t="shared" si="65"/>
        <v>55418</v>
      </c>
      <c r="I72" s="9">
        <f t="shared" si="65"/>
        <v>62455</v>
      </c>
      <c r="J72" s="9">
        <f t="shared" si="65"/>
        <v>69492</v>
      </c>
      <c r="K72" s="9">
        <f t="shared" si="65"/>
        <v>76529</v>
      </c>
      <c r="L72" s="9">
        <f t="shared" si="65"/>
        <v>83566</v>
      </c>
      <c r="M72" s="9">
        <f t="shared" si="65"/>
        <v>90603</v>
      </c>
      <c r="N72" s="9">
        <f t="shared" si="65"/>
        <v>97640</v>
      </c>
      <c r="O72" s="65"/>
    </row>
    <row r="73" spans="1:15" s="9" customFormat="1" hidden="1" x14ac:dyDescent="0.25">
      <c r="A73" s="76"/>
      <c r="B73" s="9" t="str">
        <f>+B19</f>
        <v>Assoc. (Beth Peters convert to SrSpec)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5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5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5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5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5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5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5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5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5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5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5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5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5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5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5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5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5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5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5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5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5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5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5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5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5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5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5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5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5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5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5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5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5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5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5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5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5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5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5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5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5">
      <c r="A114" s="76"/>
      <c r="B114" s="103"/>
      <c r="C114" s="212"/>
      <c r="O114" s="65"/>
    </row>
    <row r="115" spans="1:15" ht="15.6" hidden="1" x14ac:dyDescent="0.3">
      <c r="A115" s="63"/>
      <c r="B115" s="6" t="s">
        <v>38</v>
      </c>
      <c r="C115" s="206"/>
      <c r="O115" s="44"/>
    </row>
    <row r="116" spans="1:15" s="9" customFormat="1" hidden="1" x14ac:dyDescent="0.25">
      <c r="A116" s="76"/>
      <c r="B116" s="9" t="str">
        <f>+B11</f>
        <v>Vice President (John Ambler)</v>
      </c>
      <c r="C116" s="212">
        <f t="shared" ref="C116:C147" si="107">ROUND(IF(+C64&gt;84500,+C11*0.0145,+C11*0.062),0)</f>
        <v>853</v>
      </c>
      <c r="D116" s="212">
        <f t="shared" ref="D116:N116" si="108">ROUND(IF(+D64&gt;84500,+D11*0.0145,+D11*0.062),0)</f>
        <v>853</v>
      </c>
      <c r="E116" s="212">
        <f t="shared" si="108"/>
        <v>889</v>
      </c>
      <c r="F116" s="212">
        <f t="shared" si="108"/>
        <v>889</v>
      </c>
      <c r="G116" s="212">
        <f t="shared" si="108"/>
        <v>208</v>
      </c>
      <c r="H116" s="212">
        <f t="shared" si="108"/>
        <v>208</v>
      </c>
      <c r="I116" s="212">
        <f t="shared" si="108"/>
        <v>208</v>
      </c>
      <c r="J116" s="212">
        <f t="shared" si="108"/>
        <v>208</v>
      </c>
      <c r="K116" s="212">
        <f t="shared" si="108"/>
        <v>208</v>
      </c>
      <c r="L116" s="212">
        <f t="shared" si="108"/>
        <v>208</v>
      </c>
      <c r="M116" s="212">
        <f t="shared" si="108"/>
        <v>208</v>
      </c>
      <c r="N116" s="212">
        <f t="shared" si="108"/>
        <v>208</v>
      </c>
      <c r="O116" s="65">
        <f>SUM(C116:N116)</f>
        <v>5148</v>
      </c>
    </row>
    <row r="117" spans="1:15" s="9" customFormat="1" hidden="1" x14ac:dyDescent="0.25">
      <c r="A117" s="76"/>
      <c r="B117" s="9" t="str">
        <f t="shared" ref="B117:B164" si="109">+B12</f>
        <v>Sr. Director (Keith Miceli)</v>
      </c>
      <c r="C117" s="212">
        <f t="shared" si="107"/>
        <v>530</v>
      </c>
      <c r="D117" s="212">
        <f t="shared" ref="D117:N117" si="110">ROUND(IF(+D65&gt;84500,+D12*0.0145,+D12*0.062),0)</f>
        <v>530</v>
      </c>
      <c r="E117" s="212">
        <f t="shared" si="110"/>
        <v>552</v>
      </c>
      <c r="F117" s="212">
        <f t="shared" si="110"/>
        <v>552</v>
      </c>
      <c r="G117" s="212">
        <f t="shared" si="110"/>
        <v>552</v>
      </c>
      <c r="H117" s="212">
        <f t="shared" si="110"/>
        <v>552</v>
      </c>
      <c r="I117" s="212">
        <f t="shared" si="110"/>
        <v>552</v>
      </c>
      <c r="J117" s="212">
        <f t="shared" si="110"/>
        <v>129</v>
      </c>
      <c r="K117" s="212">
        <f t="shared" si="110"/>
        <v>129</v>
      </c>
      <c r="L117" s="212">
        <f t="shared" si="110"/>
        <v>129</v>
      </c>
      <c r="M117" s="212">
        <f t="shared" si="110"/>
        <v>129</v>
      </c>
      <c r="N117" s="212">
        <f t="shared" si="110"/>
        <v>129</v>
      </c>
      <c r="O117" s="65">
        <f t="shared" ref="O117:O165" si="111">SUM(C117:N117)</f>
        <v>4465</v>
      </c>
    </row>
    <row r="118" spans="1:15" s="9" customFormat="1" hidden="1" x14ac:dyDescent="0.25">
      <c r="A118" s="76"/>
      <c r="B118" s="9" t="str">
        <f t="shared" si="109"/>
        <v>Director (Habiba Bayi)</v>
      </c>
      <c r="C118" s="212">
        <f t="shared" si="107"/>
        <v>485</v>
      </c>
      <c r="D118" s="212">
        <f t="shared" ref="D118:N118" si="112">ROUND(IF(+D66&gt;84500,+D13*0.0145,+D13*0.062),0)</f>
        <v>485</v>
      </c>
      <c r="E118" s="212">
        <f t="shared" si="112"/>
        <v>505</v>
      </c>
      <c r="F118" s="212">
        <f t="shared" si="112"/>
        <v>505</v>
      </c>
      <c r="G118" s="212">
        <f t="shared" si="112"/>
        <v>505</v>
      </c>
      <c r="H118" s="212">
        <f t="shared" si="112"/>
        <v>505</v>
      </c>
      <c r="I118" s="212">
        <f t="shared" si="112"/>
        <v>505</v>
      </c>
      <c r="J118" s="212">
        <f t="shared" si="112"/>
        <v>505</v>
      </c>
      <c r="K118" s="212">
        <f t="shared" si="112"/>
        <v>118</v>
      </c>
      <c r="L118" s="212">
        <f t="shared" si="112"/>
        <v>118</v>
      </c>
      <c r="M118" s="212">
        <f t="shared" si="112"/>
        <v>118</v>
      </c>
      <c r="N118" s="212">
        <f t="shared" si="112"/>
        <v>118</v>
      </c>
      <c r="O118" s="65">
        <f t="shared" si="111"/>
        <v>4472</v>
      </c>
    </row>
    <row r="119" spans="1:15" s="9" customFormat="1" hidden="1" x14ac:dyDescent="0.25">
      <c r="A119" s="76"/>
      <c r="B119" s="9" t="str">
        <f t="shared" si="109"/>
        <v>Manager (Johan Zaayman)</v>
      </c>
      <c r="C119" s="212">
        <f t="shared" si="107"/>
        <v>386</v>
      </c>
      <c r="D119" s="212">
        <f t="shared" ref="D119:N119" si="113">ROUND(IF(+D67&gt;84500,+D14*0.0145,+D14*0.062),0)</f>
        <v>386</v>
      </c>
      <c r="E119" s="212">
        <f t="shared" si="113"/>
        <v>402</v>
      </c>
      <c r="F119" s="212">
        <f t="shared" si="113"/>
        <v>402</v>
      </c>
      <c r="G119" s="212">
        <f t="shared" si="113"/>
        <v>402</v>
      </c>
      <c r="H119" s="212">
        <f t="shared" si="113"/>
        <v>402</v>
      </c>
      <c r="I119" s="212">
        <f t="shared" si="113"/>
        <v>402</v>
      </c>
      <c r="J119" s="212">
        <f t="shared" si="113"/>
        <v>402</v>
      </c>
      <c r="K119" s="212">
        <f t="shared" si="113"/>
        <v>402</v>
      </c>
      <c r="L119" s="212">
        <f t="shared" si="113"/>
        <v>402</v>
      </c>
      <c r="M119" s="212">
        <f t="shared" si="113"/>
        <v>402</v>
      </c>
      <c r="N119" s="212">
        <f t="shared" si="113"/>
        <v>94</v>
      </c>
      <c r="O119" s="65">
        <f t="shared" si="111"/>
        <v>4484</v>
      </c>
    </row>
    <row r="120" spans="1:15" s="9" customFormat="1" hidden="1" x14ac:dyDescent="0.25">
      <c r="A120" s="76"/>
      <c r="B120" s="9" t="str">
        <f t="shared" si="109"/>
        <v>Sr. Specialist (Katrin Haux)</v>
      </c>
      <c r="C120" s="212">
        <f t="shared" si="107"/>
        <v>274</v>
      </c>
      <c r="D120" s="212">
        <f t="shared" ref="D120:N120" si="114">ROUND(IF(+D68&gt;84500,+D15*0.0145,+D15*0.062),0)</f>
        <v>274</v>
      </c>
      <c r="E120" s="212">
        <f t="shared" si="114"/>
        <v>285</v>
      </c>
      <c r="F120" s="212">
        <f t="shared" si="114"/>
        <v>285</v>
      </c>
      <c r="G120" s="212">
        <f t="shared" si="114"/>
        <v>285</v>
      </c>
      <c r="H120" s="212">
        <f t="shared" si="114"/>
        <v>285</v>
      </c>
      <c r="I120" s="212">
        <f t="shared" si="114"/>
        <v>285</v>
      </c>
      <c r="J120" s="212">
        <f t="shared" si="114"/>
        <v>285</v>
      </c>
      <c r="K120" s="212">
        <f t="shared" si="114"/>
        <v>285</v>
      </c>
      <c r="L120" s="212">
        <f t="shared" si="114"/>
        <v>285</v>
      </c>
      <c r="M120" s="212">
        <f t="shared" si="114"/>
        <v>285</v>
      </c>
      <c r="N120" s="212">
        <f t="shared" si="114"/>
        <v>285</v>
      </c>
      <c r="O120" s="65">
        <f t="shared" si="111"/>
        <v>3398</v>
      </c>
    </row>
    <row r="121" spans="1:15" s="9" customFormat="1" hidden="1" x14ac:dyDescent="0.25">
      <c r="A121" s="76"/>
      <c r="B121" s="9" t="str">
        <f t="shared" si="109"/>
        <v>Specialist (to be filled in Aug 2000)</v>
      </c>
      <c r="C121" s="212">
        <f t="shared" si="107"/>
        <v>242</v>
      </c>
      <c r="D121" s="212">
        <f t="shared" ref="D121:N121" si="115">ROUND(IF(+D69&gt;84500,+D16*0.0145,+D16*0.062),0)</f>
        <v>242</v>
      </c>
      <c r="E121" s="212">
        <f t="shared" si="115"/>
        <v>253</v>
      </c>
      <c r="F121" s="212">
        <f t="shared" si="115"/>
        <v>253</v>
      </c>
      <c r="G121" s="212">
        <f t="shared" si="115"/>
        <v>253</v>
      </c>
      <c r="H121" s="212">
        <f t="shared" si="115"/>
        <v>253</v>
      </c>
      <c r="I121" s="212">
        <f t="shared" si="115"/>
        <v>253</v>
      </c>
      <c r="J121" s="212">
        <f t="shared" si="115"/>
        <v>253</v>
      </c>
      <c r="K121" s="212">
        <f t="shared" si="115"/>
        <v>253</v>
      </c>
      <c r="L121" s="212">
        <f t="shared" si="115"/>
        <v>253</v>
      </c>
      <c r="M121" s="212">
        <f t="shared" si="115"/>
        <v>253</v>
      </c>
      <c r="N121" s="212">
        <f t="shared" si="115"/>
        <v>253</v>
      </c>
      <c r="O121" s="65">
        <f t="shared" si="111"/>
        <v>3014</v>
      </c>
    </row>
    <row r="122" spans="1:15" s="9" customFormat="1" hidden="1" x14ac:dyDescent="0.25">
      <c r="A122" s="76"/>
      <c r="B122" s="9" t="str">
        <f t="shared" si="109"/>
        <v>Specialist (to be filled in Aug 2000)</v>
      </c>
      <c r="C122" s="212">
        <f t="shared" si="107"/>
        <v>242</v>
      </c>
      <c r="D122" s="212">
        <f t="shared" ref="D122:N122" si="116">ROUND(IF(+D70&gt;84500,+D17*0.0145,+D17*0.062),0)</f>
        <v>242</v>
      </c>
      <c r="E122" s="212">
        <f t="shared" si="116"/>
        <v>253</v>
      </c>
      <c r="F122" s="212">
        <f t="shared" si="116"/>
        <v>253</v>
      </c>
      <c r="G122" s="212">
        <f t="shared" si="116"/>
        <v>253</v>
      </c>
      <c r="H122" s="212">
        <f t="shared" si="116"/>
        <v>253</v>
      </c>
      <c r="I122" s="212">
        <f t="shared" si="116"/>
        <v>253</v>
      </c>
      <c r="J122" s="212">
        <f t="shared" si="116"/>
        <v>253</v>
      </c>
      <c r="K122" s="212">
        <f t="shared" si="116"/>
        <v>253</v>
      </c>
      <c r="L122" s="212">
        <f t="shared" si="116"/>
        <v>253</v>
      </c>
      <c r="M122" s="212">
        <f t="shared" si="116"/>
        <v>253</v>
      </c>
      <c r="N122" s="212">
        <f t="shared" si="116"/>
        <v>253</v>
      </c>
      <c r="O122" s="65">
        <f t="shared" si="111"/>
        <v>3014</v>
      </c>
    </row>
    <row r="123" spans="1:15" s="9" customFormat="1" hidden="1" x14ac:dyDescent="0.25">
      <c r="A123" s="76"/>
      <c r="B123" s="9" t="str">
        <f t="shared" si="109"/>
        <v>Sr. Adm. Asst (Carla Galvan)</v>
      </c>
      <c r="C123" s="212">
        <f t="shared" si="107"/>
        <v>188</v>
      </c>
      <c r="D123" s="212">
        <f t="shared" ref="D123:N123" si="117">ROUND(IF(+D71&gt;84500,+D18*0.0145,+D18*0.062),0)</f>
        <v>188</v>
      </c>
      <c r="E123" s="212">
        <f t="shared" si="117"/>
        <v>195</v>
      </c>
      <c r="F123" s="212">
        <f t="shared" si="117"/>
        <v>195</v>
      </c>
      <c r="G123" s="212">
        <f t="shared" si="117"/>
        <v>195</v>
      </c>
      <c r="H123" s="212">
        <f t="shared" si="117"/>
        <v>195</v>
      </c>
      <c r="I123" s="212">
        <f t="shared" si="117"/>
        <v>195</v>
      </c>
      <c r="J123" s="212">
        <f t="shared" si="117"/>
        <v>195</v>
      </c>
      <c r="K123" s="212">
        <f t="shared" si="117"/>
        <v>195</v>
      </c>
      <c r="L123" s="212">
        <f t="shared" si="117"/>
        <v>195</v>
      </c>
      <c r="M123" s="212">
        <f t="shared" si="117"/>
        <v>195</v>
      </c>
      <c r="N123" s="212">
        <f t="shared" si="117"/>
        <v>195</v>
      </c>
      <c r="O123" s="65">
        <f t="shared" si="111"/>
        <v>2326</v>
      </c>
    </row>
    <row r="124" spans="1:15" s="9" customFormat="1" hidden="1" x14ac:dyDescent="0.25">
      <c r="A124" s="76"/>
      <c r="B124" s="9" t="e">
        <f>+#REF!</f>
        <v>#REF!</v>
      </c>
      <c r="C124" s="212">
        <f t="shared" si="107"/>
        <v>419</v>
      </c>
      <c r="D124" s="212">
        <f t="shared" ref="D124:N124" si="118">ROUND(IF(+D72&gt;84500,+D19*0.0145,+D19*0.062),0)</f>
        <v>419</v>
      </c>
      <c r="E124" s="212">
        <f t="shared" si="118"/>
        <v>436</v>
      </c>
      <c r="F124" s="212">
        <f t="shared" si="118"/>
        <v>436</v>
      </c>
      <c r="G124" s="212">
        <f t="shared" si="118"/>
        <v>436</v>
      </c>
      <c r="H124" s="212">
        <f t="shared" si="118"/>
        <v>436</v>
      </c>
      <c r="I124" s="212">
        <f t="shared" si="118"/>
        <v>436</v>
      </c>
      <c r="J124" s="212">
        <f t="shared" si="118"/>
        <v>436</v>
      </c>
      <c r="K124" s="212">
        <f t="shared" si="118"/>
        <v>436</v>
      </c>
      <c r="L124" s="212">
        <f t="shared" si="118"/>
        <v>436</v>
      </c>
      <c r="M124" s="212">
        <f t="shared" si="118"/>
        <v>102</v>
      </c>
      <c r="N124" s="212">
        <f t="shared" si="118"/>
        <v>102</v>
      </c>
      <c r="O124" s="65">
        <f t="shared" si="111"/>
        <v>4530</v>
      </c>
    </row>
    <row r="125" spans="1:15" s="9" customFormat="1" hidden="1" x14ac:dyDescent="0.25">
      <c r="A125" s="76"/>
      <c r="B125" s="9" t="str">
        <f>+B19</f>
        <v>Assoc. (Beth Peters convert to SrSpec)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5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5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5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5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5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5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5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5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5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5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5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5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5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5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5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5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5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5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5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5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5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5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5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5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5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5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5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5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5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5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5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5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5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5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5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5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5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5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5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5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5">
      <c r="A166" s="76"/>
      <c r="B166" s="9" t="s">
        <v>23</v>
      </c>
      <c r="C166" s="212">
        <f t="shared" si="131"/>
        <v>3617</v>
      </c>
      <c r="D166" s="212">
        <f t="shared" si="132"/>
        <v>3617</v>
      </c>
      <c r="E166" s="212">
        <f t="shared" si="132"/>
        <v>3771</v>
      </c>
      <c r="F166" s="212">
        <f t="shared" si="132"/>
        <v>3771</v>
      </c>
      <c r="G166" s="212">
        <f t="shared" si="132"/>
        <v>3771</v>
      </c>
      <c r="H166" s="212">
        <f t="shared" si="132"/>
        <v>3771</v>
      </c>
      <c r="I166" s="212">
        <f t="shared" si="132"/>
        <v>3771</v>
      </c>
      <c r="J166" s="212">
        <f t="shared" si="132"/>
        <v>3771</v>
      </c>
      <c r="K166" s="212">
        <f t="shared" si="132"/>
        <v>3771</v>
      </c>
      <c r="L166" s="212">
        <f t="shared" si="132"/>
        <v>3771</v>
      </c>
      <c r="M166" s="212">
        <f t="shared" si="132"/>
        <v>3771</v>
      </c>
      <c r="N166" s="212">
        <f t="shared" si="132"/>
        <v>3771</v>
      </c>
      <c r="O166" s="65">
        <f>SUM(C166:N166)</f>
        <v>44944</v>
      </c>
    </row>
    <row r="167" spans="1:15" hidden="1" x14ac:dyDescent="0.25">
      <c r="A167" s="63"/>
      <c r="B167" t="s">
        <v>16</v>
      </c>
      <c r="C167" s="213">
        <f t="shared" ref="C167:N167" si="133">SUM(C116:C166)</f>
        <v>7236</v>
      </c>
      <c r="D167" s="13">
        <f t="shared" si="133"/>
        <v>7236</v>
      </c>
      <c r="E167" s="13">
        <f t="shared" si="133"/>
        <v>7541</v>
      </c>
      <c r="F167" s="13">
        <f t="shared" si="133"/>
        <v>7541</v>
      </c>
      <c r="G167" s="13">
        <f t="shared" si="133"/>
        <v>6860</v>
      </c>
      <c r="H167" s="13">
        <f t="shared" si="133"/>
        <v>6860</v>
      </c>
      <c r="I167" s="13">
        <f t="shared" si="133"/>
        <v>6860</v>
      </c>
      <c r="J167" s="13">
        <f t="shared" si="133"/>
        <v>6437</v>
      </c>
      <c r="K167" s="13">
        <f t="shared" si="133"/>
        <v>6050</v>
      </c>
      <c r="L167" s="13">
        <f t="shared" si="133"/>
        <v>6050</v>
      </c>
      <c r="M167" s="13">
        <f t="shared" si="133"/>
        <v>5716</v>
      </c>
      <c r="N167" s="13">
        <f t="shared" si="133"/>
        <v>5408</v>
      </c>
      <c r="O167" s="88">
        <f>SUM(C167:N167)</f>
        <v>79795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F290"/>
  <sheetViews>
    <sheetView zoomScale="75" zoomScaleNormal="75" workbookViewId="0">
      <pane xSplit="2" ySplit="10" topLeftCell="N188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202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67</v>
      </c>
      <c r="C3" s="176"/>
      <c r="D3" s="177"/>
      <c r="E3" s="147" t="str">
        <f>IF(Instructions!G5="XXXXXX","Please complete cost center information.","")</f>
        <v/>
      </c>
      <c r="Q3" s="125"/>
    </row>
    <row r="4" spans="1:17" s="124" customFormat="1" ht="17.399999999999999" x14ac:dyDescent="0.3">
      <c r="A4" s="126"/>
      <c r="B4" s="189" t="s">
        <v>93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0011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6" x14ac:dyDescent="0.3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5">
      <c r="A11" s="101"/>
      <c r="B11" s="91" t="s">
        <v>17</v>
      </c>
      <c r="C11" s="102">
        <v>9</v>
      </c>
      <c r="D11" s="102">
        <v>9</v>
      </c>
      <c r="E11" s="99">
        <v>9</v>
      </c>
      <c r="F11" s="99">
        <v>9</v>
      </c>
      <c r="G11" s="99">
        <v>9</v>
      </c>
      <c r="H11" s="99">
        <v>9</v>
      </c>
      <c r="I11" s="99">
        <v>9</v>
      </c>
      <c r="J11" s="99">
        <v>9</v>
      </c>
      <c r="K11" s="99">
        <v>9</v>
      </c>
      <c r="L11" s="99">
        <v>9</v>
      </c>
      <c r="M11" s="99">
        <v>9</v>
      </c>
      <c r="N11" s="99">
        <v>9</v>
      </c>
      <c r="O11" s="99">
        <v>9</v>
      </c>
      <c r="P11" s="99">
        <v>9</v>
      </c>
      <c r="Q11" s="94">
        <f>+P11</f>
        <v>9</v>
      </c>
    </row>
    <row r="12" spans="1:17" s="91" customFormat="1" x14ac:dyDescent="0.25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5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5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5">
      <c r="A15" s="101"/>
      <c r="B15" s="91" t="s">
        <v>139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6" x14ac:dyDescent="0.3">
      <c r="A16" s="71"/>
      <c r="B16" s="8" t="s">
        <v>21</v>
      </c>
      <c r="C16" s="109">
        <f t="shared" ref="C16:Q16" si="0">SUM(C11:C15)</f>
        <v>9</v>
      </c>
      <c r="D16" s="109">
        <f t="shared" si="0"/>
        <v>9</v>
      </c>
      <c r="E16" s="60">
        <f t="shared" si="0"/>
        <v>9</v>
      </c>
      <c r="F16" s="60">
        <f t="shared" si="0"/>
        <v>9</v>
      </c>
      <c r="G16" s="60">
        <f t="shared" si="0"/>
        <v>9</v>
      </c>
      <c r="H16" s="60">
        <f t="shared" si="0"/>
        <v>9</v>
      </c>
      <c r="I16" s="60">
        <f t="shared" si="0"/>
        <v>9</v>
      </c>
      <c r="J16" s="60">
        <f t="shared" si="0"/>
        <v>9</v>
      </c>
      <c r="K16" s="60">
        <f t="shared" si="0"/>
        <v>9</v>
      </c>
      <c r="L16" s="60">
        <f t="shared" si="0"/>
        <v>9</v>
      </c>
      <c r="M16" s="60">
        <f t="shared" si="0"/>
        <v>9</v>
      </c>
      <c r="N16" s="60">
        <f t="shared" si="0"/>
        <v>9</v>
      </c>
      <c r="O16" s="60">
        <f t="shared" si="0"/>
        <v>9</v>
      </c>
      <c r="P16" s="60">
        <f t="shared" si="0"/>
        <v>9</v>
      </c>
      <c r="Q16" s="47">
        <f t="shared" si="0"/>
        <v>9</v>
      </c>
    </row>
    <row r="17" spans="1:17" x14ac:dyDescent="0.25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6" x14ac:dyDescent="0.3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5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6" x14ac:dyDescent="0.3">
      <c r="A20" s="77"/>
      <c r="B20" s="64" t="s">
        <v>173</v>
      </c>
      <c r="C20" s="111">
        <v>741469</v>
      </c>
      <c r="D20" s="111">
        <f>332691*2</f>
        <v>665382</v>
      </c>
      <c r="E20" s="64">
        <f>+Salary!C61</f>
        <v>58339.416666666657</v>
      </c>
      <c r="F20" s="64">
        <f>+Salary!D61</f>
        <v>58339.416666666657</v>
      </c>
      <c r="G20" s="64">
        <f>+Salary!E61</f>
        <v>60818</v>
      </c>
      <c r="H20" s="64">
        <f>+Salary!F61</f>
        <v>60818</v>
      </c>
      <c r="I20" s="64">
        <f>+Salary!G61</f>
        <v>60818</v>
      </c>
      <c r="J20" s="64">
        <f>+Salary!H61</f>
        <v>60818</v>
      </c>
      <c r="K20" s="64">
        <f>+Salary!I61</f>
        <v>60818</v>
      </c>
      <c r="L20" s="64">
        <f>+Salary!J61</f>
        <v>60818</v>
      </c>
      <c r="M20" s="64">
        <f>+Salary!K61</f>
        <v>60818</v>
      </c>
      <c r="N20" s="64">
        <f>+Salary!L61</f>
        <v>60818</v>
      </c>
      <c r="O20" s="64">
        <f>+Salary!M61</f>
        <v>60818</v>
      </c>
      <c r="P20" s="64">
        <f>+Salary!N61</f>
        <v>60818</v>
      </c>
      <c r="Q20" s="43">
        <f>SUM(E20:P20)</f>
        <v>724858.83333333326</v>
      </c>
    </row>
    <row r="21" spans="1:17" s="91" customFormat="1" x14ac:dyDescent="0.25">
      <c r="A21" s="90"/>
      <c r="B21" s="91" t="s">
        <v>91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5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6" x14ac:dyDescent="0.3">
      <c r="A23" s="71">
        <v>52000500</v>
      </c>
      <c r="B23" s="8" t="s">
        <v>26</v>
      </c>
      <c r="C23" s="109">
        <f t="shared" ref="C23:Q23" si="1">SUM(C20:C22)</f>
        <v>741469</v>
      </c>
      <c r="D23" s="109">
        <f t="shared" si="1"/>
        <v>665382</v>
      </c>
      <c r="E23" s="60">
        <f t="shared" si="1"/>
        <v>58339.416666666657</v>
      </c>
      <c r="F23" s="60">
        <f t="shared" si="1"/>
        <v>58339.416666666657</v>
      </c>
      <c r="G23" s="60">
        <f t="shared" si="1"/>
        <v>60818</v>
      </c>
      <c r="H23" s="60">
        <f t="shared" si="1"/>
        <v>60818</v>
      </c>
      <c r="I23" s="60">
        <f t="shared" si="1"/>
        <v>60818</v>
      </c>
      <c r="J23" s="60">
        <f t="shared" si="1"/>
        <v>60818</v>
      </c>
      <c r="K23" s="60">
        <f t="shared" si="1"/>
        <v>60818</v>
      </c>
      <c r="L23" s="60">
        <f t="shared" si="1"/>
        <v>60818</v>
      </c>
      <c r="M23" s="60">
        <f t="shared" si="1"/>
        <v>60818</v>
      </c>
      <c r="N23" s="60">
        <f t="shared" si="1"/>
        <v>60818</v>
      </c>
      <c r="O23" s="60">
        <f t="shared" si="1"/>
        <v>60818</v>
      </c>
      <c r="P23" s="60">
        <f t="shared" si="1"/>
        <v>60818</v>
      </c>
      <c r="Q23" s="47">
        <f t="shared" si="1"/>
        <v>724858.83333333326</v>
      </c>
    </row>
    <row r="24" spans="1:17" x14ac:dyDescent="0.25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5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6" x14ac:dyDescent="0.3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6" x14ac:dyDescent="0.3">
      <c r="A27" s="78">
        <v>59003000</v>
      </c>
      <c r="B27" s="9" t="s">
        <v>170</v>
      </c>
      <c r="C27" s="111">
        <v>74054</v>
      </c>
      <c r="D27" s="111">
        <f>34932*2</f>
        <v>69864</v>
      </c>
      <c r="E27" s="64">
        <f>+Salary!C167</f>
        <v>7236</v>
      </c>
      <c r="F27" s="64">
        <f>+Salary!D167</f>
        <v>7236</v>
      </c>
      <c r="G27" s="64">
        <f>+Salary!E167</f>
        <v>7541</v>
      </c>
      <c r="H27" s="64">
        <f>+Salary!F167</f>
        <v>7541</v>
      </c>
      <c r="I27" s="64">
        <f>+Salary!G167</f>
        <v>6860</v>
      </c>
      <c r="J27" s="64">
        <f>+Salary!H167</f>
        <v>6860</v>
      </c>
      <c r="K27" s="64">
        <f>+Salary!I167</f>
        <v>6860</v>
      </c>
      <c r="L27" s="64">
        <f>+Salary!J167</f>
        <v>6437</v>
      </c>
      <c r="M27" s="64">
        <f>+Salary!K167</f>
        <v>6050</v>
      </c>
      <c r="N27" s="64">
        <f>+Salary!L167</f>
        <v>6050</v>
      </c>
      <c r="O27" s="64">
        <f>+Salary!M167</f>
        <v>5716</v>
      </c>
      <c r="P27" s="64">
        <f>+Salary!N167</f>
        <v>5408</v>
      </c>
      <c r="Q27" s="43">
        <f>+Salary!O167</f>
        <v>79795</v>
      </c>
    </row>
    <row r="28" spans="1:17" x14ac:dyDescent="0.25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5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6" x14ac:dyDescent="0.3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6" x14ac:dyDescent="0.3">
      <c r="A31" s="78">
        <v>52001000</v>
      </c>
      <c r="B31" s="9" t="s">
        <v>171</v>
      </c>
      <c r="C31" s="111">
        <v>110101</v>
      </c>
      <c r="D31" s="111">
        <f>38187*2</f>
        <v>76374</v>
      </c>
      <c r="E31" s="64">
        <f>ROUND((+(+E11+E12)*(4800/12))+(0.091*Salary!C61),0)</f>
        <v>8909</v>
      </c>
      <c r="F31" s="64">
        <f>ROUND((+(+F11+F12)*(4800/12))+(0.091*Salary!D61),0)</f>
        <v>8909</v>
      </c>
      <c r="G31" s="64">
        <f>ROUND((+(+G11+G12)*(4800/12))+(0.091*Salary!E61),0)</f>
        <v>9134</v>
      </c>
      <c r="H31" s="64">
        <f>ROUND((+(+H11+H12)*(4800/12))+(0.091*Salary!F61),0)</f>
        <v>9134</v>
      </c>
      <c r="I31" s="64">
        <f>ROUND((+(+I11+I12)*(4800/12))+(0.091*Salary!G61),0)</f>
        <v>9134</v>
      </c>
      <c r="J31" s="64">
        <f>ROUND((+(+J11+J12)*(4800/12))+(0.091*Salary!H61),0)</f>
        <v>9134</v>
      </c>
      <c r="K31" s="64">
        <f>ROUND((+(+K11+K12)*(4800/12))+(0.091*Salary!I61),0)</f>
        <v>9134</v>
      </c>
      <c r="L31" s="64">
        <f>ROUND((+(+L11+L12)*(4800/12))+(0.091*Salary!J61),0)</f>
        <v>9134</v>
      </c>
      <c r="M31" s="64">
        <f>ROUND((+(+M11+M12)*(4800/12))+(0.091*Salary!K61),0)</f>
        <v>9134</v>
      </c>
      <c r="N31" s="64">
        <f>ROUND((+(+N11+N12)*(4800/12))+(0.091*Salary!L61),0)</f>
        <v>9134</v>
      </c>
      <c r="O31" s="64">
        <f>ROUND((+(+O11+O12)*(4800/12))+(0.091*Salary!M61),0)</f>
        <v>9134</v>
      </c>
      <c r="P31" s="64">
        <f>ROUND((+(+P11+P12)*(4800/12))+(0.091*Salary!N61),0)</f>
        <v>9134</v>
      </c>
      <c r="Q31" s="43">
        <f>SUM(E31:P31)</f>
        <v>109158</v>
      </c>
    </row>
    <row r="32" spans="1:17" s="8" customFormat="1" ht="15.6" x14ac:dyDescent="0.3">
      <c r="A32" s="62"/>
      <c r="B32" s="9"/>
      <c r="C32" s="111"/>
      <c r="D32" s="111"/>
      <c r="Q32" s="52"/>
    </row>
    <row r="33" spans="1:17" s="8" customFormat="1" ht="15.6" x14ac:dyDescent="0.3">
      <c r="A33" s="62"/>
      <c r="B33" s="9"/>
      <c r="C33" s="111"/>
      <c r="D33" s="111"/>
      <c r="Q33" s="52"/>
    </row>
    <row r="34" spans="1:17" ht="15.6" x14ac:dyDescent="0.3">
      <c r="A34" s="73" t="s">
        <v>92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5">
      <c r="A35" s="61">
        <v>52001500</v>
      </c>
      <c r="B35" t="s">
        <v>69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5">
      <c r="A36" s="90"/>
      <c r="B36" s="91" t="s">
        <v>152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5">
      <c r="A37" s="90"/>
      <c r="B37" s="91" t="s">
        <v>152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5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5">
      <c r="A39" s="61">
        <v>52002000</v>
      </c>
      <c r="B39" t="s">
        <v>70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5">
      <c r="A40" s="90"/>
      <c r="B40" s="91" t="s">
        <v>245</v>
      </c>
      <c r="C40" s="92">
        <v>20604</v>
      </c>
      <c r="D40" s="92">
        <f>6397*2</f>
        <v>12794</v>
      </c>
      <c r="E40" s="93">
        <v>1500</v>
      </c>
      <c r="F40" s="93">
        <v>1500</v>
      </c>
      <c r="G40" s="93">
        <v>1500</v>
      </c>
      <c r="H40" s="93">
        <v>1500</v>
      </c>
      <c r="I40" s="93">
        <v>1500</v>
      </c>
      <c r="J40" s="93">
        <v>1500</v>
      </c>
      <c r="K40" s="93">
        <v>1500</v>
      </c>
      <c r="L40" s="93">
        <v>1500</v>
      </c>
      <c r="M40" s="93">
        <v>1500</v>
      </c>
      <c r="N40" s="93">
        <v>1500</v>
      </c>
      <c r="O40" s="93">
        <v>1500</v>
      </c>
      <c r="P40" s="93">
        <v>1500</v>
      </c>
      <c r="Q40" s="94">
        <f>SUM(E40:P40)</f>
        <v>18000</v>
      </c>
    </row>
    <row r="41" spans="1:17" s="91" customFormat="1" x14ac:dyDescent="0.25">
      <c r="A41" s="90"/>
      <c r="B41" s="91" t="s">
        <v>152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5">
      <c r="A42" s="166"/>
      <c r="B42" s="167" t="s">
        <v>25</v>
      </c>
      <c r="C42" s="110">
        <f t="shared" ref="C42:P42" si="3">SUM(C40:C41)</f>
        <v>20604</v>
      </c>
      <c r="D42" s="110">
        <f t="shared" si="3"/>
        <v>12794</v>
      </c>
      <c r="E42" s="167">
        <f t="shared" si="3"/>
        <v>1500</v>
      </c>
      <c r="F42" s="167">
        <f t="shared" si="3"/>
        <v>1500</v>
      </c>
      <c r="G42" s="167">
        <f t="shared" si="3"/>
        <v>1500</v>
      </c>
      <c r="H42" s="167">
        <f t="shared" si="3"/>
        <v>1500</v>
      </c>
      <c r="I42" s="167">
        <f t="shared" si="3"/>
        <v>1500</v>
      </c>
      <c r="J42" s="167">
        <f t="shared" si="3"/>
        <v>1500</v>
      </c>
      <c r="K42" s="167">
        <f t="shared" si="3"/>
        <v>1500</v>
      </c>
      <c r="L42" s="167">
        <f t="shared" si="3"/>
        <v>1500</v>
      </c>
      <c r="M42" s="167">
        <f t="shared" si="3"/>
        <v>1500</v>
      </c>
      <c r="N42" s="167">
        <f t="shared" si="3"/>
        <v>1500</v>
      </c>
      <c r="O42" s="167">
        <f t="shared" si="3"/>
        <v>1500</v>
      </c>
      <c r="P42" s="167">
        <f t="shared" si="3"/>
        <v>1500</v>
      </c>
      <c r="Q42" s="65">
        <f>SUM(E42:P42)</f>
        <v>18000</v>
      </c>
    </row>
    <row r="43" spans="1:17" x14ac:dyDescent="0.25">
      <c r="A43" s="61">
        <v>52002500</v>
      </c>
      <c r="B43" t="s">
        <v>71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5">
      <c r="A44" s="90"/>
      <c r="B44" s="91" t="s">
        <v>243</v>
      </c>
      <c r="C44" s="92">
        <v>39996</v>
      </c>
      <c r="D44" s="92">
        <v>10000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10000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10000</v>
      </c>
    </row>
    <row r="45" spans="1:17" s="91" customFormat="1" x14ac:dyDescent="0.25">
      <c r="A45" s="90"/>
      <c r="B45" s="91" t="s">
        <v>152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5">
      <c r="A46" s="166"/>
      <c r="B46" s="167" t="s">
        <v>25</v>
      </c>
      <c r="C46" s="110">
        <f t="shared" ref="C46:P46" si="4">SUM(C44:C45)</f>
        <v>39996</v>
      </c>
      <c r="D46" s="110">
        <f t="shared" si="4"/>
        <v>10000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10000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10000</v>
      </c>
    </row>
    <row r="47" spans="1:17" x14ac:dyDescent="0.25">
      <c r="A47" s="61">
        <v>52003000</v>
      </c>
      <c r="B47" t="s">
        <v>72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5">
      <c r="A48" s="90"/>
      <c r="B48" s="91" t="s">
        <v>244</v>
      </c>
      <c r="C48" s="92">
        <v>13500</v>
      </c>
      <c r="D48" s="92">
        <f>2941*2</f>
        <v>5882</v>
      </c>
      <c r="E48" s="93">
        <v>500</v>
      </c>
      <c r="F48" s="93">
        <v>500</v>
      </c>
      <c r="G48" s="93">
        <v>500</v>
      </c>
      <c r="H48" s="93">
        <v>500</v>
      </c>
      <c r="I48" s="93">
        <v>500</v>
      </c>
      <c r="J48" s="93">
        <v>500</v>
      </c>
      <c r="K48" s="93">
        <v>500</v>
      </c>
      <c r="L48" s="93">
        <v>500</v>
      </c>
      <c r="M48" s="93">
        <v>500</v>
      </c>
      <c r="N48" s="93">
        <v>500</v>
      </c>
      <c r="O48" s="93">
        <v>500</v>
      </c>
      <c r="P48" s="93">
        <v>500</v>
      </c>
      <c r="Q48" s="94">
        <f>SUM(E48:P48)</f>
        <v>6000</v>
      </c>
    </row>
    <row r="49" spans="1:17" s="91" customFormat="1" x14ac:dyDescent="0.25">
      <c r="A49" s="90"/>
      <c r="B49" s="91" t="s">
        <v>152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5">
      <c r="A50" s="166"/>
      <c r="B50" s="167" t="s">
        <v>25</v>
      </c>
      <c r="C50" s="110">
        <f t="shared" ref="C50:P50" si="5">SUM(C48:C49)</f>
        <v>13500</v>
      </c>
      <c r="D50" s="110">
        <f t="shared" si="5"/>
        <v>5882</v>
      </c>
      <c r="E50" s="167">
        <f t="shared" si="5"/>
        <v>500</v>
      </c>
      <c r="F50" s="167">
        <f t="shared" si="5"/>
        <v>500</v>
      </c>
      <c r="G50" s="167">
        <f t="shared" si="5"/>
        <v>500</v>
      </c>
      <c r="H50" s="167">
        <f t="shared" si="5"/>
        <v>500</v>
      </c>
      <c r="I50" s="167">
        <f t="shared" si="5"/>
        <v>500</v>
      </c>
      <c r="J50" s="167">
        <f t="shared" si="5"/>
        <v>500</v>
      </c>
      <c r="K50" s="167">
        <f t="shared" si="5"/>
        <v>500</v>
      </c>
      <c r="L50" s="167">
        <f t="shared" si="5"/>
        <v>500</v>
      </c>
      <c r="M50" s="167">
        <f t="shared" si="5"/>
        <v>500</v>
      </c>
      <c r="N50" s="167">
        <f t="shared" si="5"/>
        <v>500</v>
      </c>
      <c r="O50" s="167">
        <f t="shared" si="5"/>
        <v>500</v>
      </c>
      <c r="P50" s="167">
        <f t="shared" si="5"/>
        <v>500</v>
      </c>
      <c r="Q50" s="65">
        <f>SUM(E50:P50)</f>
        <v>6000</v>
      </c>
    </row>
    <row r="51" spans="1:17" x14ac:dyDescent="0.25">
      <c r="A51" s="61">
        <v>52003500</v>
      </c>
      <c r="B51" t="s">
        <v>124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5">
      <c r="A52" s="90"/>
      <c r="B52" s="91" t="s">
        <v>152</v>
      </c>
      <c r="C52" s="92">
        <v>19500</v>
      </c>
      <c r="D52" s="92">
        <f>2708*2</f>
        <v>5416</v>
      </c>
      <c r="E52" s="93">
        <v>500</v>
      </c>
      <c r="F52" s="93">
        <v>500</v>
      </c>
      <c r="G52" s="93">
        <v>500</v>
      </c>
      <c r="H52" s="93">
        <v>500</v>
      </c>
      <c r="I52" s="93">
        <v>500</v>
      </c>
      <c r="J52" s="93">
        <v>500</v>
      </c>
      <c r="K52" s="93">
        <v>500</v>
      </c>
      <c r="L52" s="93">
        <v>500</v>
      </c>
      <c r="M52" s="93">
        <v>500</v>
      </c>
      <c r="N52" s="93">
        <v>500</v>
      </c>
      <c r="O52" s="93">
        <v>500</v>
      </c>
      <c r="P52" s="93">
        <v>500</v>
      </c>
      <c r="Q52" s="94">
        <f>SUM(E52:P52)</f>
        <v>6000</v>
      </c>
    </row>
    <row r="53" spans="1:17" s="91" customFormat="1" x14ac:dyDescent="0.25">
      <c r="A53" s="90"/>
      <c r="B53" s="91" t="s">
        <v>152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5">
      <c r="A54" s="166"/>
      <c r="B54" s="167" t="s">
        <v>25</v>
      </c>
      <c r="C54" s="110">
        <f t="shared" ref="C54:P54" si="6">SUM(C52:C53)</f>
        <v>19500</v>
      </c>
      <c r="D54" s="110">
        <f t="shared" si="6"/>
        <v>5416</v>
      </c>
      <c r="E54" s="167">
        <f t="shared" si="6"/>
        <v>500</v>
      </c>
      <c r="F54" s="167">
        <f t="shared" si="6"/>
        <v>500</v>
      </c>
      <c r="G54" s="167">
        <f t="shared" si="6"/>
        <v>500</v>
      </c>
      <c r="H54" s="167">
        <f t="shared" si="6"/>
        <v>500</v>
      </c>
      <c r="I54" s="167">
        <f t="shared" si="6"/>
        <v>500</v>
      </c>
      <c r="J54" s="167">
        <f t="shared" si="6"/>
        <v>500</v>
      </c>
      <c r="K54" s="167">
        <f t="shared" si="6"/>
        <v>500</v>
      </c>
      <c r="L54" s="167">
        <f t="shared" si="6"/>
        <v>500</v>
      </c>
      <c r="M54" s="167">
        <f t="shared" si="6"/>
        <v>500</v>
      </c>
      <c r="N54" s="167">
        <f t="shared" si="6"/>
        <v>500</v>
      </c>
      <c r="O54" s="167">
        <f t="shared" si="6"/>
        <v>500</v>
      </c>
      <c r="P54" s="167">
        <f t="shared" si="6"/>
        <v>500</v>
      </c>
      <c r="Q54" s="65">
        <f>SUM(E54:P54)</f>
        <v>6000</v>
      </c>
    </row>
    <row r="55" spans="1:17" x14ac:dyDescent="0.25">
      <c r="A55" s="61">
        <v>52004000</v>
      </c>
      <c r="B55" t="s">
        <v>105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5">
      <c r="A56" s="90"/>
      <c r="B56" s="91" t="s">
        <v>246</v>
      </c>
      <c r="C56" s="92">
        <v>5904</v>
      </c>
      <c r="D56" s="92">
        <v>1820</v>
      </c>
      <c r="E56" s="93">
        <v>250</v>
      </c>
      <c r="F56" s="93">
        <v>250</v>
      </c>
      <c r="G56" s="93">
        <v>250</v>
      </c>
      <c r="H56" s="93">
        <v>250</v>
      </c>
      <c r="I56" s="93">
        <v>250</v>
      </c>
      <c r="J56" s="93">
        <v>250</v>
      </c>
      <c r="K56" s="93">
        <v>250</v>
      </c>
      <c r="L56" s="93">
        <v>250</v>
      </c>
      <c r="M56" s="93">
        <v>250</v>
      </c>
      <c r="N56" s="93">
        <v>250</v>
      </c>
      <c r="O56" s="93">
        <v>250</v>
      </c>
      <c r="P56" s="93">
        <v>250</v>
      </c>
      <c r="Q56" s="94">
        <f>SUM(E56:P56)</f>
        <v>3000</v>
      </c>
    </row>
    <row r="57" spans="1:17" s="91" customFormat="1" x14ac:dyDescent="0.25">
      <c r="A57" s="90"/>
      <c r="B57" s="91" t="s">
        <v>152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5">
      <c r="A58" s="166"/>
      <c r="B58" s="167" t="s">
        <v>25</v>
      </c>
      <c r="C58" s="110">
        <f t="shared" ref="C58:P58" si="7">SUM(C56:C57)</f>
        <v>5904</v>
      </c>
      <c r="D58" s="110">
        <f t="shared" si="7"/>
        <v>1820</v>
      </c>
      <c r="E58" s="167">
        <f t="shared" si="7"/>
        <v>250</v>
      </c>
      <c r="F58" s="167">
        <f t="shared" si="7"/>
        <v>250</v>
      </c>
      <c r="G58" s="167">
        <f t="shared" si="7"/>
        <v>250</v>
      </c>
      <c r="H58" s="167">
        <f t="shared" si="7"/>
        <v>250</v>
      </c>
      <c r="I58" s="167">
        <f t="shared" si="7"/>
        <v>250</v>
      </c>
      <c r="J58" s="167">
        <f t="shared" si="7"/>
        <v>250</v>
      </c>
      <c r="K58" s="167">
        <f t="shared" si="7"/>
        <v>250</v>
      </c>
      <c r="L58" s="167">
        <f t="shared" si="7"/>
        <v>250</v>
      </c>
      <c r="M58" s="167">
        <f t="shared" si="7"/>
        <v>250</v>
      </c>
      <c r="N58" s="167">
        <f t="shared" si="7"/>
        <v>250</v>
      </c>
      <c r="O58" s="167">
        <f t="shared" si="7"/>
        <v>250</v>
      </c>
      <c r="P58" s="167">
        <f t="shared" si="7"/>
        <v>250</v>
      </c>
      <c r="Q58" s="65">
        <f>SUM(E58:P58)</f>
        <v>3000</v>
      </c>
    </row>
    <row r="59" spans="1:17" x14ac:dyDescent="0.25">
      <c r="A59" s="61">
        <v>52004500</v>
      </c>
      <c r="B59" t="s">
        <v>75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5">
      <c r="A60" s="90"/>
      <c r="B60" s="91" t="s">
        <v>247</v>
      </c>
      <c r="C60" s="92">
        <v>409464</v>
      </c>
      <c r="D60" s="92">
        <f>126854*2</f>
        <v>253708</v>
      </c>
      <c r="E60" s="93">
        <v>25000</v>
      </c>
      <c r="F60" s="93">
        <v>25000</v>
      </c>
      <c r="G60" s="93">
        <v>30000</v>
      </c>
      <c r="H60" s="93">
        <v>30000</v>
      </c>
      <c r="I60" s="93">
        <v>30000</v>
      </c>
      <c r="J60" s="93">
        <v>30000</v>
      </c>
      <c r="K60" s="93">
        <v>30000</v>
      </c>
      <c r="L60" s="93">
        <v>20000</v>
      </c>
      <c r="M60" s="93">
        <v>30000</v>
      </c>
      <c r="N60" s="93">
        <v>30000</v>
      </c>
      <c r="O60" s="93">
        <v>30000</v>
      </c>
      <c r="P60" s="93">
        <v>20000</v>
      </c>
      <c r="Q60" s="94">
        <f>SUM(E60:P60)</f>
        <v>330000</v>
      </c>
    </row>
    <row r="61" spans="1:17" s="91" customFormat="1" x14ac:dyDescent="0.25">
      <c r="A61" s="90"/>
      <c r="B61" s="91" t="s">
        <v>152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5">
      <c r="A62" s="166"/>
      <c r="B62" s="167" t="s">
        <v>25</v>
      </c>
      <c r="C62" s="110">
        <f t="shared" ref="C62:P62" si="8">SUM(C60:C61)</f>
        <v>409464</v>
      </c>
      <c r="D62" s="110">
        <f t="shared" si="8"/>
        <v>253708</v>
      </c>
      <c r="E62" s="167">
        <f t="shared" si="8"/>
        <v>25000</v>
      </c>
      <c r="F62" s="167">
        <f t="shared" si="8"/>
        <v>25000</v>
      </c>
      <c r="G62" s="167">
        <f t="shared" si="8"/>
        <v>30000</v>
      </c>
      <c r="H62" s="167">
        <f t="shared" si="8"/>
        <v>30000</v>
      </c>
      <c r="I62" s="167">
        <f t="shared" si="8"/>
        <v>30000</v>
      </c>
      <c r="J62" s="167">
        <f t="shared" si="8"/>
        <v>30000</v>
      </c>
      <c r="K62" s="167">
        <f t="shared" si="8"/>
        <v>30000</v>
      </c>
      <c r="L62" s="167">
        <f t="shared" si="8"/>
        <v>20000</v>
      </c>
      <c r="M62" s="167">
        <f t="shared" si="8"/>
        <v>30000</v>
      </c>
      <c r="N62" s="167">
        <f t="shared" si="8"/>
        <v>30000</v>
      </c>
      <c r="O62" s="167">
        <f t="shared" si="8"/>
        <v>30000</v>
      </c>
      <c r="P62" s="167">
        <f t="shared" si="8"/>
        <v>20000</v>
      </c>
      <c r="Q62" s="65">
        <f>SUM(E62:P62)</f>
        <v>330000</v>
      </c>
    </row>
    <row r="63" spans="1:17" s="22" customFormat="1" x14ac:dyDescent="0.25">
      <c r="A63" s="72"/>
      <c r="C63" s="104"/>
      <c r="D63" s="104"/>
      <c r="Q63" s="46"/>
    </row>
    <row r="64" spans="1:17" s="23" customFormat="1" ht="15.6" x14ac:dyDescent="0.3">
      <c r="A64" s="74"/>
      <c r="B64" s="23" t="s">
        <v>27</v>
      </c>
      <c r="C64" s="112">
        <f t="shared" ref="C64:Q64" si="9">+C38+C42+C46+C50+C54+C58+C62</f>
        <v>508968</v>
      </c>
      <c r="D64" s="112">
        <f t="shared" si="9"/>
        <v>289620</v>
      </c>
      <c r="E64" s="24">
        <f t="shared" si="9"/>
        <v>27750</v>
      </c>
      <c r="F64" s="24">
        <f t="shared" si="9"/>
        <v>27750</v>
      </c>
      <c r="G64" s="24">
        <f t="shared" si="9"/>
        <v>32750</v>
      </c>
      <c r="H64" s="24">
        <f t="shared" si="9"/>
        <v>32750</v>
      </c>
      <c r="I64" s="24">
        <f t="shared" si="9"/>
        <v>32750</v>
      </c>
      <c r="J64" s="24">
        <f t="shared" si="9"/>
        <v>42750</v>
      </c>
      <c r="K64" s="24">
        <f t="shared" si="9"/>
        <v>32750</v>
      </c>
      <c r="L64" s="24">
        <f t="shared" si="9"/>
        <v>22750</v>
      </c>
      <c r="M64" s="24">
        <f t="shared" si="9"/>
        <v>32750</v>
      </c>
      <c r="N64" s="24">
        <f t="shared" si="9"/>
        <v>32750</v>
      </c>
      <c r="O64" s="24">
        <f t="shared" si="9"/>
        <v>32750</v>
      </c>
      <c r="P64" s="24">
        <f t="shared" si="9"/>
        <v>22750</v>
      </c>
      <c r="Q64" s="48">
        <f t="shared" si="9"/>
        <v>373000</v>
      </c>
    </row>
    <row r="65" spans="1:17" s="23" customFormat="1" ht="15.6" x14ac:dyDescent="0.3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6" x14ac:dyDescent="0.3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6" x14ac:dyDescent="0.3">
      <c r="A67" s="73" t="s">
        <v>162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5">
      <c r="A68" s="61">
        <v>52507000</v>
      </c>
      <c r="B68" t="s">
        <v>125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5">
      <c r="A69" s="90"/>
      <c r="B69" s="91" t="s">
        <v>152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5">
      <c r="A70" s="90"/>
      <c r="B70" s="91" t="s">
        <v>152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5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5">
      <c r="A72" s="61">
        <v>52507100</v>
      </c>
      <c r="B72" t="s">
        <v>126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5">
      <c r="A73" s="90"/>
      <c r="B73" s="91" t="s">
        <v>152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5">
      <c r="A74" s="90"/>
      <c r="B74" s="91" t="s">
        <v>152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5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5">
      <c r="A76" s="61">
        <v>52507200</v>
      </c>
      <c r="B76" t="s">
        <v>163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5">
      <c r="A77" s="90"/>
      <c r="B77" s="91" t="s">
        <v>248</v>
      </c>
      <c r="C77" s="92">
        <v>150000</v>
      </c>
      <c r="D77" s="92">
        <f>22129*2</f>
        <v>44258</v>
      </c>
      <c r="E77" s="93">
        <v>3500</v>
      </c>
      <c r="F77" s="93">
        <v>3500</v>
      </c>
      <c r="G77" s="93">
        <v>3500</v>
      </c>
      <c r="H77" s="93">
        <v>3500</v>
      </c>
      <c r="I77" s="93">
        <v>3500</v>
      </c>
      <c r="J77" s="93">
        <v>3500</v>
      </c>
      <c r="K77" s="93">
        <v>3500</v>
      </c>
      <c r="L77" s="93">
        <v>3500</v>
      </c>
      <c r="M77" s="93">
        <v>3500</v>
      </c>
      <c r="N77" s="93">
        <v>3500</v>
      </c>
      <c r="O77" s="93">
        <v>3500</v>
      </c>
      <c r="P77" s="93">
        <v>3500</v>
      </c>
      <c r="Q77" s="94">
        <f>SUM(E77:P77)</f>
        <v>42000</v>
      </c>
    </row>
    <row r="78" spans="1:17" s="91" customFormat="1" x14ac:dyDescent="0.25">
      <c r="A78" s="90"/>
      <c r="B78" s="91" t="s">
        <v>152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5">
      <c r="A79" s="166"/>
      <c r="B79" s="167" t="s">
        <v>25</v>
      </c>
      <c r="C79" s="110">
        <f t="shared" ref="C79:P79" si="12">SUM(C77:C78)</f>
        <v>150000</v>
      </c>
      <c r="D79" s="110">
        <f t="shared" si="12"/>
        <v>44258</v>
      </c>
      <c r="E79" s="167">
        <f t="shared" si="12"/>
        <v>3500</v>
      </c>
      <c r="F79" s="167">
        <f t="shared" si="12"/>
        <v>3500</v>
      </c>
      <c r="G79" s="167">
        <f t="shared" si="12"/>
        <v>3500</v>
      </c>
      <c r="H79" s="167">
        <f t="shared" si="12"/>
        <v>3500</v>
      </c>
      <c r="I79" s="167">
        <f t="shared" si="12"/>
        <v>3500</v>
      </c>
      <c r="J79" s="167">
        <f t="shared" si="12"/>
        <v>3500</v>
      </c>
      <c r="K79" s="167">
        <f t="shared" si="12"/>
        <v>3500</v>
      </c>
      <c r="L79" s="167">
        <f t="shared" si="12"/>
        <v>3500</v>
      </c>
      <c r="M79" s="167">
        <f t="shared" si="12"/>
        <v>3500</v>
      </c>
      <c r="N79" s="167">
        <f t="shared" si="12"/>
        <v>3500</v>
      </c>
      <c r="O79" s="167">
        <f t="shared" si="12"/>
        <v>3500</v>
      </c>
      <c r="P79" s="167">
        <f t="shared" si="12"/>
        <v>3500</v>
      </c>
      <c r="Q79" s="65">
        <f>SUM(E79:P79)</f>
        <v>42000</v>
      </c>
    </row>
    <row r="80" spans="1:17" x14ac:dyDescent="0.25">
      <c r="A80" s="61">
        <v>52507300</v>
      </c>
      <c r="B80" t="s">
        <v>127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5">
      <c r="A81" s="90"/>
      <c r="B81" s="91" t="s">
        <v>152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5">
      <c r="A82" s="90"/>
      <c r="B82" s="91" t="s">
        <v>152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5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5">
      <c r="A84" s="61">
        <v>52507400</v>
      </c>
      <c r="B84" t="s">
        <v>128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5">
      <c r="A85" s="90"/>
      <c r="B85" s="91" t="s">
        <v>152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5">
      <c r="A86" s="90"/>
      <c r="B86" s="91" t="s">
        <v>152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5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5">
      <c r="A88" s="61">
        <v>52507500</v>
      </c>
      <c r="B88" t="s">
        <v>129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5">
      <c r="A89" s="90"/>
      <c r="B89" s="91" t="s">
        <v>152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5">
      <c r="A90" s="90"/>
      <c r="B90" s="91" t="s">
        <v>152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5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5">
      <c r="A92" s="61">
        <v>52507600</v>
      </c>
      <c r="B92" t="s">
        <v>130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5">
      <c r="A93" s="90"/>
      <c r="B93" s="91" t="s">
        <v>152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5">
      <c r="A94" s="90"/>
      <c r="B94" s="91" t="s">
        <v>152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5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5">
      <c r="A96" s="61">
        <v>52507700</v>
      </c>
      <c r="B96" t="s">
        <v>131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5">
      <c r="A97" s="90"/>
      <c r="B97" s="91" t="s">
        <v>152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5">
      <c r="A98" s="90"/>
      <c r="B98" s="91" t="s">
        <v>152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5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5">
      <c r="A100" s="61">
        <v>52508000</v>
      </c>
      <c r="B100" t="s">
        <v>132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5">
      <c r="A101" s="90"/>
      <c r="B101" s="91" t="s">
        <v>249</v>
      </c>
      <c r="C101" s="92">
        <v>444996</v>
      </c>
      <c r="D101" s="92">
        <f>131027*2</f>
        <v>262054</v>
      </c>
      <c r="E101" s="93">
        <v>25000</v>
      </c>
      <c r="F101" s="93">
        <v>25000</v>
      </c>
      <c r="G101" s="93">
        <v>25000</v>
      </c>
      <c r="H101" s="93">
        <v>25000</v>
      </c>
      <c r="I101" s="93">
        <v>25000</v>
      </c>
      <c r="J101" s="93">
        <v>25000</v>
      </c>
      <c r="K101" s="93">
        <v>25000</v>
      </c>
      <c r="L101" s="93">
        <v>25000</v>
      </c>
      <c r="M101" s="93">
        <v>25000</v>
      </c>
      <c r="N101" s="93">
        <v>25000</v>
      </c>
      <c r="O101" s="93">
        <v>25000</v>
      </c>
      <c r="P101" s="93">
        <v>25000</v>
      </c>
      <c r="Q101" s="94">
        <f>SUM(E101:P101)</f>
        <v>300000</v>
      </c>
    </row>
    <row r="102" spans="1:17" s="91" customFormat="1" x14ac:dyDescent="0.25">
      <c r="A102" s="90"/>
      <c r="B102" s="91" t="s">
        <v>152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5">
      <c r="A103" s="166"/>
      <c r="B103" s="167" t="s">
        <v>25</v>
      </c>
      <c r="C103" s="110">
        <f t="shared" ref="C103:P103" si="18">SUM(C101:C102)</f>
        <v>444996</v>
      </c>
      <c r="D103" s="110">
        <f t="shared" si="18"/>
        <v>262054</v>
      </c>
      <c r="E103" s="167">
        <f t="shared" si="18"/>
        <v>25000</v>
      </c>
      <c r="F103" s="167">
        <f t="shared" si="18"/>
        <v>25000</v>
      </c>
      <c r="G103" s="167">
        <f t="shared" si="18"/>
        <v>25000</v>
      </c>
      <c r="H103" s="167">
        <f t="shared" si="18"/>
        <v>25000</v>
      </c>
      <c r="I103" s="167">
        <f t="shared" si="18"/>
        <v>25000</v>
      </c>
      <c r="J103" s="167">
        <f t="shared" si="18"/>
        <v>25000</v>
      </c>
      <c r="K103" s="167">
        <f t="shared" si="18"/>
        <v>25000</v>
      </c>
      <c r="L103" s="167">
        <f t="shared" si="18"/>
        <v>25000</v>
      </c>
      <c r="M103" s="167">
        <f t="shared" si="18"/>
        <v>25000</v>
      </c>
      <c r="N103" s="167">
        <f t="shared" si="18"/>
        <v>25000</v>
      </c>
      <c r="O103" s="167">
        <f t="shared" si="18"/>
        <v>25000</v>
      </c>
      <c r="P103" s="167">
        <f t="shared" si="18"/>
        <v>25000</v>
      </c>
      <c r="Q103" s="65">
        <f>SUM(E103:P103)</f>
        <v>300000</v>
      </c>
    </row>
    <row r="104" spans="1:17" s="182" customFormat="1" ht="13.5" customHeight="1" x14ac:dyDescent="0.25">
      <c r="A104" s="181"/>
      <c r="C104" s="110"/>
      <c r="D104" s="110"/>
      <c r="Q104" s="65"/>
    </row>
    <row r="105" spans="1:17" s="23" customFormat="1" ht="15.6" x14ac:dyDescent="0.3">
      <c r="A105" s="74"/>
      <c r="B105" s="23" t="s">
        <v>164</v>
      </c>
      <c r="C105" s="112">
        <f t="shared" ref="C105:Q105" si="19">+C71+C75+C79+C83+C87+C91+C95+C99+C103</f>
        <v>594996</v>
      </c>
      <c r="D105" s="112">
        <f t="shared" si="19"/>
        <v>306312</v>
      </c>
      <c r="E105" s="184">
        <f t="shared" si="19"/>
        <v>28500</v>
      </c>
      <c r="F105" s="184">
        <f t="shared" si="19"/>
        <v>28500</v>
      </c>
      <c r="G105" s="184">
        <f t="shared" si="19"/>
        <v>28500</v>
      </c>
      <c r="H105" s="184">
        <f t="shared" si="19"/>
        <v>28500</v>
      </c>
      <c r="I105" s="184">
        <f t="shared" si="19"/>
        <v>28500</v>
      </c>
      <c r="J105" s="184">
        <f t="shared" si="19"/>
        <v>28500</v>
      </c>
      <c r="K105" s="184">
        <f t="shared" si="19"/>
        <v>28500</v>
      </c>
      <c r="L105" s="184">
        <f t="shared" si="19"/>
        <v>28500</v>
      </c>
      <c r="M105" s="184">
        <f t="shared" si="19"/>
        <v>28500</v>
      </c>
      <c r="N105" s="184">
        <f t="shared" si="19"/>
        <v>28500</v>
      </c>
      <c r="O105" s="184">
        <f t="shared" si="19"/>
        <v>28500</v>
      </c>
      <c r="P105" s="184">
        <f t="shared" si="19"/>
        <v>28500</v>
      </c>
      <c r="Q105" s="112">
        <f t="shared" si="19"/>
        <v>342000</v>
      </c>
    </row>
    <row r="106" spans="1:17" s="23" customFormat="1" ht="15.6" x14ac:dyDescent="0.3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6" x14ac:dyDescent="0.3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6" x14ac:dyDescent="0.3">
      <c r="A108" s="73" t="s">
        <v>68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5">
      <c r="A109" s="61">
        <v>52500500</v>
      </c>
      <c r="B109" t="s">
        <v>76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5">
      <c r="A110" s="90"/>
      <c r="B110" s="91" t="s">
        <v>250</v>
      </c>
      <c r="C110" s="92">
        <v>459996</v>
      </c>
      <c r="D110" s="92">
        <v>170000</v>
      </c>
      <c r="E110" s="93">
        <v>15000</v>
      </c>
      <c r="F110" s="93">
        <v>15000</v>
      </c>
      <c r="G110" s="93">
        <v>15000</v>
      </c>
      <c r="H110" s="93">
        <v>15000</v>
      </c>
      <c r="I110" s="93">
        <v>15000</v>
      </c>
      <c r="J110" s="93">
        <v>15000</v>
      </c>
      <c r="K110" s="93">
        <v>15000</v>
      </c>
      <c r="L110" s="93">
        <v>15000</v>
      </c>
      <c r="M110" s="93">
        <v>15000</v>
      </c>
      <c r="N110" s="93">
        <v>15000</v>
      </c>
      <c r="O110" s="93">
        <v>15000</v>
      </c>
      <c r="P110" s="93">
        <v>15000</v>
      </c>
      <c r="Q110" s="94">
        <f>SUM(E110:P110)</f>
        <v>180000</v>
      </c>
    </row>
    <row r="111" spans="1:17" s="91" customFormat="1" x14ac:dyDescent="0.25">
      <c r="A111" s="90"/>
      <c r="B111" s="91" t="s">
        <v>152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5">
      <c r="A112" s="166"/>
      <c r="B112" s="167" t="s">
        <v>25</v>
      </c>
      <c r="C112" s="110">
        <f t="shared" ref="C112:P112" si="20">SUM(C110:C111)</f>
        <v>459996</v>
      </c>
      <c r="D112" s="110">
        <f t="shared" si="20"/>
        <v>170000</v>
      </c>
      <c r="E112" s="167">
        <f t="shared" si="20"/>
        <v>15000</v>
      </c>
      <c r="F112" s="167">
        <f t="shared" si="20"/>
        <v>15000</v>
      </c>
      <c r="G112" s="167">
        <f t="shared" si="20"/>
        <v>15000</v>
      </c>
      <c r="H112" s="167">
        <f t="shared" si="20"/>
        <v>15000</v>
      </c>
      <c r="I112" s="167">
        <f t="shared" si="20"/>
        <v>15000</v>
      </c>
      <c r="J112" s="167">
        <f t="shared" si="20"/>
        <v>15000</v>
      </c>
      <c r="K112" s="167">
        <f t="shared" si="20"/>
        <v>15000</v>
      </c>
      <c r="L112" s="167">
        <f t="shared" si="20"/>
        <v>15000</v>
      </c>
      <c r="M112" s="167">
        <f t="shared" si="20"/>
        <v>15000</v>
      </c>
      <c r="N112" s="167">
        <f t="shared" si="20"/>
        <v>15000</v>
      </c>
      <c r="O112" s="167">
        <f t="shared" si="20"/>
        <v>15000</v>
      </c>
      <c r="P112" s="167">
        <f t="shared" si="20"/>
        <v>15000</v>
      </c>
      <c r="Q112" s="65">
        <f>SUM(E112:P112)</f>
        <v>180000</v>
      </c>
    </row>
    <row r="113" spans="1:17" x14ac:dyDescent="0.25">
      <c r="A113" s="61">
        <v>52503500</v>
      </c>
      <c r="B113" t="s">
        <v>77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5">
      <c r="A114" s="90"/>
      <c r="B114" s="91" t="s">
        <v>251</v>
      </c>
      <c r="C114" s="92">
        <v>15400</v>
      </c>
      <c r="D114" s="92">
        <f>7904*2</f>
        <v>15808</v>
      </c>
      <c r="E114" s="93">
        <v>1400</v>
      </c>
      <c r="F114" s="93">
        <v>1400</v>
      </c>
      <c r="G114" s="93">
        <v>1400</v>
      </c>
      <c r="H114" s="93">
        <v>1400</v>
      </c>
      <c r="I114" s="93">
        <v>1400</v>
      </c>
      <c r="J114" s="93">
        <v>1400</v>
      </c>
      <c r="K114" s="93">
        <v>1400</v>
      </c>
      <c r="L114" s="93">
        <v>1400</v>
      </c>
      <c r="M114" s="93">
        <v>1400</v>
      </c>
      <c r="N114" s="93">
        <v>1400</v>
      </c>
      <c r="O114" s="93">
        <v>1400</v>
      </c>
      <c r="P114" s="93">
        <v>1400</v>
      </c>
      <c r="Q114" s="94">
        <f>SUM(E114:P114)</f>
        <v>16800</v>
      </c>
    </row>
    <row r="115" spans="1:17" s="91" customFormat="1" x14ac:dyDescent="0.25">
      <c r="A115" s="90"/>
      <c r="B115" s="91" t="s">
        <v>152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5">
      <c r="A116" s="166"/>
      <c r="B116" s="167" t="s">
        <v>25</v>
      </c>
      <c r="C116" s="110">
        <f t="shared" ref="C116:P116" si="21">SUM(C114:C115)</f>
        <v>15400</v>
      </c>
      <c r="D116" s="110">
        <f t="shared" si="21"/>
        <v>15808</v>
      </c>
      <c r="E116" s="167">
        <f t="shared" si="21"/>
        <v>1400</v>
      </c>
      <c r="F116" s="167">
        <f t="shared" si="21"/>
        <v>1400</v>
      </c>
      <c r="G116" s="167">
        <f t="shared" si="21"/>
        <v>1400</v>
      </c>
      <c r="H116" s="167">
        <f t="shared" si="21"/>
        <v>1400</v>
      </c>
      <c r="I116" s="167">
        <f t="shared" si="21"/>
        <v>1400</v>
      </c>
      <c r="J116" s="167">
        <f t="shared" si="21"/>
        <v>1400</v>
      </c>
      <c r="K116" s="167">
        <f t="shared" si="21"/>
        <v>1400</v>
      </c>
      <c r="L116" s="167">
        <f t="shared" si="21"/>
        <v>1400</v>
      </c>
      <c r="M116" s="167">
        <f t="shared" si="21"/>
        <v>1400</v>
      </c>
      <c r="N116" s="167">
        <f t="shared" si="21"/>
        <v>1400</v>
      </c>
      <c r="O116" s="167">
        <f t="shared" si="21"/>
        <v>1400</v>
      </c>
      <c r="P116" s="167">
        <f t="shared" si="21"/>
        <v>1400</v>
      </c>
      <c r="Q116" s="65">
        <f>SUM(E116:P116)</f>
        <v>16800</v>
      </c>
    </row>
    <row r="117" spans="1:17" x14ac:dyDescent="0.25">
      <c r="A117" s="61">
        <v>52504000</v>
      </c>
      <c r="B117" t="s">
        <v>78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5">
      <c r="A118" s="90"/>
      <c r="B118" s="91" t="s">
        <v>252</v>
      </c>
      <c r="C118" s="92">
        <v>28896</v>
      </c>
      <c r="D118" s="92">
        <v>22500</v>
      </c>
      <c r="E118" s="93">
        <v>2000</v>
      </c>
      <c r="F118" s="93">
        <v>2000</v>
      </c>
      <c r="G118" s="93">
        <v>2000</v>
      </c>
      <c r="H118" s="93">
        <v>2000</v>
      </c>
      <c r="I118" s="93">
        <v>2000</v>
      </c>
      <c r="J118" s="93">
        <v>2000</v>
      </c>
      <c r="K118" s="93">
        <v>2000</v>
      </c>
      <c r="L118" s="93">
        <v>2000</v>
      </c>
      <c r="M118" s="93">
        <v>2000</v>
      </c>
      <c r="N118" s="93">
        <v>2000</v>
      </c>
      <c r="O118" s="93">
        <v>2000</v>
      </c>
      <c r="P118" s="93">
        <v>2000</v>
      </c>
      <c r="Q118" s="94">
        <f>SUM(E118:P118)</f>
        <v>24000</v>
      </c>
    </row>
    <row r="119" spans="1:17" s="91" customFormat="1" x14ac:dyDescent="0.25">
      <c r="A119" s="90"/>
      <c r="B119" s="91" t="s">
        <v>152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5">
      <c r="A120" s="166"/>
      <c r="B120" s="167" t="s">
        <v>25</v>
      </c>
      <c r="C120" s="110">
        <f t="shared" ref="C120:P120" si="22">SUM(C118:C119)</f>
        <v>28896</v>
      </c>
      <c r="D120" s="110">
        <f t="shared" si="22"/>
        <v>22500</v>
      </c>
      <c r="E120" s="167">
        <f t="shared" si="22"/>
        <v>2000</v>
      </c>
      <c r="F120" s="167">
        <f t="shared" si="22"/>
        <v>2000</v>
      </c>
      <c r="G120" s="167">
        <f t="shared" si="22"/>
        <v>2000</v>
      </c>
      <c r="H120" s="167">
        <f t="shared" si="22"/>
        <v>2000</v>
      </c>
      <c r="I120" s="167">
        <f t="shared" si="22"/>
        <v>2000</v>
      </c>
      <c r="J120" s="167">
        <f t="shared" si="22"/>
        <v>2000</v>
      </c>
      <c r="K120" s="167">
        <f t="shared" si="22"/>
        <v>2000</v>
      </c>
      <c r="L120" s="167">
        <f t="shared" si="22"/>
        <v>2000</v>
      </c>
      <c r="M120" s="167">
        <f t="shared" si="22"/>
        <v>2000</v>
      </c>
      <c r="N120" s="167">
        <f t="shared" si="22"/>
        <v>2000</v>
      </c>
      <c r="O120" s="167">
        <f t="shared" si="22"/>
        <v>2000</v>
      </c>
      <c r="P120" s="167">
        <f t="shared" si="22"/>
        <v>2000</v>
      </c>
      <c r="Q120" s="65">
        <f>SUM(E120:P120)</f>
        <v>24000</v>
      </c>
    </row>
    <row r="121" spans="1:17" x14ac:dyDescent="0.25">
      <c r="A121" s="61">
        <v>52504100</v>
      </c>
      <c r="B121" t="s">
        <v>73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5">
      <c r="A122" s="90"/>
      <c r="B122" s="91" t="s">
        <v>253</v>
      </c>
      <c r="C122" s="92">
        <v>60000</v>
      </c>
      <c r="D122" s="92">
        <v>45000</v>
      </c>
      <c r="E122" s="93">
        <v>4000</v>
      </c>
      <c r="F122" s="93">
        <v>4000</v>
      </c>
      <c r="G122" s="93">
        <v>4000</v>
      </c>
      <c r="H122" s="93">
        <v>4000</v>
      </c>
      <c r="I122" s="93">
        <v>4000</v>
      </c>
      <c r="J122" s="93">
        <v>4000</v>
      </c>
      <c r="K122" s="93">
        <v>4000</v>
      </c>
      <c r="L122" s="93">
        <v>4000</v>
      </c>
      <c r="M122" s="93">
        <v>4000</v>
      </c>
      <c r="N122" s="93">
        <v>4000</v>
      </c>
      <c r="O122" s="93">
        <v>4000</v>
      </c>
      <c r="P122" s="93">
        <v>4000</v>
      </c>
      <c r="Q122" s="94">
        <f>SUM(E122:P122)</f>
        <v>48000</v>
      </c>
    </row>
    <row r="123" spans="1:17" s="91" customFormat="1" x14ac:dyDescent="0.25">
      <c r="A123" s="90"/>
      <c r="B123" s="91" t="s">
        <v>152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5">
      <c r="A124" s="166"/>
      <c r="B124" s="167" t="s">
        <v>25</v>
      </c>
      <c r="C124" s="110">
        <f t="shared" ref="C124:P124" si="23">SUM(C122:C123)</f>
        <v>60000</v>
      </c>
      <c r="D124" s="110">
        <f t="shared" si="23"/>
        <v>45000</v>
      </c>
      <c r="E124" s="167">
        <f t="shared" si="23"/>
        <v>4000</v>
      </c>
      <c r="F124" s="167">
        <f t="shared" si="23"/>
        <v>4000</v>
      </c>
      <c r="G124" s="167">
        <f t="shared" si="23"/>
        <v>4000</v>
      </c>
      <c r="H124" s="167">
        <f t="shared" si="23"/>
        <v>4000</v>
      </c>
      <c r="I124" s="167">
        <f t="shared" si="23"/>
        <v>4000</v>
      </c>
      <c r="J124" s="167">
        <f t="shared" si="23"/>
        <v>4000</v>
      </c>
      <c r="K124" s="167">
        <f t="shared" si="23"/>
        <v>4000</v>
      </c>
      <c r="L124" s="167">
        <f t="shared" si="23"/>
        <v>4000</v>
      </c>
      <c r="M124" s="167">
        <f t="shared" si="23"/>
        <v>4000</v>
      </c>
      <c r="N124" s="167">
        <f t="shared" si="23"/>
        <v>4000</v>
      </c>
      <c r="O124" s="167">
        <f t="shared" si="23"/>
        <v>4000</v>
      </c>
      <c r="P124" s="167">
        <f t="shared" si="23"/>
        <v>4000</v>
      </c>
      <c r="Q124" s="65">
        <f>SUM(E124:P124)</f>
        <v>48000</v>
      </c>
    </row>
    <row r="125" spans="1:17" x14ac:dyDescent="0.25">
      <c r="A125" s="61">
        <v>52504200</v>
      </c>
      <c r="B125" t="s">
        <v>74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5">
      <c r="A126" s="90"/>
      <c r="B126" s="91" t="s">
        <v>152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5">
      <c r="A127" s="90"/>
      <c r="B127" s="91" t="s">
        <v>152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5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5">
      <c r="A129" s="61">
        <v>52504300</v>
      </c>
      <c r="B129" t="s">
        <v>161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5">
      <c r="A130" s="90"/>
      <c r="B130" s="91" t="s">
        <v>152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5">
      <c r="A131" s="90"/>
      <c r="B131" s="91" t="s">
        <v>152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5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5">
      <c r="A133" s="61">
        <v>52504500</v>
      </c>
      <c r="B133" t="s">
        <v>79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5">
      <c r="A134" s="90"/>
      <c r="B134" s="91" t="s">
        <v>152</v>
      </c>
      <c r="C134" s="92">
        <v>7200</v>
      </c>
      <c r="D134" s="92">
        <f>3328*2</f>
        <v>6656</v>
      </c>
      <c r="E134" s="93">
        <v>600</v>
      </c>
      <c r="F134" s="93">
        <v>600</v>
      </c>
      <c r="G134" s="93">
        <v>600</v>
      </c>
      <c r="H134" s="93">
        <v>600</v>
      </c>
      <c r="I134" s="93">
        <v>600</v>
      </c>
      <c r="J134" s="93">
        <v>600</v>
      </c>
      <c r="K134" s="93">
        <v>600</v>
      </c>
      <c r="L134" s="93">
        <v>600</v>
      </c>
      <c r="M134" s="93">
        <v>600</v>
      </c>
      <c r="N134" s="93">
        <v>600</v>
      </c>
      <c r="O134" s="93">
        <v>600</v>
      </c>
      <c r="P134" s="93">
        <v>600</v>
      </c>
      <c r="Q134" s="94">
        <f>SUM(E134:P134)</f>
        <v>7200</v>
      </c>
    </row>
    <row r="135" spans="1:17" s="91" customFormat="1" x14ac:dyDescent="0.25">
      <c r="A135" s="90"/>
      <c r="B135" s="91" t="s">
        <v>152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5">
      <c r="A136" s="166"/>
      <c r="B136" s="167" t="s">
        <v>25</v>
      </c>
      <c r="C136" s="110">
        <f t="shared" ref="C136:P136" si="26">SUM(C134:C135)</f>
        <v>7200</v>
      </c>
      <c r="D136" s="110">
        <f t="shared" si="26"/>
        <v>6656</v>
      </c>
      <c r="E136" s="167">
        <f t="shared" si="26"/>
        <v>600</v>
      </c>
      <c r="F136" s="167">
        <f t="shared" si="26"/>
        <v>600</v>
      </c>
      <c r="G136" s="167">
        <f t="shared" si="26"/>
        <v>600</v>
      </c>
      <c r="H136" s="167">
        <f t="shared" si="26"/>
        <v>600</v>
      </c>
      <c r="I136" s="167">
        <f t="shared" si="26"/>
        <v>600</v>
      </c>
      <c r="J136" s="167">
        <f t="shared" si="26"/>
        <v>600</v>
      </c>
      <c r="K136" s="167">
        <f t="shared" si="26"/>
        <v>600</v>
      </c>
      <c r="L136" s="167">
        <f t="shared" si="26"/>
        <v>600</v>
      </c>
      <c r="M136" s="167">
        <f t="shared" si="26"/>
        <v>600</v>
      </c>
      <c r="N136" s="167">
        <f t="shared" si="26"/>
        <v>600</v>
      </c>
      <c r="O136" s="167">
        <f t="shared" si="26"/>
        <v>600</v>
      </c>
      <c r="P136" s="167">
        <f t="shared" si="26"/>
        <v>600</v>
      </c>
      <c r="Q136" s="65">
        <f>SUM(E136:P136)</f>
        <v>7200</v>
      </c>
    </row>
    <row r="137" spans="1:17" x14ac:dyDescent="0.25">
      <c r="A137" s="61">
        <v>52505000</v>
      </c>
      <c r="B137" t="s">
        <v>80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5">
      <c r="A138" s="90"/>
      <c r="B138" s="91" t="s">
        <v>152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5">
      <c r="A139" s="90"/>
      <c r="B139" s="91" t="s">
        <v>152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5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5">
      <c r="A141" s="61">
        <v>52505500</v>
      </c>
      <c r="B141" t="s">
        <v>81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5">
      <c r="A142" s="90"/>
      <c r="B142" s="91" t="s">
        <v>152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5">
      <c r="A143" s="90"/>
      <c r="B143" s="91" t="s">
        <v>152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5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5">
      <c r="A145" s="61">
        <v>52506000</v>
      </c>
      <c r="B145" t="s">
        <v>83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5">
      <c r="A146" s="90"/>
      <c r="B146" s="91" t="s">
        <v>152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5">
      <c r="A147" s="90"/>
      <c r="B147" s="91" t="s">
        <v>152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5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5">
      <c r="A149" s="61">
        <v>52506500</v>
      </c>
      <c r="B149" t="s">
        <v>82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5">
      <c r="A150" s="90"/>
      <c r="B150" s="91" t="s">
        <v>152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5">
      <c r="A151" s="90"/>
      <c r="B151" s="91" t="s">
        <v>152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5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5">
      <c r="A153" s="61">
        <v>52508100</v>
      </c>
      <c r="B153" t="s">
        <v>85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5">
      <c r="A154" s="90"/>
      <c r="B154" s="91" t="s">
        <v>152</v>
      </c>
      <c r="C154" s="92">
        <v>4896</v>
      </c>
      <c r="D154" s="92">
        <v>1684</v>
      </c>
      <c r="E154" s="93">
        <v>125</v>
      </c>
      <c r="F154" s="93">
        <v>125</v>
      </c>
      <c r="G154" s="93">
        <v>125</v>
      </c>
      <c r="H154" s="93">
        <v>125</v>
      </c>
      <c r="I154" s="93">
        <v>125</v>
      </c>
      <c r="J154" s="93">
        <v>125</v>
      </c>
      <c r="K154" s="93">
        <v>125</v>
      </c>
      <c r="L154" s="93">
        <v>125</v>
      </c>
      <c r="M154" s="93">
        <v>125</v>
      </c>
      <c r="N154" s="93">
        <v>125</v>
      </c>
      <c r="O154" s="93">
        <v>125</v>
      </c>
      <c r="P154" s="93">
        <v>125</v>
      </c>
      <c r="Q154" s="94">
        <f>SUM(E154:P154)</f>
        <v>1500</v>
      </c>
    </row>
    <row r="155" spans="1:17" s="91" customFormat="1" x14ac:dyDescent="0.25">
      <c r="A155" s="90"/>
      <c r="B155" s="91" t="s">
        <v>152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5">
      <c r="A156" s="166"/>
      <c r="B156" s="167" t="s">
        <v>25</v>
      </c>
      <c r="C156" s="110">
        <f t="shared" ref="C156:P156" si="31">SUM(C154:C155)</f>
        <v>4896</v>
      </c>
      <c r="D156" s="110">
        <f t="shared" si="31"/>
        <v>1684</v>
      </c>
      <c r="E156" s="167">
        <f t="shared" si="31"/>
        <v>125</v>
      </c>
      <c r="F156" s="167">
        <f t="shared" si="31"/>
        <v>125</v>
      </c>
      <c r="G156" s="167">
        <f t="shared" si="31"/>
        <v>125</v>
      </c>
      <c r="H156" s="167">
        <f t="shared" si="31"/>
        <v>125</v>
      </c>
      <c r="I156" s="167">
        <f t="shared" si="31"/>
        <v>125</v>
      </c>
      <c r="J156" s="167">
        <f t="shared" si="31"/>
        <v>125</v>
      </c>
      <c r="K156" s="167">
        <f t="shared" si="31"/>
        <v>125</v>
      </c>
      <c r="L156" s="167">
        <f t="shared" si="31"/>
        <v>125</v>
      </c>
      <c r="M156" s="167">
        <f t="shared" si="31"/>
        <v>125</v>
      </c>
      <c r="N156" s="167">
        <f t="shared" si="31"/>
        <v>125</v>
      </c>
      <c r="O156" s="167">
        <f t="shared" si="31"/>
        <v>125</v>
      </c>
      <c r="P156" s="167">
        <f t="shared" si="31"/>
        <v>125</v>
      </c>
      <c r="Q156" s="65">
        <f>SUM(E156:P156)</f>
        <v>1500</v>
      </c>
    </row>
    <row r="157" spans="1:17" x14ac:dyDescent="0.25">
      <c r="A157" s="61">
        <v>52508500</v>
      </c>
      <c r="B157" t="s">
        <v>86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5">
      <c r="A158" s="90"/>
      <c r="B158" s="91" t="s">
        <v>152</v>
      </c>
      <c r="C158" s="92">
        <v>12996</v>
      </c>
      <c r="D158" s="92">
        <v>7695</v>
      </c>
      <c r="E158" s="93">
        <v>700</v>
      </c>
      <c r="F158" s="93">
        <v>700</v>
      </c>
      <c r="G158" s="93">
        <v>700</v>
      </c>
      <c r="H158" s="93">
        <v>700</v>
      </c>
      <c r="I158" s="93">
        <v>700</v>
      </c>
      <c r="J158" s="93">
        <v>700</v>
      </c>
      <c r="K158" s="93">
        <v>700</v>
      </c>
      <c r="L158" s="93">
        <v>700</v>
      </c>
      <c r="M158" s="93">
        <v>700</v>
      </c>
      <c r="N158" s="93">
        <v>700</v>
      </c>
      <c r="O158" s="93">
        <v>700</v>
      </c>
      <c r="P158" s="93">
        <v>700</v>
      </c>
      <c r="Q158" s="94">
        <f>SUM(E158:P158)</f>
        <v>8400</v>
      </c>
    </row>
    <row r="159" spans="1:17" s="91" customFormat="1" x14ac:dyDescent="0.25">
      <c r="A159" s="90"/>
      <c r="B159" s="91" t="s">
        <v>152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5">
      <c r="A160" s="166"/>
      <c r="B160" s="167" t="s">
        <v>25</v>
      </c>
      <c r="C160" s="110">
        <f t="shared" ref="C160:P160" si="32">SUM(C158:C159)</f>
        <v>12996</v>
      </c>
      <c r="D160" s="110">
        <f t="shared" si="32"/>
        <v>7695</v>
      </c>
      <c r="E160" s="167">
        <f t="shared" si="32"/>
        <v>700</v>
      </c>
      <c r="F160" s="167">
        <f t="shared" si="32"/>
        <v>700</v>
      </c>
      <c r="G160" s="167">
        <f t="shared" si="32"/>
        <v>700</v>
      </c>
      <c r="H160" s="167">
        <f t="shared" si="32"/>
        <v>700</v>
      </c>
      <c r="I160" s="167">
        <f t="shared" si="32"/>
        <v>700</v>
      </c>
      <c r="J160" s="167">
        <f t="shared" si="32"/>
        <v>700</v>
      </c>
      <c r="K160" s="167">
        <f t="shared" si="32"/>
        <v>700</v>
      </c>
      <c r="L160" s="167">
        <f t="shared" si="32"/>
        <v>700</v>
      </c>
      <c r="M160" s="167">
        <f t="shared" si="32"/>
        <v>700</v>
      </c>
      <c r="N160" s="167">
        <f t="shared" si="32"/>
        <v>700</v>
      </c>
      <c r="O160" s="167">
        <f t="shared" si="32"/>
        <v>700</v>
      </c>
      <c r="P160" s="167">
        <f t="shared" si="32"/>
        <v>700</v>
      </c>
      <c r="Q160" s="65">
        <f>SUM(E160:P160)</f>
        <v>8400</v>
      </c>
    </row>
    <row r="161" spans="1:32" x14ac:dyDescent="0.25">
      <c r="A161" s="61">
        <v>53600000</v>
      </c>
      <c r="B161" t="s">
        <v>87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32" s="91" customFormat="1" x14ac:dyDescent="0.25">
      <c r="A162" s="90"/>
      <c r="B162" s="91" t="s">
        <v>152</v>
      </c>
      <c r="C162" s="92">
        <v>29292</v>
      </c>
      <c r="D162" s="92">
        <f>12907*2</f>
        <v>25814</v>
      </c>
      <c r="E162" s="93">
        <v>2200</v>
      </c>
      <c r="F162" s="93">
        <v>2200</v>
      </c>
      <c r="G162" s="93">
        <v>2200</v>
      </c>
      <c r="H162" s="93">
        <v>2200</v>
      </c>
      <c r="I162" s="93">
        <v>2200</v>
      </c>
      <c r="J162" s="93">
        <v>2200</v>
      </c>
      <c r="K162" s="93">
        <v>2200</v>
      </c>
      <c r="L162" s="93">
        <v>2200</v>
      </c>
      <c r="M162" s="93">
        <v>2200</v>
      </c>
      <c r="N162" s="93">
        <v>2200</v>
      </c>
      <c r="O162" s="93">
        <v>2200</v>
      </c>
      <c r="P162" s="93">
        <v>2200</v>
      </c>
      <c r="Q162" s="94">
        <f>SUM(E162:P162)</f>
        <v>26400</v>
      </c>
    </row>
    <row r="163" spans="1:32" s="91" customFormat="1" x14ac:dyDescent="0.25">
      <c r="A163" s="90"/>
      <c r="B163" s="91" t="s">
        <v>152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32" s="9" customFormat="1" x14ac:dyDescent="0.25">
      <c r="A164" s="166"/>
      <c r="B164" s="167" t="s">
        <v>25</v>
      </c>
      <c r="C164" s="110">
        <f t="shared" ref="C164:P164" si="33">SUM(C162:C163)</f>
        <v>29292</v>
      </c>
      <c r="D164" s="110">
        <f t="shared" si="33"/>
        <v>25814</v>
      </c>
      <c r="E164" s="167">
        <f t="shared" si="33"/>
        <v>2200</v>
      </c>
      <c r="F164" s="167">
        <f t="shared" si="33"/>
        <v>2200</v>
      </c>
      <c r="G164" s="167">
        <f t="shared" si="33"/>
        <v>2200</v>
      </c>
      <c r="H164" s="167">
        <f t="shared" si="33"/>
        <v>2200</v>
      </c>
      <c r="I164" s="167">
        <f t="shared" si="33"/>
        <v>2200</v>
      </c>
      <c r="J164" s="167">
        <f t="shared" si="33"/>
        <v>2200</v>
      </c>
      <c r="K164" s="167">
        <f t="shared" si="33"/>
        <v>2200</v>
      </c>
      <c r="L164" s="167">
        <f t="shared" si="33"/>
        <v>2200</v>
      </c>
      <c r="M164" s="167">
        <f t="shared" si="33"/>
        <v>2200</v>
      </c>
      <c r="N164" s="167">
        <f t="shared" si="33"/>
        <v>2200</v>
      </c>
      <c r="O164" s="167">
        <f t="shared" si="33"/>
        <v>2200</v>
      </c>
      <c r="P164" s="167">
        <f t="shared" si="33"/>
        <v>2200</v>
      </c>
      <c r="Q164" s="65">
        <f>SUM(E164:P164)</f>
        <v>26400</v>
      </c>
    </row>
    <row r="165" spans="1:32" x14ac:dyDescent="0.25">
      <c r="A165" s="61">
        <v>53800000</v>
      </c>
      <c r="B165" t="s">
        <v>88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32" s="91" customFormat="1" x14ac:dyDescent="0.25">
      <c r="A166" s="90"/>
      <c r="B166" s="91" t="s">
        <v>152</v>
      </c>
      <c r="C166" s="92">
        <v>9000</v>
      </c>
      <c r="D166" s="92">
        <f>889*2</f>
        <v>1778</v>
      </c>
      <c r="E166" s="93">
        <v>200</v>
      </c>
      <c r="F166" s="93">
        <v>200</v>
      </c>
      <c r="G166" s="93">
        <v>200</v>
      </c>
      <c r="H166" s="93">
        <v>200</v>
      </c>
      <c r="I166" s="93">
        <v>200</v>
      </c>
      <c r="J166" s="93">
        <v>200</v>
      </c>
      <c r="K166" s="93">
        <v>200</v>
      </c>
      <c r="L166" s="93">
        <v>200</v>
      </c>
      <c r="M166" s="93">
        <v>200</v>
      </c>
      <c r="N166" s="93">
        <v>200</v>
      </c>
      <c r="O166" s="93">
        <v>200</v>
      </c>
      <c r="P166" s="93">
        <v>200</v>
      </c>
      <c r="Q166" s="94">
        <f>SUM(E166:P166)</f>
        <v>2400</v>
      </c>
    </row>
    <row r="167" spans="1:32" s="91" customFormat="1" x14ac:dyDescent="0.25">
      <c r="A167" s="90"/>
      <c r="B167" s="91" t="s">
        <v>152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32" s="9" customFormat="1" x14ac:dyDescent="0.25">
      <c r="A168" s="166"/>
      <c r="B168" s="167" t="s">
        <v>25</v>
      </c>
      <c r="C168" s="110">
        <f t="shared" ref="C168:P168" si="34">SUM(C166:C167)</f>
        <v>9000</v>
      </c>
      <c r="D168" s="110">
        <f t="shared" si="34"/>
        <v>1778</v>
      </c>
      <c r="E168" s="167">
        <f t="shared" si="34"/>
        <v>200</v>
      </c>
      <c r="F168" s="167">
        <f t="shared" si="34"/>
        <v>200</v>
      </c>
      <c r="G168" s="167">
        <f t="shared" si="34"/>
        <v>200</v>
      </c>
      <c r="H168" s="167">
        <f t="shared" si="34"/>
        <v>200</v>
      </c>
      <c r="I168" s="167">
        <f t="shared" si="34"/>
        <v>200</v>
      </c>
      <c r="J168" s="167">
        <f t="shared" si="34"/>
        <v>200</v>
      </c>
      <c r="K168" s="167">
        <f t="shared" si="34"/>
        <v>200</v>
      </c>
      <c r="L168" s="167">
        <f t="shared" si="34"/>
        <v>200</v>
      </c>
      <c r="M168" s="167">
        <f t="shared" si="34"/>
        <v>200</v>
      </c>
      <c r="N168" s="167">
        <f t="shared" si="34"/>
        <v>200</v>
      </c>
      <c r="O168" s="167">
        <f t="shared" si="34"/>
        <v>200</v>
      </c>
      <c r="P168" s="167">
        <f t="shared" si="34"/>
        <v>200</v>
      </c>
      <c r="Q168" s="65">
        <f>SUM(E168:P168)</f>
        <v>2400</v>
      </c>
    </row>
    <row r="169" spans="1:32" x14ac:dyDescent="0.25">
      <c r="A169" s="61">
        <v>53801000</v>
      </c>
      <c r="B169" t="s">
        <v>89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32" s="91" customFormat="1" x14ac:dyDescent="0.25">
      <c r="A170" s="90"/>
      <c r="B170" s="91" t="s">
        <v>152</v>
      </c>
      <c r="C170" s="92">
        <v>53004</v>
      </c>
      <c r="D170" s="92">
        <v>22000</v>
      </c>
      <c r="E170" s="93">
        <v>1700</v>
      </c>
      <c r="F170" s="93">
        <v>1700</v>
      </c>
      <c r="G170" s="93">
        <v>1700</v>
      </c>
      <c r="H170" s="93">
        <v>1700</v>
      </c>
      <c r="I170" s="93">
        <v>1700</v>
      </c>
      <c r="J170" s="93">
        <v>1700</v>
      </c>
      <c r="K170" s="93">
        <v>1700</v>
      </c>
      <c r="L170" s="93">
        <v>1700</v>
      </c>
      <c r="M170" s="93">
        <v>1700</v>
      </c>
      <c r="N170" s="93">
        <v>1700</v>
      </c>
      <c r="O170" s="93">
        <v>1700</v>
      </c>
      <c r="P170" s="93">
        <v>1700</v>
      </c>
      <c r="Q170" s="94">
        <f>SUM(E170:P170)</f>
        <v>20400</v>
      </c>
      <c r="AF170" s="93"/>
    </row>
    <row r="171" spans="1:32" s="91" customFormat="1" x14ac:dyDescent="0.25">
      <c r="A171" s="90"/>
      <c r="B171" s="91" t="s">
        <v>152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32" s="9" customFormat="1" x14ac:dyDescent="0.25">
      <c r="A172" s="166"/>
      <c r="B172" s="167" t="s">
        <v>25</v>
      </c>
      <c r="C172" s="110">
        <f t="shared" ref="C172:P172" si="35">SUM(C170:C171)</f>
        <v>53004</v>
      </c>
      <c r="D172" s="110">
        <f t="shared" si="35"/>
        <v>22000</v>
      </c>
      <c r="E172" s="167">
        <f t="shared" si="35"/>
        <v>1700</v>
      </c>
      <c r="F172" s="167">
        <f t="shared" si="35"/>
        <v>1700</v>
      </c>
      <c r="G172" s="167">
        <f t="shared" si="35"/>
        <v>1700</v>
      </c>
      <c r="H172" s="167">
        <f t="shared" si="35"/>
        <v>1700</v>
      </c>
      <c r="I172" s="167">
        <f t="shared" si="35"/>
        <v>1700</v>
      </c>
      <c r="J172" s="167">
        <f t="shared" si="35"/>
        <v>1700</v>
      </c>
      <c r="K172" s="167">
        <f t="shared" si="35"/>
        <v>1700</v>
      </c>
      <c r="L172" s="167">
        <f t="shared" si="35"/>
        <v>1700</v>
      </c>
      <c r="M172" s="167">
        <f t="shared" si="35"/>
        <v>1700</v>
      </c>
      <c r="N172" s="167">
        <f t="shared" si="35"/>
        <v>1700</v>
      </c>
      <c r="O172" s="167">
        <f t="shared" si="35"/>
        <v>1700</v>
      </c>
      <c r="P172" s="167">
        <f t="shared" si="35"/>
        <v>1700</v>
      </c>
      <c r="Q172" s="65">
        <f>SUM(E172:P172)</f>
        <v>20400</v>
      </c>
    </row>
    <row r="173" spans="1:32" x14ac:dyDescent="0.25">
      <c r="A173" s="61">
        <v>53900000</v>
      </c>
      <c r="B173" t="s">
        <v>90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32" s="91" customFormat="1" x14ac:dyDescent="0.25">
      <c r="A174" s="90"/>
      <c r="B174" s="91" t="s">
        <v>152</v>
      </c>
      <c r="C174" s="92">
        <v>16404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32" s="91" customFormat="1" x14ac:dyDescent="0.25">
      <c r="A175" s="90"/>
      <c r="B175" s="91" t="s">
        <v>152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32" s="9" customFormat="1" x14ac:dyDescent="0.25">
      <c r="A176" s="166"/>
      <c r="B176" s="167" t="s">
        <v>25</v>
      </c>
      <c r="C176" s="110">
        <f t="shared" ref="C176:P176" si="36">SUM(C174:C175)</f>
        <v>16404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5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6" x14ac:dyDescent="0.3">
      <c r="A178" s="74"/>
      <c r="B178" s="23" t="s">
        <v>84</v>
      </c>
      <c r="C178" s="112">
        <f t="shared" ref="C178:Q178" si="37">+C112+C116+C120+C124+C128+C132+C136+C140+C144+C148+C152+C156+C160+C164+C168+C172+C176</f>
        <v>697084</v>
      </c>
      <c r="D178" s="112">
        <f t="shared" si="37"/>
        <v>318935</v>
      </c>
      <c r="E178" s="187">
        <f t="shared" si="37"/>
        <v>27925</v>
      </c>
      <c r="F178" s="184">
        <f t="shared" si="37"/>
        <v>27925</v>
      </c>
      <c r="G178" s="184">
        <f t="shared" si="37"/>
        <v>27925</v>
      </c>
      <c r="H178" s="184">
        <f t="shared" si="37"/>
        <v>27925</v>
      </c>
      <c r="I178" s="184">
        <f t="shared" si="37"/>
        <v>27925</v>
      </c>
      <c r="J178" s="184">
        <f t="shared" si="37"/>
        <v>27925</v>
      </c>
      <c r="K178" s="184">
        <f t="shared" si="37"/>
        <v>27925</v>
      </c>
      <c r="L178" s="184">
        <f t="shared" si="37"/>
        <v>27925</v>
      </c>
      <c r="M178" s="184">
        <f t="shared" si="37"/>
        <v>27925</v>
      </c>
      <c r="N178" s="184">
        <f t="shared" si="37"/>
        <v>27925</v>
      </c>
      <c r="O178" s="184">
        <f t="shared" si="37"/>
        <v>27925</v>
      </c>
      <c r="P178" s="188">
        <f t="shared" si="37"/>
        <v>27925</v>
      </c>
      <c r="Q178" s="112">
        <f t="shared" si="37"/>
        <v>335100</v>
      </c>
    </row>
    <row r="179" spans="1:17" s="23" customFormat="1" ht="15.6" x14ac:dyDescent="0.3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5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6" x14ac:dyDescent="0.3">
      <c r="A181" s="73" t="s">
        <v>165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5">
      <c r="A182" s="90">
        <v>52502500</v>
      </c>
      <c r="B182" s="91" t="s">
        <v>30</v>
      </c>
      <c r="C182" s="95">
        <v>53004</v>
      </c>
      <c r="D182" s="95">
        <v>77966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5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5">
      <c r="A184" s="90"/>
      <c r="B184" s="91" t="s">
        <v>166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5">
      <c r="A185" s="90"/>
      <c r="B185" s="103" t="s">
        <v>172</v>
      </c>
      <c r="C185" s="115">
        <f>C16*500*12</f>
        <v>54000</v>
      </c>
      <c r="D185" s="115">
        <f>D16*500*12</f>
        <v>54000</v>
      </c>
      <c r="E185" s="121">
        <f t="shared" ref="E185:O185" si="38">$Q$185/12</f>
        <v>4500</v>
      </c>
      <c r="F185" s="121">
        <f t="shared" si="38"/>
        <v>4500</v>
      </c>
      <c r="G185" s="121">
        <f t="shared" si="38"/>
        <v>4500</v>
      </c>
      <c r="H185" s="121">
        <f t="shared" si="38"/>
        <v>4500</v>
      </c>
      <c r="I185" s="121">
        <f t="shared" si="38"/>
        <v>4500</v>
      </c>
      <c r="J185" s="121">
        <f t="shared" si="38"/>
        <v>4500</v>
      </c>
      <c r="K185" s="121">
        <f t="shared" si="38"/>
        <v>4500</v>
      </c>
      <c r="L185" s="121">
        <f t="shared" si="38"/>
        <v>4500</v>
      </c>
      <c r="M185" s="121">
        <f t="shared" si="38"/>
        <v>4500</v>
      </c>
      <c r="N185" s="121">
        <f t="shared" si="38"/>
        <v>4500</v>
      </c>
      <c r="O185" s="121">
        <f t="shared" si="38"/>
        <v>4500</v>
      </c>
      <c r="P185" s="121">
        <f>$Q$185/12</f>
        <v>4500</v>
      </c>
      <c r="Q185" s="115">
        <f>Q16*500*12</f>
        <v>54000</v>
      </c>
    </row>
    <row r="186" spans="1:17" s="9" customFormat="1" x14ac:dyDescent="0.25">
      <c r="A186" s="166"/>
      <c r="B186" s="167" t="s">
        <v>25</v>
      </c>
      <c r="C186" s="110">
        <f>SUM(C184:C185)</f>
        <v>54000</v>
      </c>
      <c r="D186" s="110">
        <f>SUM(D184:D185)</f>
        <v>54000</v>
      </c>
      <c r="E186" s="167">
        <f t="shared" ref="E186:P186" si="39">SUM(E184:E185)</f>
        <v>4500</v>
      </c>
      <c r="F186" s="167">
        <f t="shared" si="39"/>
        <v>4500</v>
      </c>
      <c r="G186" s="167">
        <f t="shared" si="39"/>
        <v>4500</v>
      </c>
      <c r="H186" s="167">
        <f t="shared" si="39"/>
        <v>4500</v>
      </c>
      <c r="I186" s="167">
        <f t="shared" si="39"/>
        <v>4500</v>
      </c>
      <c r="J186" s="167">
        <f t="shared" si="39"/>
        <v>4500</v>
      </c>
      <c r="K186" s="167">
        <f t="shared" si="39"/>
        <v>4500</v>
      </c>
      <c r="L186" s="167">
        <f t="shared" si="39"/>
        <v>4500</v>
      </c>
      <c r="M186" s="167">
        <f t="shared" si="39"/>
        <v>4500</v>
      </c>
      <c r="N186" s="167">
        <f t="shared" si="39"/>
        <v>4500</v>
      </c>
      <c r="O186" s="167">
        <f t="shared" si="39"/>
        <v>4500</v>
      </c>
      <c r="P186" s="167">
        <f t="shared" si="39"/>
        <v>4500</v>
      </c>
      <c r="Q186" s="65">
        <f>SUM(E186:P186)</f>
        <v>54000</v>
      </c>
    </row>
    <row r="187" spans="1:17" s="91" customFormat="1" x14ac:dyDescent="0.25">
      <c r="A187" s="90">
        <v>52502600</v>
      </c>
      <c r="B187" s="91" t="s">
        <v>214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5">
      <c r="A188" s="90"/>
      <c r="B188" s="91" t="s">
        <v>152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5">
      <c r="A189" s="90"/>
      <c r="B189" s="91" t="s">
        <v>152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5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5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6" x14ac:dyDescent="0.3">
      <c r="A192" s="74"/>
      <c r="B192" s="23" t="s">
        <v>167</v>
      </c>
      <c r="C192" s="112">
        <f>C182+C186+C190</f>
        <v>107004</v>
      </c>
      <c r="D192" s="112">
        <f>D182+D186+D190</f>
        <v>131966</v>
      </c>
      <c r="E192" s="184">
        <f>E182+E186+E190</f>
        <v>4500</v>
      </c>
      <c r="F192" s="184">
        <f t="shared" ref="F192:P192" si="41">F182+F186+F190</f>
        <v>4500</v>
      </c>
      <c r="G192" s="184">
        <f t="shared" si="41"/>
        <v>4500</v>
      </c>
      <c r="H192" s="184">
        <f t="shared" si="41"/>
        <v>4500</v>
      </c>
      <c r="I192" s="184">
        <f t="shared" si="41"/>
        <v>4500</v>
      </c>
      <c r="J192" s="184">
        <f t="shared" si="41"/>
        <v>4500</v>
      </c>
      <c r="K192" s="184">
        <f t="shared" si="41"/>
        <v>4500</v>
      </c>
      <c r="L192" s="184">
        <f t="shared" si="41"/>
        <v>4500</v>
      </c>
      <c r="M192" s="184">
        <f t="shared" si="41"/>
        <v>4500</v>
      </c>
      <c r="N192" s="184">
        <f t="shared" si="41"/>
        <v>4500</v>
      </c>
      <c r="O192" s="184">
        <f t="shared" si="41"/>
        <v>4500</v>
      </c>
      <c r="P192" s="184">
        <f t="shared" si="41"/>
        <v>4500</v>
      </c>
      <c r="Q192" s="112">
        <f>Q182+Q186+Q190</f>
        <v>54000</v>
      </c>
    </row>
    <row r="193" spans="1:17" s="15" customFormat="1" x14ac:dyDescent="0.25">
      <c r="A193" s="197"/>
      <c r="C193" s="94"/>
      <c r="D193" s="200"/>
      <c r="Q193" s="44"/>
    </row>
    <row r="194" spans="1:17" s="153" customFormat="1" ht="31.5" customHeight="1" thickBot="1" x14ac:dyDescent="0.35">
      <c r="A194" s="198"/>
      <c r="B194" s="26" t="s">
        <v>32</v>
      </c>
      <c r="C194" s="50">
        <f t="shared" ref="C194:Q194" si="42">+C23+C27+C31+C64+C105+C178+C192</f>
        <v>2833676</v>
      </c>
      <c r="D194" s="201">
        <f t="shared" si="42"/>
        <v>1858453</v>
      </c>
      <c r="E194" s="199">
        <f t="shared" si="42"/>
        <v>163159.41666666666</v>
      </c>
      <c r="F194" s="199">
        <f t="shared" si="42"/>
        <v>163159.41666666666</v>
      </c>
      <c r="G194" s="199">
        <f t="shared" si="42"/>
        <v>171168</v>
      </c>
      <c r="H194" s="199">
        <f t="shared" si="42"/>
        <v>171168</v>
      </c>
      <c r="I194" s="199">
        <f t="shared" si="42"/>
        <v>170487</v>
      </c>
      <c r="J194" s="199">
        <f t="shared" si="42"/>
        <v>180487</v>
      </c>
      <c r="K194" s="199">
        <f t="shared" si="42"/>
        <v>170487</v>
      </c>
      <c r="L194" s="199">
        <f t="shared" si="42"/>
        <v>160064</v>
      </c>
      <c r="M194" s="199">
        <f t="shared" si="42"/>
        <v>169677</v>
      </c>
      <c r="N194" s="199">
        <f t="shared" si="42"/>
        <v>169677</v>
      </c>
      <c r="O194" s="199">
        <f t="shared" si="42"/>
        <v>169343</v>
      </c>
      <c r="P194" s="199">
        <f t="shared" si="42"/>
        <v>159035</v>
      </c>
      <c r="Q194" s="50">
        <f t="shared" si="42"/>
        <v>2017911.8333333333</v>
      </c>
    </row>
    <row r="195" spans="1:17" ht="15.6" thickTop="1" x14ac:dyDescent="0.25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6" x14ac:dyDescent="0.3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6" t="s">
        <v>157</v>
      </c>
      <c r="P196" s="227"/>
      <c r="Q196" s="47">
        <f>+Q23+Q27+Q31+Q38+Q42+Q46+Q50+Q54+Q58+Q62+Q71+Q75+Q79+Q83+Q87+Q91+Q95+Q99+Q103+Q112+Q116+Q120+Q124+Q128+Q132+Q136+Q140+Q144+Q148+Q152+Q156+Q160+Q164+Q168+Q172+Q176+Q182+Q186+Q190</f>
        <v>2017911.8333333333</v>
      </c>
    </row>
    <row r="197" spans="1:17" x14ac:dyDescent="0.25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6" x14ac:dyDescent="0.3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6" t="s">
        <v>158</v>
      </c>
      <c r="O198" s="228"/>
      <c r="P198" s="228"/>
      <c r="Q198" s="47">
        <f>Q194-Q196</f>
        <v>0</v>
      </c>
    </row>
    <row r="199" spans="1:17" ht="15.6" x14ac:dyDescent="0.3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6" x14ac:dyDescent="0.3">
      <c r="A200" s="191">
        <v>69000000</v>
      </c>
      <c r="B200" s="190" t="s">
        <v>168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6" x14ac:dyDescent="0.3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6" x14ac:dyDescent="0.3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J32" sqref="J32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201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67</v>
      </c>
      <c r="C3" s="176"/>
      <c r="D3" s="177"/>
      <c r="E3" s="147"/>
      <c r="Q3" s="125"/>
    </row>
    <row r="4" spans="1:17" s="124" customFormat="1" ht="17.399999999999999" x14ac:dyDescent="0.3">
      <c r="A4" s="126"/>
      <c r="B4" s="189" t="s">
        <v>93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0011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100145</v>
      </c>
      <c r="B7" s="134" t="str">
        <f>Instructions!G6</f>
        <v>International Public Relations and Marketing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40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6" x14ac:dyDescent="0.3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5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5">
      <c r="A12" s="181"/>
      <c r="C12" s="110"/>
      <c r="D12" s="110"/>
      <c r="Q12" s="65"/>
    </row>
    <row r="13" spans="1:17" ht="15.6" x14ac:dyDescent="0.3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5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5">
      <c r="A15" s="181"/>
      <c r="C15" s="110"/>
      <c r="D15" s="110"/>
      <c r="Q15" s="65"/>
    </row>
    <row r="16" spans="1:17" ht="15.6" x14ac:dyDescent="0.3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5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5">
      <c r="A18" s="181"/>
      <c r="C18" s="110"/>
      <c r="D18" s="110"/>
      <c r="Q18" s="65"/>
    </row>
    <row r="19" spans="1:17" ht="15.6" x14ac:dyDescent="0.3">
      <c r="A19" s="73" t="s">
        <v>204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5">
      <c r="A20" s="61">
        <v>52001500</v>
      </c>
      <c r="B20" t="s">
        <v>69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5">
      <c r="A21" s="61">
        <v>52002000</v>
      </c>
      <c r="B21" t="s">
        <v>70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5">
      <c r="A22" s="61">
        <v>52002500</v>
      </c>
      <c r="B22" t="s">
        <v>71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5">
      <c r="A23" s="61">
        <v>52003000</v>
      </c>
      <c r="B23" t="s">
        <v>72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5">
      <c r="A24" s="61">
        <v>52003500</v>
      </c>
      <c r="B24" t="s">
        <v>124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5">
      <c r="A25" s="61">
        <v>52004000</v>
      </c>
      <c r="B25" t="s">
        <v>105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5">
      <c r="A26" s="61">
        <v>52004500</v>
      </c>
      <c r="B26" t="s">
        <v>75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5">
      <c r="A27" s="72"/>
      <c r="C27" s="104"/>
      <c r="D27" s="104"/>
      <c r="Q27" s="46"/>
    </row>
    <row r="28" spans="1:17" s="23" customFormat="1" ht="15.6" x14ac:dyDescent="0.3">
      <c r="A28" s="74"/>
      <c r="B28" s="23" t="s">
        <v>203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6" x14ac:dyDescent="0.3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6" x14ac:dyDescent="0.3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6" x14ac:dyDescent="0.3">
      <c r="A31" s="73" t="s">
        <v>162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5">
      <c r="A32" s="61">
        <v>52507000</v>
      </c>
      <c r="B32" t="s">
        <v>125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5">
      <c r="A33" s="61">
        <v>52507100</v>
      </c>
      <c r="B33" t="s">
        <v>126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5">
      <c r="A34" s="61">
        <v>52507200</v>
      </c>
      <c r="B34" t="s">
        <v>163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5">
      <c r="A35" s="61">
        <v>52507300</v>
      </c>
      <c r="B35" t="s">
        <v>127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5">
      <c r="A36" s="61">
        <v>52507400</v>
      </c>
      <c r="B36" t="s">
        <v>128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5">
      <c r="A37" s="61">
        <v>52507500</v>
      </c>
      <c r="B37" t="s">
        <v>129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5">
      <c r="A38" s="61">
        <v>52507600</v>
      </c>
      <c r="B38" t="s">
        <v>130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5">
      <c r="A39" s="61">
        <v>52507700</v>
      </c>
      <c r="B39" t="s">
        <v>131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5">
      <c r="A40" s="61">
        <v>52508000</v>
      </c>
      <c r="B40" t="s">
        <v>132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5">
      <c r="A41" s="181"/>
      <c r="C41" s="110"/>
      <c r="D41" s="110"/>
      <c r="Q41" s="65"/>
    </row>
    <row r="42" spans="1:17" s="23" customFormat="1" ht="15.6" x14ac:dyDescent="0.3">
      <c r="A42" s="74"/>
      <c r="B42" s="23" t="s">
        <v>164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6" x14ac:dyDescent="0.3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6" x14ac:dyDescent="0.3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6" x14ac:dyDescent="0.3">
      <c r="A45" s="73" t="s">
        <v>68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5">
      <c r="A46" s="61">
        <v>52503500</v>
      </c>
      <c r="B46" t="s">
        <v>77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5">
      <c r="A47" s="61">
        <v>52504500</v>
      </c>
      <c r="B47" t="s">
        <v>79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5">
      <c r="A48" s="61">
        <v>52505500</v>
      </c>
      <c r="B48" t="s">
        <v>81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5">
      <c r="A49" s="61">
        <v>52506000</v>
      </c>
      <c r="B49" t="s">
        <v>83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5">
      <c r="A50" s="61">
        <v>52506500</v>
      </c>
      <c r="B50" t="s">
        <v>82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5">
      <c r="A51" s="61">
        <v>52508100</v>
      </c>
      <c r="B51" t="s">
        <v>85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5">
      <c r="A52" s="61">
        <v>52508500</v>
      </c>
      <c r="B52" t="s">
        <v>86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5">
      <c r="A53" s="61">
        <v>53600000</v>
      </c>
      <c r="B53" t="s">
        <v>87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5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6" x14ac:dyDescent="0.3">
      <c r="A55" s="74"/>
      <c r="B55" s="23" t="s">
        <v>84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6" x14ac:dyDescent="0.3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6" x14ac:dyDescent="0.3">
      <c r="A57" s="73" t="s">
        <v>165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5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5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5">
      <c r="A60" s="90">
        <v>52502600</v>
      </c>
      <c r="B60" s="91" t="s">
        <v>214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5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6" x14ac:dyDescent="0.3">
      <c r="A62" s="74"/>
      <c r="B62" s="23" t="s">
        <v>167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6" x14ac:dyDescent="0.3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5">
      <c r="A64" s="198"/>
      <c r="B64" s="26" t="s">
        <v>205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6" thickTop="1" x14ac:dyDescent="0.25"/>
    <row r="153" spans="2:8" ht="15.6" x14ac:dyDescent="0.3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6"/>
  <sheetViews>
    <sheetView zoomScale="75" zoomScaleNormal="75" workbookViewId="0">
      <selection activeCell="A6" sqref="A6:B9"/>
    </sheetView>
  </sheetViews>
  <sheetFormatPr defaultRowHeight="15" x14ac:dyDescent="0.25"/>
  <cols>
    <col min="1" max="1" width="8.1796875" customWidth="1"/>
    <col min="2" max="2" width="33.1796875" customWidth="1"/>
    <col min="3" max="3" width="2.1796875" customWidth="1"/>
    <col min="4" max="5" width="10.1796875" customWidth="1"/>
    <col min="6" max="6" width="2.1796875" customWidth="1"/>
    <col min="7" max="7" width="10.1796875" customWidth="1"/>
    <col min="8" max="8" width="2.1796875" customWidth="1"/>
    <col min="9" max="9" width="12.54296875" hidden="1" customWidth="1"/>
    <col min="10" max="10" width="2.1796875" hidden="1" customWidth="1"/>
    <col min="11" max="11" width="5.81640625" style="58" hidden="1" customWidth="1"/>
  </cols>
  <sheetData>
    <row r="1" spans="1:13" ht="15.6" x14ac:dyDescent="0.3">
      <c r="A1" s="28" t="s">
        <v>39</v>
      </c>
      <c r="B1" s="57"/>
      <c r="C1" s="57"/>
      <c r="D1" s="57"/>
      <c r="E1" s="57"/>
      <c r="F1" s="57"/>
      <c r="G1" s="57"/>
      <c r="H1" s="57"/>
      <c r="I1" s="57"/>
    </row>
    <row r="2" spans="1:13" ht="15.6" x14ac:dyDescent="0.3">
      <c r="A2" s="8" t="str">
        <f>Instructions!G4</f>
        <v>0011</v>
      </c>
      <c r="B2" s="8"/>
      <c r="C2" s="8"/>
    </row>
    <row r="3" spans="1:13" ht="15.6" x14ac:dyDescent="0.3">
      <c r="A3" s="136" t="str">
        <f>Instructions!G5</f>
        <v>100145</v>
      </c>
      <c r="B3" s="137" t="str">
        <f>Instructions!G6</f>
        <v>International Public Relations and Marketing</v>
      </c>
      <c r="C3" s="137"/>
    </row>
    <row r="4" spans="1:13" ht="15.6" x14ac:dyDescent="0.3">
      <c r="A4" s="136"/>
      <c r="B4" s="137"/>
      <c r="C4" s="137"/>
    </row>
    <row r="5" spans="1:13" ht="15.6" x14ac:dyDescent="0.3">
      <c r="A5" s="6" t="s">
        <v>52</v>
      </c>
      <c r="B5" s="137"/>
      <c r="C5" s="137"/>
    </row>
    <row r="6" spans="1:13" x14ac:dyDescent="0.25">
      <c r="A6" s="229" t="s">
        <v>254</v>
      </c>
      <c r="B6" s="230"/>
      <c r="C6" s="162"/>
    </row>
    <row r="7" spans="1:13" x14ac:dyDescent="0.25">
      <c r="A7" s="230"/>
      <c r="B7" s="230"/>
      <c r="C7" s="162"/>
    </row>
    <row r="8" spans="1:13" ht="15.6" x14ac:dyDescent="0.3">
      <c r="A8" s="230"/>
      <c r="B8" s="230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6" x14ac:dyDescent="0.3">
      <c r="A9" s="230"/>
      <c r="B9" s="230"/>
      <c r="C9" s="162"/>
      <c r="D9" s="19" t="s">
        <v>40</v>
      </c>
      <c r="E9" s="19" t="s">
        <v>41</v>
      </c>
      <c r="F9" s="152"/>
      <c r="G9" s="19" t="s">
        <v>40</v>
      </c>
      <c r="H9" s="152"/>
      <c r="I9" s="19" t="s">
        <v>155</v>
      </c>
    </row>
    <row r="10" spans="1:13" ht="15.6" x14ac:dyDescent="0.3">
      <c r="D10" s="20"/>
      <c r="E10" s="20"/>
      <c r="F10" s="20"/>
      <c r="G10" s="143"/>
      <c r="H10" s="152"/>
      <c r="I10" s="20"/>
    </row>
    <row r="11" spans="1:13" s="1" customFormat="1" ht="15.6" x14ac:dyDescent="0.3">
      <c r="A11" s="1" t="s">
        <v>42</v>
      </c>
      <c r="D11" s="164">
        <f>+'Detail Expense'!C194</f>
        <v>2833676</v>
      </c>
      <c r="E11" s="164">
        <f>+'Detail Expense'!D194</f>
        <v>1858453</v>
      </c>
      <c r="F11" s="18"/>
      <c r="G11" s="164">
        <f>+'Detail Expense'!Q194</f>
        <v>2017911.8333333333</v>
      </c>
      <c r="H11" s="153"/>
      <c r="I11" s="164">
        <f>G11/12</f>
        <v>168159.31944444444</v>
      </c>
      <c r="K11" s="2"/>
    </row>
    <row r="12" spans="1:13" s="15" customFormat="1" x14ac:dyDescent="0.25">
      <c r="D12" s="161"/>
      <c r="E12" s="161"/>
      <c r="G12" s="161"/>
      <c r="I12" s="161"/>
      <c r="K12" s="160"/>
    </row>
    <row r="13" spans="1:13" s="15" customFormat="1" ht="15.6" x14ac:dyDescent="0.3">
      <c r="A13" s="165" t="s">
        <v>156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6" x14ac:dyDescent="0.3">
      <c r="A14" s="1" t="s">
        <v>43</v>
      </c>
      <c r="D14" s="144"/>
      <c r="E14" s="145"/>
      <c r="F14" s="145"/>
      <c r="G14" s="145"/>
      <c r="H14" s="154"/>
      <c r="I14" s="145"/>
      <c r="K14" s="163" t="s">
        <v>150</v>
      </c>
    </row>
    <row r="15" spans="1:13" x14ac:dyDescent="0.25">
      <c r="B15" t="s">
        <v>50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5">
      <c r="B16" t="s">
        <v>47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7" si="0">-(G16/12)</f>
        <v>0</v>
      </c>
      <c r="K16" s="139">
        <v>62</v>
      </c>
    </row>
    <row r="17" spans="2:11" x14ac:dyDescent="0.25">
      <c r="B17" t="s">
        <v>44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5">
      <c r="B18" t="s">
        <v>49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5">
      <c r="B19" t="s">
        <v>48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5">
      <c r="B20" t="s">
        <v>216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5">
      <c r="B21" t="s">
        <v>46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5">
      <c r="B22" t="s">
        <v>215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5">
      <c r="B23" t="s">
        <v>153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5">
      <c r="B24" t="s">
        <v>121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5">
      <c r="B25" t="s">
        <v>66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5">
      <c r="B26" t="s">
        <v>141</v>
      </c>
      <c r="D26" s="21">
        <v>0</v>
      </c>
      <c r="E26" s="21">
        <v>30</v>
      </c>
      <c r="F26" s="21"/>
      <c r="G26" s="21">
        <v>600000</v>
      </c>
      <c r="H26" s="155"/>
      <c r="I26" s="21">
        <f>-(G26/12)</f>
        <v>-50000</v>
      </c>
      <c r="K26" s="139">
        <v>1105</v>
      </c>
    </row>
    <row r="27" spans="2:11" x14ac:dyDescent="0.25">
      <c r="B27" t="s">
        <v>142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5">
      <c r="B28" t="s">
        <v>45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5">
      <c r="B29" t="s">
        <v>133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134</v>
      </c>
    </row>
    <row r="30" spans="2:11" x14ac:dyDescent="0.25">
      <c r="B30" t="s">
        <v>227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154</v>
      </c>
    </row>
    <row r="31" spans="2:11" x14ac:dyDescent="0.25">
      <c r="B31" t="s">
        <v>219</v>
      </c>
      <c r="D31" s="21">
        <v>0</v>
      </c>
      <c r="E31" s="21">
        <v>30</v>
      </c>
      <c r="F31" s="21"/>
      <c r="G31" s="21">
        <v>600000</v>
      </c>
      <c r="H31" s="155"/>
      <c r="I31" s="21">
        <f t="shared" si="0"/>
        <v>-50000</v>
      </c>
      <c r="K31" s="139"/>
    </row>
    <row r="32" spans="2:11" x14ac:dyDescent="0.25">
      <c r="B32" t="s">
        <v>122</v>
      </c>
      <c r="D32" s="21">
        <v>0</v>
      </c>
      <c r="E32" s="21">
        <v>35</v>
      </c>
      <c r="F32" s="21"/>
      <c r="G32" s="21">
        <v>550000</v>
      </c>
      <c r="H32" s="155"/>
      <c r="I32" s="21">
        <f t="shared" si="0"/>
        <v>-45833.333333333336</v>
      </c>
      <c r="K32" s="139" t="s">
        <v>136</v>
      </c>
    </row>
    <row r="33" spans="1:11" x14ac:dyDescent="0.25">
      <c r="B33" t="s">
        <v>220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969</v>
      </c>
    </row>
    <row r="34" spans="1:11" x14ac:dyDescent="0.25">
      <c r="B34" t="s">
        <v>217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>
        <v>419</v>
      </c>
    </row>
    <row r="35" spans="1:11" x14ac:dyDescent="0.25">
      <c r="B35" t="s">
        <v>218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221</v>
      </c>
    </row>
    <row r="36" spans="1:11" x14ac:dyDescent="0.25">
      <c r="B36" t="s">
        <v>100</v>
      </c>
      <c r="D36" s="21">
        <v>0</v>
      </c>
      <c r="E36" s="21">
        <v>5</v>
      </c>
      <c r="F36" s="21"/>
      <c r="G36" s="21">
        <v>80000</v>
      </c>
      <c r="H36" s="155"/>
      <c r="I36" s="21">
        <f>-(G36/12)</f>
        <v>-6666.666666666667</v>
      </c>
      <c r="K36" s="139" t="s">
        <v>135</v>
      </c>
    </row>
    <row r="37" spans="1:11" x14ac:dyDescent="0.25">
      <c r="D37" s="21">
        <v>0</v>
      </c>
      <c r="E37" s="21">
        <v>0</v>
      </c>
      <c r="F37" s="21"/>
      <c r="G37" s="21">
        <v>0</v>
      </c>
      <c r="H37" s="155"/>
      <c r="I37" s="157">
        <f t="shared" si="0"/>
        <v>0</v>
      </c>
      <c r="K37" s="59"/>
    </row>
    <row r="38" spans="1:11" ht="15.6" x14ac:dyDescent="0.3">
      <c r="A38" s="1" t="s">
        <v>51</v>
      </c>
      <c r="D38" s="54">
        <f>SUM(D15:D37)</f>
        <v>0</v>
      </c>
      <c r="E38" s="54">
        <f>SUM(E15:E37)</f>
        <v>100</v>
      </c>
      <c r="F38" s="15"/>
      <c r="G38" s="54">
        <f>SUM(G15:G37)</f>
        <v>1830000</v>
      </c>
      <c r="H38" s="15"/>
      <c r="I38" s="156">
        <f>SUM(I15:I37)</f>
        <v>-152500</v>
      </c>
    </row>
    <row r="39" spans="1:11" s="15" customFormat="1" x14ac:dyDescent="0.25">
      <c r="A39" s="87"/>
      <c r="K39" s="16"/>
    </row>
    <row r="40" spans="1:11" ht="16.2" thickBot="1" x14ac:dyDescent="0.35">
      <c r="A40" s="14" t="s">
        <v>123</v>
      </c>
      <c r="D40" s="55">
        <f>ROUND(+D11-D38,0)</f>
        <v>2833676</v>
      </c>
      <c r="E40" s="55">
        <f>ROUND(+E11-E38,0)</f>
        <v>1858353</v>
      </c>
      <c r="F40" s="15"/>
      <c r="G40" s="55">
        <f>ROUND(+G11-G38,0)</f>
        <v>187912</v>
      </c>
      <c r="H40" s="15"/>
      <c r="I40" s="55">
        <f>I11+I38</f>
        <v>15659.319444444438</v>
      </c>
    </row>
    <row r="41" spans="1:11" ht="15.6" thickTop="1" x14ac:dyDescent="0.25">
      <c r="A41" s="12"/>
    </row>
    <row r="46" spans="1:11" s="7" customFormat="1" ht="15.6" x14ac:dyDescent="0.3">
      <c r="A46" s="8"/>
      <c r="K46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topLeftCell="A18" zoomScale="75" workbookViewId="0">
      <selection activeCell="H30" sqref="H30"/>
    </sheetView>
  </sheetViews>
  <sheetFormatPr defaultColWidth="8.6328125" defaultRowHeight="15" x14ac:dyDescent="0.25"/>
  <cols>
    <col min="1" max="1" width="6" style="7" customWidth="1"/>
    <col min="2" max="2" width="21.1796875" style="7" customWidth="1"/>
    <col min="3" max="3" width="4.1796875" style="7" customWidth="1"/>
    <col min="4" max="4" width="9.453125" style="7" customWidth="1"/>
    <col min="5" max="5" width="2.81640625" style="7" customWidth="1"/>
    <col min="6" max="6" width="9.453125" style="7" customWidth="1"/>
    <col min="7" max="7" width="3.36328125" style="79" customWidth="1"/>
    <col min="8" max="8" width="9.453125" style="7" customWidth="1"/>
    <col min="9" max="9" width="2.81640625" style="7" customWidth="1"/>
    <col min="10" max="10" width="0" style="7" hidden="1" customWidth="1"/>
    <col min="11" max="11" width="2.81640625" style="7" hidden="1" customWidth="1"/>
    <col min="12" max="12" width="0" style="7" hidden="1" customWidth="1"/>
    <col min="13" max="13" width="8.6328125" style="7"/>
    <col min="14" max="14" width="55.6328125" style="7" customWidth="1"/>
    <col min="15" max="16384" width="8.6328125" style="7"/>
  </cols>
  <sheetData>
    <row r="1" spans="1:14" x14ac:dyDescent="0.25">
      <c r="A1" s="105" t="str">
        <f>Instructions!G4</f>
        <v>0011</v>
      </c>
      <c r="B1" s="42" t="str">
        <f>Instructions!G5</f>
        <v>100145</v>
      </c>
    </row>
    <row r="2" spans="1:14" ht="17.399999999999999" x14ac:dyDescent="0.3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7.399999999999999" x14ac:dyDescent="0.3">
      <c r="A3" s="27" t="str">
        <f>Instructions!G6</f>
        <v>International Public Relations and Marketing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7.399999999999999" x14ac:dyDescent="0.3">
      <c r="A4" s="27" t="s">
        <v>159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7.399999999999999" x14ac:dyDescent="0.3">
      <c r="A5" s="27" t="s">
        <v>54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6" x14ac:dyDescent="0.3">
      <c r="A6" s="40" t="s">
        <v>55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5">
      <c r="B7" s="9"/>
      <c r="H7" s="17" t="s">
        <v>137</v>
      </c>
    </row>
    <row r="8" spans="1:14" x14ac:dyDescent="0.25">
      <c r="D8" s="7" t="s">
        <v>53</v>
      </c>
      <c r="H8" s="17" t="s">
        <v>138</v>
      </c>
    </row>
    <row r="9" spans="1:14" x14ac:dyDescent="0.25">
      <c r="D9" s="30">
        <v>2001</v>
      </c>
      <c r="E9" s="30"/>
      <c r="F9" s="30">
        <v>2001</v>
      </c>
      <c r="G9" s="84"/>
      <c r="H9" s="33" t="s">
        <v>149</v>
      </c>
      <c r="I9" s="149"/>
      <c r="J9" s="31"/>
      <c r="K9" s="31"/>
      <c r="L9" s="31"/>
      <c r="N9" s="141"/>
    </row>
    <row r="10" spans="1:14" x14ac:dyDescent="0.25">
      <c r="A10" s="32"/>
      <c r="B10" s="32" t="s">
        <v>56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143</v>
      </c>
    </row>
    <row r="11" spans="1:14" ht="7.2" customHeight="1" x14ac:dyDescent="0.25"/>
    <row r="12" spans="1:14" x14ac:dyDescent="0.25">
      <c r="A12" s="7" t="s">
        <v>57</v>
      </c>
      <c r="D12" s="34">
        <f>ROUND(+'Detail Expense'!C23/1000,0)</f>
        <v>741</v>
      </c>
      <c r="E12" s="34"/>
      <c r="F12" s="34">
        <f>ROUND(+'Detail Expense'!D23/1000,0)</f>
        <v>665</v>
      </c>
      <c r="G12" s="56"/>
      <c r="H12" s="34">
        <f>ROUND(+'Detail Expense'!Q23/1000,0)</f>
        <v>725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5">
      <c r="A13" s="7" t="s">
        <v>58</v>
      </c>
      <c r="D13" s="34">
        <f>ROUND(+'Detail Expense'!C64/1000,0)</f>
        <v>509</v>
      </c>
      <c r="E13" s="34"/>
      <c r="F13" s="34">
        <f>ROUND(+'Detail Expense'!D64/1000,0)</f>
        <v>290</v>
      </c>
      <c r="G13" s="56"/>
      <c r="H13" s="34">
        <f>ROUND(+'Detail Expense'!Q64/1000,0)</f>
        <v>373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144</v>
      </c>
    </row>
    <row r="14" spans="1:14" x14ac:dyDescent="0.25">
      <c r="A14" s="7" t="s">
        <v>200</v>
      </c>
      <c r="D14" s="34">
        <f>ROUND(+'Detail Expense'!C105/1000,0)</f>
        <v>595</v>
      </c>
      <c r="E14" s="34"/>
      <c r="F14" s="34">
        <f>ROUND(+'Detail Expense'!D105/1000,0)</f>
        <v>306</v>
      </c>
      <c r="G14" s="56"/>
      <c r="H14" s="34">
        <f>ROUND(+'Detail Expense'!Q105/1000,0)</f>
        <v>342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145</v>
      </c>
    </row>
    <row r="15" spans="1:14" x14ac:dyDescent="0.25">
      <c r="A15" s="7" t="s">
        <v>98</v>
      </c>
      <c r="N15" s="138"/>
    </row>
    <row r="16" spans="1:14" x14ac:dyDescent="0.25">
      <c r="A16" s="7" t="s">
        <v>94</v>
      </c>
      <c r="D16" s="34">
        <f>ROUND(+'Detail Expense'!C164/1000,0)</f>
        <v>29</v>
      </c>
      <c r="E16" s="34"/>
      <c r="F16" s="34">
        <f>ROUND(+'Detail Expense'!D164/1000,0)</f>
        <v>26</v>
      </c>
      <c r="G16" s="56"/>
      <c r="H16" s="34">
        <f>ROUND(+'Detail Expense'!Q164/1000,0)</f>
        <v>26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5">
      <c r="A17" s="7" t="s">
        <v>95</v>
      </c>
      <c r="D17" s="34">
        <f>ROUND((+'Detail Expense'!C168+'Detail Expense'!C172)/1000,0)</f>
        <v>62</v>
      </c>
      <c r="E17" s="34"/>
      <c r="F17" s="34">
        <f>ROUND((+'Detail Expense'!D168+'Detail Expense'!D172)/1000,0)</f>
        <v>24</v>
      </c>
      <c r="G17" s="56"/>
      <c r="H17" s="34">
        <f>ROUND((+'Detail Expense'!Q168+'Detail Expense'!Q172)/1000,0)</f>
        <v>23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228</v>
      </c>
    </row>
    <row r="18" spans="1:14" x14ac:dyDescent="0.25">
      <c r="A18" s="7" t="s">
        <v>96</v>
      </c>
      <c r="D18" s="34">
        <f>ROUND(+'Detail Expense'!C136/1000,0)</f>
        <v>7</v>
      </c>
      <c r="E18" s="34"/>
      <c r="F18" s="34">
        <f>ROUND(+'Detail Expense'!D136/1000,0)</f>
        <v>7</v>
      </c>
      <c r="G18" s="56"/>
      <c r="H18" s="34">
        <f>ROUND(+'Detail Expense'!Q136/1000,0)</f>
        <v>7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5">
      <c r="A19" s="7" t="s">
        <v>97</v>
      </c>
      <c r="D19" s="34">
        <f>ROUND(+'Detail Expense'!C112/1000,0)</f>
        <v>460</v>
      </c>
      <c r="E19" s="34"/>
      <c r="F19" s="34">
        <f>ROUND(+'Detail Expense'!D112/1000,0)</f>
        <v>170</v>
      </c>
      <c r="G19" s="56"/>
      <c r="H19" s="34">
        <f>ROUND(+'Detail Expense'!Q112/1000,0)</f>
        <v>180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5">
      <c r="A20" s="7" t="s">
        <v>99</v>
      </c>
      <c r="D20" s="7">
        <f>ROUND('Detail Expense'!C178/1000,0)-SUM(D16:D19)</f>
        <v>139</v>
      </c>
      <c r="F20" s="7">
        <f>ROUND('Detail Expense'!D178/1000,0)-SUM(F16:F19)</f>
        <v>92</v>
      </c>
      <c r="G20" s="56"/>
      <c r="H20" s="7">
        <f>ROUND('Detail Expense'!Q178/1000,0)-SUM(H16:H19)</f>
        <v>99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1" t="s">
        <v>212</v>
      </c>
    </row>
    <row r="21" spans="1:14" x14ac:dyDescent="0.25">
      <c r="D21" s="34"/>
      <c r="E21" s="34"/>
      <c r="F21" s="34"/>
      <c r="G21" s="56"/>
      <c r="H21" s="34"/>
      <c r="I21" s="34"/>
      <c r="J21" s="34"/>
      <c r="K21" s="34"/>
      <c r="L21" s="34"/>
      <c r="N21" s="231"/>
    </row>
    <row r="22" spans="1:14" x14ac:dyDescent="0.25">
      <c r="B22" s="7" t="s">
        <v>25</v>
      </c>
      <c r="D22" s="34">
        <f>SUM(D12:D20)</f>
        <v>2542</v>
      </c>
      <c r="E22" s="34"/>
      <c r="F22" s="34">
        <f>SUM(F12:F20)</f>
        <v>1580</v>
      </c>
      <c r="G22" s="56"/>
      <c r="H22" s="34">
        <f>SUM(H12:H20)</f>
        <v>1775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5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5">
      <c r="A24" s="7" t="s">
        <v>59</v>
      </c>
      <c r="D24" s="34">
        <f>ROUND(+'Detail Expense'!C27/1000,0)</f>
        <v>74</v>
      </c>
      <c r="E24" s="34"/>
      <c r="F24" s="34">
        <f>ROUND(+'Detail Expense'!D27/1000,0)</f>
        <v>70</v>
      </c>
      <c r="G24" s="56"/>
      <c r="H24" s="34">
        <f>ROUND(+'Detail Expense'!Q27/1000,0)</f>
        <v>80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5">
      <c r="A25" s="7" t="s">
        <v>60</v>
      </c>
      <c r="D25" s="34">
        <f>ROUND(+'Detail Expense'!C31/1000,0)</f>
        <v>110</v>
      </c>
      <c r="E25" s="34"/>
      <c r="F25" s="34">
        <f>ROUND(+'Detail Expense'!D31/1000,0)</f>
        <v>76</v>
      </c>
      <c r="G25" s="56"/>
      <c r="H25" s="34">
        <f>ROUND(+'Detail Expense'!Q31/1000,0)</f>
        <v>109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5">
      <c r="A26" s="7" t="s">
        <v>61</v>
      </c>
      <c r="D26" s="34">
        <f>ROUND(+'Detail Expense'!C186/1000,0)</f>
        <v>54</v>
      </c>
      <c r="E26" s="34"/>
      <c r="F26" s="34">
        <f>ROUND(+'Detail Expense'!D186/1000,0)</f>
        <v>54</v>
      </c>
      <c r="G26" s="56"/>
      <c r="H26" s="34">
        <f>ROUND(+'Detail Expense'!Q186/1000,0)</f>
        <v>54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5">
      <c r="A27" s="7" t="s">
        <v>222</v>
      </c>
      <c r="D27" s="34">
        <f>ROUND(+'Detail Expense'!C182/1000,0)</f>
        <v>53</v>
      </c>
      <c r="E27" s="34"/>
      <c r="F27" s="34">
        <f>ROUND(+'Detail Expense'!D182/1000,0)</f>
        <v>78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5">
      <c r="A28" s="7" t="s">
        <v>223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5">
      <c r="D29" s="34"/>
      <c r="E29" s="34"/>
      <c r="F29" s="34"/>
      <c r="G29" s="56"/>
      <c r="H29" s="34"/>
      <c r="I29" s="34"/>
      <c r="J29" s="34"/>
      <c r="K29" s="34"/>
      <c r="L29" s="34"/>
    </row>
    <row r="30" spans="1:14" ht="15.6" x14ac:dyDescent="0.3">
      <c r="B30" s="7" t="s">
        <v>62</v>
      </c>
      <c r="D30" s="35">
        <f>SUM(D22:D28)</f>
        <v>2833</v>
      </c>
      <c r="E30" s="56"/>
      <c r="F30" s="35">
        <f>SUM(F22:F28)</f>
        <v>1858</v>
      </c>
      <c r="G30" s="56"/>
      <c r="H30" s="35">
        <f>SUM(H22:H28)</f>
        <v>2018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5">
      <c r="D31" s="34" t="s">
        <v>53</v>
      </c>
      <c r="E31" s="56"/>
      <c r="F31" s="34" t="s">
        <v>53</v>
      </c>
      <c r="G31" s="56"/>
      <c r="H31" s="34" t="s">
        <v>53</v>
      </c>
      <c r="I31" s="56"/>
      <c r="J31" s="34" t="s">
        <v>53</v>
      </c>
      <c r="K31" s="34"/>
      <c r="L31" s="34" t="s">
        <v>53</v>
      </c>
    </row>
    <row r="32" spans="1:14" x14ac:dyDescent="0.25">
      <c r="A32" s="7" t="s">
        <v>63</v>
      </c>
      <c r="D32" s="34">
        <f>ROUND(+Allocations!D38/1000,0)</f>
        <v>0</v>
      </c>
      <c r="E32" s="56"/>
      <c r="F32" s="34">
        <f>ROUND(+Allocations!E38/1000,0)</f>
        <v>0</v>
      </c>
      <c r="G32" s="56"/>
      <c r="H32" s="34">
        <f>ROUND(+Allocations!G38/1000,0)</f>
        <v>1830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5">
      <c r="E33" s="79"/>
      <c r="I33" s="79"/>
    </row>
    <row r="34" spans="1:14" ht="15.6" thickBot="1" x14ac:dyDescent="0.3">
      <c r="B34" s="7" t="s">
        <v>64</v>
      </c>
      <c r="D34" s="36">
        <f>ROUND(D30+D32,1)</f>
        <v>2833</v>
      </c>
      <c r="E34" s="56"/>
      <c r="F34" s="36">
        <f>ROUND(F30+F32,1)</f>
        <v>1858</v>
      </c>
      <c r="G34" s="56"/>
      <c r="H34" s="36">
        <f>ROUND(H30+H32,1)</f>
        <v>3848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6" thickTop="1" x14ac:dyDescent="0.25"/>
    <row r="36" spans="1:14" x14ac:dyDescent="0.25">
      <c r="A36" s="7" t="s">
        <v>206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5">
      <c r="A38" s="7" t="s">
        <v>169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5">
      <c r="A40" s="7" t="s">
        <v>65</v>
      </c>
      <c r="D40" s="7">
        <f>+'Detail Expense'!C11</f>
        <v>9</v>
      </c>
      <c r="F40" s="7">
        <f>+'Detail Expense'!D11</f>
        <v>9</v>
      </c>
      <c r="H40" s="7">
        <f>+'Detail Expense'!Q11</f>
        <v>9</v>
      </c>
      <c r="J40" s="7" t="e">
        <f>+'Detail Expense'!#REF!</f>
        <v>#REF!</v>
      </c>
      <c r="L40" s="7" t="e">
        <f>+'Detail Expense'!#REF!</f>
        <v>#REF!</v>
      </c>
    </row>
    <row r="42" spans="1:14" x14ac:dyDescent="0.25">
      <c r="A42" s="142" t="s">
        <v>151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5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5">
      <c r="A44" s="37"/>
    </row>
    <row r="45" spans="1:14" x14ac:dyDescent="0.25">
      <c r="A45" s="37" t="str">
        <f ca="1">CELL("filename",A41)</f>
        <v>H:\My Documents\[IPR_JAmbler 2002 budget.xls]Exec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6" x14ac:dyDescent="0.3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5"/>
  <cols>
    <col min="1" max="1" width="12.54296875" style="58" customWidth="1"/>
    <col min="2" max="2" width="11.453125" style="85" customWidth="1"/>
    <col min="3" max="14" width="8.90625" style="85" customWidth="1"/>
  </cols>
  <sheetData>
    <row r="1" spans="1:14" s="15" customFormat="1" x14ac:dyDescent="0.25">
      <c r="A1" s="16" t="str">
        <f>Instructions!G5</f>
        <v>100145</v>
      </c>
      <c r="B1" s="89">
        <f>+'Detail Expense'!A23</f>
        <v>52000500</v>
      </c>
      <c r="C1" s="89">
        <f>+'Detail Expense'!E23</f>
        <v>58339.416666666657</v>
      </c>
      <c r="D1" s="89">
        <f>+'Detail Expense'!F23</f>
        <v>58339.416666666657</v>
      </c>
      <c r="E1" s="89">
        <f>+'Detail Expense'!G23</f>
        <v>60818</v>
      </c>
      <c r="F1" s="89">
        <f>+'Detail Expense'!H23</f>
        <v>60818</v>
      </c>
      <c r="G1" s="89">
        <f>+'Detail Expense'!I23</f>
        <v>60818</v>
      </c>
      <c r="H1" s="89">
        <f>+'Detail Expense'!J23</f>
        <v>60818</v>
      </c>
      <c r="I1" s="89">
        <f>+'Detail Expense'!K23</f>
        <v>60818</v>
      </c>
      <c r="J1" s="89">
        <f>+'Detail Expense'!L23</f>
        <v>60818</v>
      </c>
      <c r="K1" s="89">
        <f>+'Detail Expense'!M23</f>
        <v>60818</v>
      </c>
      <c r="L1" s="89">
        <f>+'Detail Expense'!N23</f>
        <v>60818</v>
      </c>
      <c r="M1" s="89">
        <f>+'Detail Expense'!O23</f>
        <v>60818</v>
      </c>
      <c r="N1" s="89">
        <f>+'Detail Expense'!P23</f>
        <v>60818</v>
      </c>
    </row>
    <row r="2" spans="1:14" x14ac:dyDescent="0.25">
      <c r="A2" s="16" t="str">
        <f>A1</f>
        <v>100145</v>
      </c>
      <c r="B2" s="89">
        <f>+'Detail Expense'!A27</f>
        <v>59003000</v>
      </c>
      <c r="C2" s="89">
        <f>+'Detail Expense'!E27</f>
        <v>7236</v>
      </c>
      <c r="D2" s="89">
        <f>+'Detail Expense'!F27</f>
        <v>7236</v>
      </c>
      <c r="E2" s="89">
        <f>+'Detail Expense'!G27</f>
        <v>7541</v>
      </c>
      <c r="F2" s="89">
        <f>+'Detail Expense'!H27</f>
        <v>7541</v>
      </c>
      <c r="G2" s="89">
        <f>+'Detail Expense'!I27</f>
        <v>6860</v>
      </c>
      <c r="H2" s="89">
        <f>+'Detail Expense'!J27</f>
        <v>6860</v>
      </c>
      <c r="I2" s="89">
        <f>+'Detail Expense'!K27</f>
        <v>6860</v>
      </c>
      <c r="J2" s="89">
        <f>+'Detail Expense'!L27</f>
        <v>6437</v>
      </c>
      <c r="K2" s="89">
        <f>+'Detail Expense'!M27</f>
        <v>6050</v>
      </c>
      <c r="L2" s="89">
        <f>+'Detail Expense'!N27</f>
        <v>6050</v>
      </c>
      <c r="M2" s="89">
        <f>+'Detail Expense'!O27</f>
        <v>5716</v>
      </c>
      <c r="N2" s="89">
        <f>+'Detail Expense'!P27</f>
        <v>5408</v>
      </c>
    </row>
    <row r="3" spans="1:14" x14ac:dyDescent="0.25">
      <c r="A3" s="16" t="str">
        <f>A2</f>
        <v>100145</v>
      </c>
      <c r="B3" s="89">
        <f>+'Detail Expense'!A31</f>
        <v>52001000</v>
      </c>
      <c r="C3" s="89">
        <f>+'Detail Expense'!E31</f>
        <v>8909</v>
      </c>
      <c r="D3" s="89">
        <f>+'Detail Expense'!F31</f>
        <v>8909</v>
      </c>
      <c r="E3" s="89">
        <f>+'Detail Expense'!G31</f>
        <v>9134</v>
      </c>
      <c r="F3" s="89">
        <f>+'Detail Expense'!H31</f>
        <v>9134</v>
      </c>
      <c r="G3" s="89">
        <f>+'Detail Expense'!I31</f>
        <v>9134</v>
      </c>
      <c r="H3" s="89">
        <f>+'Detail Expense'!J31</f>
        <v>9134</v>
      </c>
      <c r="I3" s="89">
        <f>+'Detail Expense'!K31</f>
        <v>9134</v>
      </c>
      <c r="J3" s="89">
        <f>+'Detail Expense'!L31</f>
        <v>9134</v>
      </c>
      <c r="K3" s="89">
        <f>+'Detail Expense'!M31</f>
        <v>9134</v>
      </c>
      <c r="L3" s="89">
        <f>+'Detail Expense'!N31</f>
        <v>9134</v>
      </c>
      <c r="M3" s="89">
        <f>+'Detail Expense'!O31</f>
        <v>9134</v>
      </c>
      <c r="N3" s="89">
        <f>+'Detail Expense'!P31</f>
        <v>9134</v>
      </c>
    </row>
    <row r="4" spans="1:14" x14ac:dyDescent="0.25">
      <c r="A4" s="16" t="str">
        <f t="shared" ref="A4:A40" si="0">A3</f>
        <v>100145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5">
      <c r="A5" s="16" t="str">
        <f t="shared" si="0"/>
        <v>100145</v>
      </c>
      <c r="B5" s="89">
        <f>+'Detail Expense'!A39</f>
        <v>52002000</v>
      </c>
      <c r="C5" s="89">
        <f>+'Detail Expense'!E42</f>
        <v>1500</v>
      </c>
      <c r="D5" s="89">
        <f>+'Detail Expense'!F42</f>
        <v>1500</v>
      </c>
      <c r="E5" s="89">
        <f>+'Detail Expense'!G42</f>
        <v>1500</v>
      </c>
      <c r="F5" s="89">
        <f>+'Detail Expense'!H42</f>
        <v>1500</v>
      </c>
      <c r="G5" s="89">
        <f>+'Detail Expense'!I42</f>
        <v>1500</v>
      </c>
      <c r="H5" s="89">
        <f>+'Detail Expense'!J42</f>
        <v>1500</v>
      </c>
      <c r="I5" s="89">
        <f>+'Detail Expense'!K42</f>
        <v>1500</v>
      </c>
      <c r="J5" s="89">
        <f>+'Detail Expense'!L42</f>
        <v>1500</v>
      </c>
      <c r="K5" s="89">
        <f>+'Detail Expense'!M42</f>
        <v>1500</v>
      </c>
      <c r="L5" s="89">
        <f>+'Detail Expense'!N42</f>
        <v>1500</v>
      </c>
      <c r="M5" s="89">
        <f>+'Detail Expense'!O42</f>
        <v>1500</v>
      </c>
      <c r="N5" s="89">
        <f>+'Detail Expense'!P42</f>
        <v>1500</v>
      </c>
    </row>
    <row r="6" spans="1:14" x14ac:dyDescent="0.25">
      <c r="A6" s="16" t="str">
        <f t="shared" si="0"/>
        <v>100145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10000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5">
      <c r="A7" s="16" t="str">
        <f t="shared" si="0"/>
        <v>100145</v>
      </c>
      <c r="B7" s="89">
        <f>+'Detail Expense'!A47</f>
        <v>52003000</v>
      </c>
      <c r="C7" s="89">
        <f>+'Detail Expense'!E50</f>
        <v>500</v>
      </c>
      <c r="D7" s="89">
        <f>+'Detail Expense'!F50</f>
        <v>500</v>
      </c>
      <c r="E7" s="89">
        <f>+'Detail Expense'!G50</f>
        <v>500</v>
      </c>
      <c r="F7" s="89">
        <f>+'Detail Expense'!H50</f>
        <v>500</v>
      </c>
      <c r="G7" s="89">
        <f>+'Detail Expense'!I50</f>
        <v>500</v>
      </c>
      <c r="H7" s="89">
        <f>+'Detail Expense'!J50</f>
        <v>500</v>
      </c>
      <c r="I7" s="89">
        <f>+'Detail Expense'!K50</f>
        <v>500</v>
      </c>
      <c r="J7" s="89">
        <f>+'Detail Expense'!L50</f>
        <v>500</v>
      </c>
      <c r="K7" s="89">
        <f>+'Detail Expense'!M50</f>
        <v>500</v>
      </c>
      <c r="L7" s="89">
        <f>+'Detail Expense'!N50</f>
        <v>500</v>
      </c>
      <c r="M7" s="89">
        <f>+'Detail Expense'!O50</f>
        <v>500</v>
      </c>
      <c r="N7" s="89">
        <f>+'Detail Expense'!P50</f>
        <v>500</v>
      </c>
    </row>
    <row r="8" spans="1:14" x14ac:dyDescent="0.25">
      <c r="A8" s="16" t="str">
        <f t="shared" si="0"/>
        <v>100145</v>
      </c>
      <c r="B8" s="89">
        <f>+'Detail Expense'!A51</f>
        <v>52003500</v>
      </c>
      <c r="C8" s="89">
        <f>+'Detail Expense'!E54</f>
        <v>500</v>
      </c>
      <c r="D8" s="89">
        <f>+'Detail Expense'!F54</f>
        <v>500</v>
      </c>
      <c r="E8" s="89">
        <f>+'Detail Expense'!G54</f>
        <v>500</v>
      </c>
      <c r="F8" s="89">
        <f>+'Detail Expense'!H54</f>
        <v>500</v>
      </c>
      <c r="G8" s="89">
        <f>+'Detail Expense'!I54</f>
        <v>500</v>
      </c>
      <c r="H8" s="89">
        <f>+'Detail Expense'!J54</f>
        <v>500</v>
      </c>
      <c r="I8" s="89">
        <f>+'Detail Expense'!K54</f>
        <v>500</v>
      </c>
      <c r="J8" s="89">
        <f>+'Detail Expense'!L54</f>
        <v>500</v>
      </c>
      <c r="K8" s="89">
        <f>+'Detail Expense'!M54</f>
        <v>500</v>
      </c>
      <c r="L8" s="89">
        <f>+'Detail Expense'!N54</f>
        <v>500</v>
      </c>
      <c r="M8" s="89">
        <f>+'Detail Expense'!O54</f>
        <v>500</v>
      </c>
      <c r="N8" s="89">
        <f>+'Detail Expense'!P54</f>
        <v>500</v>
      </c>
    </row>
    <row r="9" spans="1:14" x14ac:dyDescent="0.25">
      <c r="A9" s="16" t="str">
        <f t="shared" si="0"/>
        <v>100145</v>
      </c>
      <c r="B9" s="89">
        <f>+'Detail Expense'!A55</f>
        <v>52004000</v>
      </c>
      <c r="C9" s="89">
        <f>+'Detail Expense'!E58</f>
        <v>250</v>
      </c>
      <c r="D9" s="89">
        <f>+'Detail Expense'!F58</f>
        <v>250</v>
      </c>
      <c r="E9" s="89">
        <f>+'Detail Expense'!G58</f>
        <v>250</v>
      </c>
      <c r="F9" s="89">
        <f>+'Detail Expense'!H58</f>
        <v>250</v>
      </c>
      <c r="G9" s="89">
        <f>+'Detail Expense'!I58</f>
        <v>250</v>
      </c>
      <c r="H9" s="89">
        <f>+'Detail Expense'!J58</f>
        <v>250</v>
      </c>
      <c r="I9" s="89">
        <f>+'Detail Expense'!K58</f>
        <v>250</v>
      </c>
      <c r="J9" s="89">
        <f>+'Detail Expense'!L58</f>
        <v>250</v>
      </c>
      <c r="K9" s="89">
        <f>+'Detail Expense'!M58</f>
        <v>250</v>
      </c>
      <c r="L9" s="89">
        <f>+'Detail Expense'!N58</f>
        <v>250</v>
      </c>
      <c r="M9" s="89">
        <f>+'Detail Expense'!O58</f>
        <v>250</v>
      </c>
      <c r="N9" s="89">
        <f>+'Detail Expense'!P58</f>
        <v>250</v>
      </c>
    </row>
    <row r="10" spans="1:14" x14ac:dyDescent="0.25">
      <c r="A10" s="16" t="str">
        <f t="shared" si="0"/>
        <v>100145</v>
      </c>
      <c r="B10" s="89">
        <f>+'Detail Expense'!A59</f>
        <v>52004500</v>
      </c>
      <c r="C10" s="89">
        <f>+'Detail Expense'!E62</f>
        <v>25000</v>
      </c>
      <c r="D10" s="89">
        <f>+'Detail Expense'!F62</f>
        <v>25000</v>
      </c>
      <c r="E10" s="89">
        <f>+'Detail Expense'!G62</f>
        <v>30000</v>
      </c>
      <c r="F10" s="89">
        <f>+'Detail Expense'!H62</f>
        <v>30000</v>
      </c>
      <c r="G10" s="89">
        <f>+'Detail Expense'!I62</f>
        <v>30000</v>
      </c>
      <c r="H10" s="89">
        <f>+'Detail Expense'!J62</f>
        <v>30000</v>
      </c>
      <c r="I10" s="89">
        <f>+'Detail Expense'!K62</f>
        <v>30000</v>
      </c>
      <c r="J10" s="89">
        <f>+'Detail Expense'!L62</f>
        <v>20000</v>
      </c>
      <c r="K10" s="89">
        <f>+'Detail Expense'!M62</f>
        <v>30000</v>
      </c>
      <c r="L10" s="89">
        <f>+'Detail Expense'!N62</f>
        <v>30000</v>
      </c>
      <c r="M10" s="89">
        <f>+'Detail Expense'!O62</f>
        <v>30000</v>
      </c>
      <c r="N10" s="89">
        <f>+'Detail Expense'!P62</f>
        <v>20000</v>
      </c>
    </row>
    <row r="11" spans="1:14" x14ac:dyDescent="0.25">
      <c r="A11" s="16" t="str">
        <f t="shared" si="0"/>
        <v>100145</v>
      </c>
      <c r="B11" s="89">
        <f>+'Detail Expense'!A109</f>
        <v>52500500</v>
      </c>
      <c r="C11" s="89">
        <f>+'Detail Expense'!E112</f>
        <v>15000</v>
      </c>
      <c r="D11" s="89">
        <f>+'Detail Expense'!F112</f>
        <v>15000</v>
      </c>
      <c r="E11" s="89">
        <f>+'Detail Expense'!G112</f>
        <v>15000</v>
      </c>
      <c r="F11" s="89">
        <f>+'Detail Expense'!H112</f>
        <v>15000</v>
      </c>
      <c r="G11" s="89">
        <f>+'Detail Expense'!I112</f>
        <v>15000</v>
      </c>
      <c r="H11" s="89">
        <f>+'Detail Expense'!J112</f>
        <v>15000</v>
      </c>
      <c r="I11" s="89">
        <f>+'Detail Expense'!K112</f>
        <v>15000</v>
      </c>
      <c r="J11" s="89">
        <f>+'Detail Expense'!L112</f>
        <v>15000</v>
      </c>
      <c r="K11" s="89">
        <f>+'Detail Expense'!M112</f>
        <v>15000</v>
      </c>
      <c r="L11" s="89">
        <f>+'Detail Expense'!N112</f>
        <v>15000</v>
      </c>
      <c r="M11" s="89">
        <f>+'Detail Expense'!O112</f>
        <v>15000</v>
      </c>
      <c r="N11" s="89">
        <f>+'Detail Expense'!P112</f>
        <v>15000</v>
      </c>
    </row>
    <row r="12" spans="1:14" x14ac:dyDescent="0.25">
      <c r="A12" s="16" t="str">
        <f>A11</f>
        <v>100145</v>
      </c>
      <c r="B12" s="89">
        <f>+'Detail Expense'!A113</f>
        <v>52503500</v>
      </c>
      <c r="C12" s="89">
        <f>+'Detail Expense'!E116</f>
        <v>1400</v>
      </c>
      <c r="D12" s="89">
        <f>+'Detail Expense'!F116</f>
        <v>1400</v>
      </c>
      <c r="E12" s="89">
        <f>+'Detail Expense'!G116</f>
        <v>1400</v>
      </c>
      <c r="F12" s="89">
        <f>+'Detail Expense'!H116</f>
        <v>1400</v>
      </c>
      <c r="G12" s="89">
        <f>+'Detail Expense'!I116</f>
        <v>1400</v>
      </c>
      <c r="H12" s="89">
        <f>+'Detail Expense'!J116</f>
        <v>1400</v>
      </c>
      <c r="I12" s="89">
        <f>+'Detail Expense'!K116</f>
        <v>1400</v>
      </c>
      <c r="J12" s="89">
        <f>+'Detail Expense'!L116</f>
        <v>1400</v>
      </c>
      <c r="K12" s="89">
        <f>+'Detail Expense'!M116</f>
        <v>1400</v>
      </c>
      <c r="L12" s="89">
        <f>+'Detail Expense'!N116</f>
        <v>1400</v>
      </c>
      <c r="M12" s="89">
        <f>+'Detail Expense'!O116</f>
        <v>1400</v>
      </c>
      <c r="N12" s="89">
        <f>+'Detail Expense'!P116</f>
        <v>1400</v>
      </c>
    </row>
    <row r="13" spans="1:14" x14ac:dyDescent="0.25">
      <c r="A13" s="16" t="str">
        <f t="shared" si="0"/>
        <v>100145</v>
      </c>
      <c r="B13" s="89">
        <f>+'Detail Expense'!A117</f>
        <v>52504000</v>
      </c>
      <c r="C13" s="89">
        <f>+'Detail Expense'!E120</f>
        <v>2000</v>
      </c>
      <c r="D13" s="89">
        <f>+'Detail Expense'!F120</f>
        <v>2000</v>
      </c>
      <c r="E13" s="89">
        <f>+'Detail Expense'!G120</f>
        <v>2000</v>
      </c>
      <c r="F13" s="89">
        <f>+'Detail Expense'!H120</f>
        <v>2000</v>
      </c>
      <c r="G13" s="89">
        <f>+'Detail Expense'!I120</f>
        <v>2000</v>
      </c>
      <c r="H13" s="89">
        <f>+'Detail Expense'!J120</f>
        <v>2000</v>
      </c>
      <c r="I13" s="89">
        <f>+'Detail Expense'!K120</f>
        <v>2000</v>
      </c>
      <c r="J13" s="89">
        <f>+'Detail Expense'!L120</f>
        <v>2000</v>
      </c>
      <c r="K13" s="89">
        <f>+'Detail Expense'!M120</f>
        <v>2000</v>
      </c>
      <c r="L13" s="89">
        <f>+'Detail Expense'!N120</f>
        <v>2000</v>
      </c>
      <c r="M13" s="89">
        <f>+'Detail Expense'!O120</f>
        <v>2000</v>
      </c>
      <c r="N13" s="89">
        <f>+'Detail Expense'!P120</f>
        <v>2000</v>
      </c>
    </row>
    <row r="14" spans="1:14" x14ac:dyDescent="0.25">
      <c r="A14" s="16" t="str">
        <f t="shared" si="0"/>
        <v>100145</v>
      </c>
      <c r="B14" s="89">
        <f>+'Detail Expense'!A121</f>
        <v>52504100</v>
      </c>
      <c r="C14" s="89">
        <f>+'Detail Expense'!E124</f>
        <v>4000</v>
      </c>
      <c r="D14" s="89">
        <f>+'Detail Expense'!F124</f>
        <v>4000</v>
      </c>
      <c r="E14" s="89">
        <f>+'Detail Expense'!G124</f>
        <v>4000</v>
      </c>
      <c r="F14" s="89">
        <f>+'Detail Expense'!H124</f>
        <v>4000</v>
      </c>
      <c r="G14" s="89">
        <f>+'Detail Expense'!I124</f>
        <v>4000</v>
      </c>
      <c r="H14" s="89">
        <f>+'Detail Expense'!J124</f>
        <v>4000</v>
      </c>
      <c r="I14" s="89">
        <f>+'Detail Expense'!K124</f>
        <v>4000</v>
      </c>
      <c r="J14" s="89">
        <f>+'Detail Expense'!L124</f>
        <v>4000</v>
      </c>
      <c r="K14" s="89">
        <f>+'Detail Expense'!M124</f>
        <v>4000</v>
      </c>
      <c r="L14" s="89">
        <f>+'Detail Expense'!N124</f>
        <v>4000</v>
      </c>
      <c r="M14" s="89">
        <f>+'Detail Expense'!O124</f>
        <v>4000</v>
      </c>
      <c r="N14" s="89">
        <f>+'Detail Expense'!P124</f>
        <v>4000</v>
      </c>
    </row>
    <row r="15" spans="1:14" x14ac:dyDescent="0.25">
      <c r="A15" s="16" t="str">
        <f t="shared" si="0"/>
        <v>100145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5">
      <c r="A16" s="16" t="str">
        <f t="shared" si="0"/>
        <v>100145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5">
      <c r="A17" s="16" t="str">
        <f t="shared" si="0"/>
        <v>100145</v>
      </c>
      <c r="B17" s="89">
        <f>+'Detail Expense'!A133</f>
        <v>52504500</v>
      </c>
      <c r="C17" s="89">
        <f>+'Detail Expense'!E136</f>
        <v>600</v>
      </c>
      <c r="D17" s="89">
        <f>+'Detail Expense'!F136</f>
        <v>600</v>
      </c>
      <c r="E17" s="89">
        <f>+'Detail Expense'!G136</f>
        <v>600</v>
      </c>
      <c r="F17" s="89">
        <f>+'Detail Expense'!H136</f>
        <v>600</v>
      </c>
      <c r="G17" s="89">
        <f>+'Detail Expense'!I136</f>
        <v>600</v>
      </c>
      <c r="H17" s="89">
        <f>+'Detail Expense'!J136</f>
        <v>600</v>
      </c>
      <c r="I17" s="89">
        <f>+'Detail Expense'!K136</f>
        <v>600</v>
      </c>
      <c r="J17" s="89">
        <f>+'Detail Expense'!L136</f>
        <v>600</v>
      </c>
      <c r="K17" s="89">
        <f>+'Detail Expense'!M136</f>
        <v>600</v>
      </c>
      <c r="L17" s="89">
        <f>+'Detail Expense'!N136</f>
        <v>600</v>
      </c>
      <c r="M17" s="89">
        <f>+'Detail Expense'!O136</f>
        <v>600</v>
      </c>
      <c r="N17" s="89">
        <f>+'Detail Expense'!P136</f>
        <v>600</v>
      </c>
    </row>
    <row r="18" spans="1:14" x14ac:dyDescent="0.25">
      <c r="A18" s="16" t="str">
        <f t="shared" si="0"/>
        <v>100145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5">
      <c r="A19" s="16" t="str">
        <f t="shared" si="0"/>
        <v>100145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5">
      <c r="A20" s="16" t="str">
        <f t="shared" si="0"/>
        <v>100145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5">
      <c r="A21" s="16" t="str">
        <f t="shared" si="0"/>
        <v>100145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5">
      <c r="A22" s="16" t="str">
        <f t="shared" si="0"/>
        <v>100145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5">
      <c r="A23" s="16" t="str">
        <f t="shared" si="0"/>
        <v>100145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5">
      <c r="A24" s="16" t="str">
        <f t="shared" si="0"/>
        <v>100145</v>
      </c>
      <c r="B24" s="89">
        <f>+'Detail Expense'!A76</f>
        <v>52507200</v>
      </c>
      <c r="C24" s="89">
        <f>+'Detail Expense'!E79</f>
        <v>3500</v>
      </c>
      <c r="D24" s="89">
        <f>+'Detail Expense'!F79</f>
        <v>3500</v>
      </c>
      <c r="E24" s="89">
        <f>+'Detail Expense'!G79</f>
        <v>3500</v>
      </c>
      <c r="F24" s="89">
        <f>+'Detail Expense'!H79</f>
        <v>3500</v>
      </c>
      <c r="G24" s="89">
        <f>+'Detail Expense'!I79</f>
        <v>3500</v>
      </c>
      <c r="H24" s="89">
        <f>+'Detail Expense'!J79</f>
        <v>3500</v>
      </c>
      <c r="I24" s="89">
        <f>+'Detail Expense'!K79</f>
        <v>3500</v>
      </c>
      <c r="J24" s="89">
        <f>+'Detail Expense'!L79</f>
        <v>3500</v>
      </c>
      <c r="K24" s="89">
        <f>+'Detail Expense'!M79</f>
        <v>3500</v>
      </c>
      <c r="L24" s="89">
        <f>+'Detail Expense'!N79</f>
        <v>3500</v>
      </c>
      <c r="M24" s="89">
        <f>+'Detail Expense'!O79</f>
        <v>3500</v>
      </c>
      <c r="N24" s="89">
        <f>+'Detail Expense'!P79</f>
        <v>3500</v>
      </c>
    </row>
    <row r="25" spans="1:14" x14ac:dyDescent="0.25">
      <c r="A25" s="16" t="str">
        <f t="shared" si="0"/>
        <v>100145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5">
      <c r="A26" s="16" t="str">
        <f t="shared" si="0"/>
        <v>100145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5">
      <c r="A27" s="16" t="str">
        <f t="shared" si="0"/>
        <v>100145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5">
      <c r="A28" s="16" t="str">
        <f t="shared" si="0"/>
        <v>100145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5">
      <c r="A29" s="16" t="str">
        <f t="shared" si="0"/>
        <v>100145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5">
      <c r="A30" s="16" t="str">
        <f t="shared" si="0"/>
        <v>100145</v>
      </c>
      <c r="B30" s="85">
        <f>+'Detail Expense'!A100</f>
        <v>52508000</v>
      </c>
      <c r="C30" s="85">
        <f>+'Detail Expense'!E103</f>
        <v>25000</v>
      </c>
      <c r="D30" s="85">
        <f>+'Detail Expense'!F103</f>
        <v>25000</v>
      </c>
      <c r="E30" s="85">
        <f>+'Detail Expense'!G103</f>
        <v>25000</v>
      </c>
      <c r="F30" s="85">
        <f>+'Detail Expense'!H103</f>
        <v>25000</v>
      </c>
      <c r="G30" s="85">
        <f>+'Detail Expense'!I103</f>
        <v>25000</v>
      </c>
      <c r="H30" s="85">
        <f>+'Detail Expense'!J103</f>
        <v>25000</v>
      </c>
      <c r="I30" s="85">
        <f>+'Detail Expense'!K103</f>
        <v>25000</v>
      </c>
      <c r="J30" s="85">
        <f>+'Detail Expense'!L103</f>
        <v>25000</v>
      </c>
      <c r="K30" s="85">
        <f>+'Detail Expense'!M103</f>
        <v>25000</v>
      </c>
      <c r="L30" s="85">
        <f>+'Detail Expense'!N103</f>
        <v>25000</v>
      </c>
      <c r="M30" s="85">
        <f>+'Detail Expense'!O103</f>
        <v>25000</v>
      </c>
      <c r="N30" s="85">
        <f>+'Detail Expense'!P103</f>
        <v>25000</v>
      </c>
    </row>
    <row r="31" spans="1:14" x14ac:dyDescent="0.25">
      <c r="A31" s="16" t="str">
        <f t="shared" si="0"/>
        <v>100145</v>
      </c>
      <c r="B31" s="85">
        <f>+'Detail Expense'!A153</f>
        <v>52508100</v>
      </c>
      <c r="C31" s="85">
        <f>+'Detail Expense'!E156</f>
        <v>125</v>
      </c>
      <c r="D31" s="85">
        <f>+'Detail Expense'!F156</f>
        <v>125</v>
      </c>
      <c r="E31" s="85">
        <f>+'Detail Expense'!G156</f>
        <v>125</v>
      </c>
      <c r="F31" s="85">
        <f>+'Detail Expense'!H156</f>
        <v>125</v>
      </c>
      <c r="G31" s="85">
        <f>+'Detail Expense'!I156</f>
        <v>125</v>
      </c>
      <c r="H31" s="85">
        <f>+'Detail Expense'!J156</f>
        <v>125</v>
      </c>
      <c r="I31" s="85">
        <f>+'Detail Expense'!K156</f>
        <v>125</v>
      </c>
      <c r="J31" s="85">
        <f>+'Detail Expense'!L156</f>
        <v>125</v>
      </c>
      <c r="K31" s="85">
        <f>+'Detail Expense'!M156</f>
        <v>125</v>
      </c>
      <c r="L31" s="85">
        <f>+'Detail Expense'!N156</f>
        <v>125</v>
      </c>
      <c r="M31" s="85">
        <f>+'Detail Expense'!O156</f>
        <v>125</v>
      </c>
      <c r="N31" s="85">
        <f>+'Detail Expense'!P156</f>
        <v>125</v>
      </c>
    </row>
    <row r="32" spans="1:14" x14ac:dyDescent="0.25">
      <c r="A32" s="16" t="str">
        <f t="shared" si="0"/>
        <v>100145</v>
      </c>
      <c r="B32" s="85">
        <f>+'Detail Expense'!A157</f>
        <v>52508500</v>
      </c>
      <c r="C32" s="85">
        <f>+'Detail Expense'!E160</f>
        <v>700</v>
      </c>
      <c r="D32" s="85">
        <f>+'Detail Expense'!F160</f>
        <v>700</v>
      </c>
      <c r="E32" s="85">
        <f>+'Detail Expense'!G160</f>
        <v>700</v>
      </c>
      <c r="F32" s="85">
        <f>+'Detail Expense'!H160</f>
        <v>700</v>
      </c>
      <c r="G32" s="85">
        <f>+'Detail Expense'!I160</f>
        <v>700</v>
      </c>
      <c r="H32" s="85">
        <f>+'Detail Expense'!J160</f>
        <v>700</v>
      </c>
      <c r="I32" s="85">
        <f>+'Detail Expense'!K160</f>
        <v>700</v>
      </c>
      <c r="J32" s="85">
        <f>+'Detail Expense'!L160</f>
        <v>700</v>
      </c>
      <c r="K32" s="85">
        <f>+'Detail Expense'!M160</f>
        <v>700</v>
      </c>
      <c r="L32" s="85">
        <f>+'Detail Expense'!N160</f>
        <v>700</v>
      </c>
      <c r="M32" s="85">
        <f>+'Detail Expense'!O160</f>
        <v>700</v>
      </c>
      <c r="N32" s="85">
        <f>+'Detail Expense'!P160</f>
        <v>700</v>
      </c>
    </row>
    <row r="33" spans="1:14" x14ac:dyDescent="0.25">
      <c r="A33" s="16" t="str">
        <f t="shared" si="0"/>
        <v>100145</v>
      </c>
      <c r="B33" s="85">
        <f>+'Detail Expense'!A161</f>
        <v>53600000</v>
      </c>
      <c r="C33" s="85">
        <f>+'Detail Expense'!E164</f>
        <v>2200</v>
      </c>
      <c r="D33" s="85">
        <f>+'Detail Expense'!F164</f>
        <v>2200</v>
      </c>
      <c r="E33" s="85">
        <f>+'Detail Expense'!G164</f>
        <v>2200</v>
      </c>
      <c r="F33" s="85">
        <f>+'Detail Expense'!H164</f>
        <v>2200</v>
      </c>
      <c r="G33" s="85">
        <f>+'Detail Expense'!I164</f>
        <v>2200</v>
      </c>
      <c r="H33" s="85">
        <f>+'Detail Expense'!J164</f>
        <v>2200</v>
      </c>
      <c r="I33" s="85">
        <f>+'Detail Expense'!K164</f>
        <v>2200</v>
      </c>
      <c r="J33" s="85">
        <f>+'Detail Expense'!L164</f>
        <v>2200</v>
      </c>
      <c r="K33" s="85">
        <f>+'Detail Expense'!M164</f>
        <v>2200</v>
      </c>
      <c r="L33" s="85">
        <f>+'Detail Expense'!N164</f>
        <v>2200</v>
      </c>
      <c r="M33" s="85">
        <f>+'Detail Expense'!O164</f>
        <v>2200</v>
      </c>
      <c r="N33" s="85">
        <f>+'Detail Expense'!P164</f>
        <v>2200</v>
      </c>
    </row>
    <row r="34" spans="1:14" x14ac:dyDescent="0.25">
      <c r="A34" s="16" t="str">
        <f t="shared" si="0"/>
        <v>100145</v>
      </c>
      <c r="B34" s="85">
        <f>+'Detail Expense'!A165</f>
        <v>53800000</v>
      </c>
      <c r="C34" s="85">
        <f>+'Detail Expense'!E168</f>
        <v>200</v>
      </c>
      <c r="D34" s="85">
        <f>+'Detail Expense'!F168</f>
        <v>200</v>
      </c>
      <c r="E34" s="85">
        <f>+'Detail Expense'!G168</f>
        <v>200</v>
      </c>
      <c r="F34" s="85">
        <f>+'Detail Expense'!H168</f>
        <v>200</v>
      </c>
      <c r="G34" s="85">
        <f>+'Detail Expense'!I168</f>
        <v>200</v>
      </c>
      <c r="H34" s="85">
        <f>+'Detail Expense'!J168</f>
        <v>200</v>
      </c>
      <c r="I34" s="85">
        <f>+'Detail Expense'!K168</f>
        <v>200</v>
      </c>
      <c r="J34" s="85">
        <f>+'Detail Expense'!L168</f>
        <v>200</v>
      </c>
      <c r="K34" s="85">
        <f>+'Detail Expense'!M168</f>
        <v>200</v>
      </c>
      <c r="L34" s="85">
        <f>+'Detail Expense'!N168</f>
        <v>200</v>
      </c>
      <c r="M34" s="85">
        <f>+'Detail Expense'!O168</f>
        <v>200</v>
      </c>
      <c r="N34" s="85">
        <f>+'Detail Expense'!P168</f>
        <v>200</v>
      </c>
    </row>
    <row r="35" spans="1:14" x14ac:dyDescent="0.25">
      <c r="A35" s="16" t="str">
        <f t="shared" si="0"/>
        <v>100145</v>
      </c>
      <c r="B35" s="85">
        <f>+'Detail Expense'!A169</f>
        <v>53801000</v>
      </c>
      <c r="C35" s="85">
        <f>+'Detail Expense'!E172</f>
        <v>1700</v>
      </c>
      <c r="D35" s="85">
        <f>+'Detail Expense'!F172</f>
        <v>1700</v>
      </c>
      <c r="E35" s="85">
        <f>+'Detail Expense'!G172</f>
        <v>1700</v>
      </c>
      <c r="F35" s="85">
        <f>+'Detail Expense'!H172</f>
        <v>1700</v>
      </c>
      <c r="G35" s="85">
        <f>+'Detail Expense'!I172</f>
        <v>1700</v>
      </c>
      <c r="H35" s="85">
        <f>+'Detail Expense'!J172</f>
        <v>1700</v>
      </c>
      <c r="I35" s="85">
        <f>+'Detail Expense'!K172</f>
        <v>1700</v>
      </c>
      <c r="J35" s="85">
        <f>+'Detail Expense'!L172</f>
        <v>1700</v>
      </c>
      <c r="K35" s="85">
        <f>+'Detail Expense'!M172</f>
        <v>1700</v>
      </c>
      <c r="L35" s="85">
        <f>+'Detail Expense'!N172</f>
        <v>1700</v>
      </c>
      <c r="M35" s="85">
        <f>+'Detail Expense'!O172</f>
        <v>1700</v>
      </c>
      <c r="N35" s="85">
        <f>+'Detail Expense'!P172</f>
        <v>1700</v>
      </c>
    </row>
    <row r="36" spans="1:14" x14ac:dyDescent="0.25">
      <c r="A36" s="16" t="str">
        <f t="shared" si="0"/>
        <v>100145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5">
      <c r="A37" s="16" t="str">
        <f t="shared" si="0"/>
        <v>100145</v>
      </c>
      <c r="B37" s="85">
        <f>+'Detail Expense'!A183</f>
        <v>52502000</v>
      </c>
      <c r="C37" s="85">
        <f>+'Detail Expense'!E186</f>
        <v>4500</v>
      </c>
      <c r="D37" s="85">
        <f>+'Detail Expense'!F186</f>
        <v>4500</v>
      </c>
      <c r="E37" s="85">
        <f>+'Detail Expense'!G186</f>
        <v>4500</v>
      </c>
      <c r="F37" s="85">
        <f>+'Detail Expense'!H186</f>
        <v>4500</v>
      </c>
      <c r="G37" s="85">
        <f>+'Detail Expense'!I186</f>
        <v>4500</v>
      </c>
      <c r="H37" s="85">
        <f>+'Detail Expense'!J186</f>
        <v>4500</v>
      </c>
      <c r="I37" s="85">
        <f>+'Detail Expense'!K186</f>
        <v>4500</v>
      </c>
      <c r="J37" s="85">
        <f>+'Detail Expense'!L186</f>
        <v>4500</v>
      </c>
      <c r="K37" s="85">
        <f>+'Detail Expense'!M186</f>
        <v>4500</v>
      </c>
      <c r="L37" s="85">
        <f>+'Detail Expense'!N186</f>
        <v>4500</v>
      </c>
      <c r="M37" s="85">
        <f>+'Detail Expense'!O186</f>
        <v>4500</v>
      </c>
      <c r="N37" s="85">
        <f>+'Detail Expense'!P186</f>
        <v>4500</v>
      </c>
    </row>
    <row r="38" spans="1:14" x14ac:dyDescent="0.25">
      <c r="A38" s="16" t="str">
        <f t="shared" si="0"/>
        <v>100145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5">
      <c r="A39" s="16" t="str">
        <f t="shared" si="0"/>
        <v>100145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5">
      <c r="A40" s="16" t="str">
        <f t="shared" si="0"/>
        <v>100145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6" thickBot="1" x14ac:dyDescent="0.3">
      <c r="C42" s="86">
        <f>SUM(C1:C41)</f>
        <v>163159.41666666666</v>
      </c>
      <c r="D42" s="86">
        <f t="shared" ref="D42:N42" si="1">SUM(D1:D41)</f>
        <v>163159.41666666666</v>
      </c>
      <c r="E42" s="86">
        <f t="shared" si="1"/>
        <v>171168</v>
      </c>
      <c r="F42" s="86">
        <f t="shared" si="1"/>
        <v>171168</v>
      </c>
      <c r="G42" s="86">
        <f t="shared" si="1"/>
        <v>170487</v>
      </c>
      <c r="H42" s="86">
        <f t="shared" si="1"/>
        <v>180487</v>
      </c>
      <c r="I42" s="86">
        <f t="shared" si="1"/>
        <v>170487</v>
      </c>
      <c r="J42" s="86">
        <f t="shared" si="1"/>
        <v>160064</v>
      </c>
      <c r="K42" s="86">
        <f t="shared" si="1"/>
        <v>169677</v>
      </c>
      <c r="L42" s="86">
        <f t="shared" si="1"/>
        <v>169677</v>
      </c>
      <c r="M42" s="86">
        <f t="shared" si="1"/>
        <v>169343</v>
      </c>
      <c r="N42" s="86">
        <f t="shared" si="1"/>
        <v>159035</v>
      </c>
    </row>
    <row r="43" spans="1:14" ht="15.6" thickTop="1" x14ac:dyDescent="0.25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2001-07-19T18:46:12Z</cp:lastPrinted>
  <dcterms:created xsi:type="dcterms:W3CDTF">1997-06-03T16:34:52Z</dcterms:created>
  <dcterms:modified xsi:type="dcterms:W3CDTF">2023-09-10T14:58:35Z</dcterms:modified>
</cp:coreProperties>
</file>