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788" yWindow="-12" windowWidth="4836" windowHeight="5196" tabRatio="599"/>
  </bookViews>
  <sheets>
    <sheet name="BACKUP" sheetId="1" r:id="rId1"/>
    <sheet name="BALSHEET" sheetId="2" r:id="rId2"/>
    <sheet name="CASHFLOW" sheetId="3" r:id="rId3"/>
  </sheets>
  <externalReferences>
    <externalReference r:id="rId4"/>
  </externalReferences>
  <definedNames>
    <definedName name="\L">CASHFLOW!$C$491:$E$492</definedName>
    <definedName name="\P" localSheetId="0">BACKUP!$D$492:$F$500</definedName>
    <definedName name="\P">BALSHEET!$D$229:$F$230</definedName>
    <definedName name="\R">BALSHEET!$D$235:$F$236</definedName>
    <definedName name="_93ASSET">BALSHEET!$AA$11:$AO$53</definedName>
    <definedName name="_93LIAB">BALSHEET!$AA$55:$AO$96</definedName>
    <definedName name="ASSET1">BACKUP!$A$10:$R$70</definedName>
    <definedName name="ASSET2">BACKUP!$A$72:$R$127</definedName>
    <definedName name="ASSET3">BACKUP!$A$128:$R$180</definedName>
    <definedName name="ASSET4">BACKUP!$A$182:$R$230</definedName>
    <definedName name="ASSET5">BACKUP!$A$231:$R$253</definedName>
    <definedName name="COMPARE">CASHFLOW!$AA$1:$AQ$60</definedName>
    <definedName name="CORPBS">BALSHEET!$A$154:$P$208</definedName>
    <definedName name="CORPBS93">BALSHEET!$AA$154:$AP$208</definedName>
    <definedName name="CORPCASH">CASHFLOW!$A$62:$V$116</definedName>
    <definedName name="CORPSUM">CASHFLOW!$AA$62:$AQ$116</definedName>
    <definedName name="FUNDSMO">CASHFLOW!$A$118:$V$181</definedName>
    <definedName name="FUNDSUM">CASHFLOW!$AA$118:$AQ$181</definedName>
    <definedName name="LIAB1">BACKUP!$A$256:$R$313</definedName>
    <definedName name="LIAB2">BACKUP!$A$314:$R$375</definedName>
    <definedName name="LIAB3">BACKUP!$A$377:$R$437</definedName>
    <definedName name="LIAB4">BACKUP!$A$439:$R$488</definedName>
    <definedName name="MOASSET">BALSHEET!$A$11:$O$53</definedName>
    <definedName name="MOLIAB">BALSHEET!$A$55:$O$96</definedName>
    <definedName name="OTHERMO">CASHFLOW!$A$183:$V$242</definedName>
    <definedName name="OTHERSUM">CASHFLOW!$AA$183:$AQ$242</definedName>
    <definedName name="PAGE1">CASHFLOW!$A$253:$U$288</definedName>
    <definedName name="PAGE2">CASHFLOW!$A$290:$U$342</definedName>
    <definedName name="PRINT">CASHFLOW!$A$1:$V$60</definedName>
    <definedName name="_xlnm.Print_Area" localSheetId="0">BACKUP!$A$439:$R$488</definedName>
    <definedName name="_xlnm.Print_Area" localSheetId="1">BALSHEET!$BA$55:$BO$95</definedName>
    <definedName name="_xlnm.Print_Area" localSheetId="2">CASHFLOW!$AA$183:$AQ$242</definedName>
    <definedName name="_xlnm.Print_Titles" localSheetId="0">BACKUP!$1:$9</definedName>
    <definedName name="_xlnm.Print_Titles" localSheetId="1">BALSHEET!$1:$10</definedName>
    <definedName name="Print_Titles_MI" localSheetId="0">BACKUP!$1:$9</definedName>
    <definedName name="Print_Titles_MI" localSheetId="1">BALSHEET!$1:$10</definedName>
    <definedName name="RONASSET">BALSHEET!$AA$11:$AQ$50</definedName>
    <definedName name="RONCEMO">BALSHEET!$A$99:$P$152</definedName>
    <definedName name="RONCEMO93">BALSHEET!$AA$99:$AP$152</definedName>
    <definedName name="RONLIAB">BALSHEET!$AA$55:$AQ$93</definedName>
    <definedName name="TITLE1" localSheetId="0">BACKUP!$A$1:$R$9</definedName>
    <definedName name="TITLE1" localSheetId="2">CASHFLOW!$A$244:$U$252</definedName>
    <definedName name="TITLE1">BALSHEET!$A$1:$O$10</definedName>
    <definedName name="TITLE2">BALSHEET!$AA$1:$AO$10</definedName>
    <definedName name="VARCE">CASHFLOW!$A$417:$P$488</definedName>
    <definedName name="VARPLAN">CASHFLOW!$A$344:$P$415</definedName>
  </definedNames>
  <calcPr calcId="0" fullCalcOnLoad="1" iterate="1"/>
</workbook>
</file>

<file path=xl/calcChain.xml><?xml version="1.0" encoding="utf-8"?>
<calcChain xmlns="http://schemas.openxmlformats.org/spreadsheetml/2006/main">
  <c r="A1" i="1" l="1"/>
  <c r="R1" i="1"/>
  <c r="R2" i="1"/>
  <c r="A3" i="1"/>
  <c r="A4" i="1"/>
  <c r="D10" i="1"/>
  <c r="E10" i="1"/>
  <c r="F10" i="1"/>
  <c r="G10" i="1"/>
  <c r="H10" i="1"/>
  <c r="I10" i="1"/>
  <c r="J10" i="1"/>
  <c r="K10" i="1"/>
  <c r="L10" i="1"/>
  <c r="M10" i="1"/>
  <c r="N10" i="1"/>
  <c r="O10" i="1"/>
  <c r="P11" i="1"/>
  <c r="Q11" i="1"/>
  <c r="R11" i="1"/>
  <c r="D13" i="1"/>
  <c r="E13" i="1"/>
  <c r="F13" i="1"/>
  <c r="G13" i="1"/>
  <c r="H13" i="1"/>
  <c r="I13" i="1"/>
  <c r="J13" i="1"/>
  <c r="K13" i="1"/>
  <c r="L13" i="1"/>
  <c r="M13" i="1"/>
  <c r="N13" i="1"/>
  <c r="O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P25" i="1"/>
  <c r="Q25" i="1"/>
  <c r="R25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P29" i="1"/>
  <c r="Q29" i="1"/>
  <c r="R29" i="1"/>
  <c r="P30" i="1"/>
  <c r="Q30" i="1"/>
  <c r="R30" i="1"/>
  <c r="P31" i="1"/>
  <c r="Q31" i="1"/>
  <c r="R31" i="1"/>
  <c r="P32" i="1"/>
  <c r="Q32" i="1"/>
  <c r="R32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38" i="1"/>
  <c r="E38" i="1"/>
  <c r="F38" i="1"/>
  <c r="G38" i="1"/>
  <c r="H38" i="1"/>
  <c r="I38" i="1"/>
  <c r="J38" i="1"/>
  <c r="K38" i="1"/>
  <c r="L38" i="1"/>
  <c r="M38" i="1"/>
  <c r="N38" i="1"/>
  <c r="O38" i="1"/>
  <c r="P39" i="1"/>
  <c r="Q39" i="1"/>
  <c r="R39" i="1"/>
  <c r="P40" i="1"/>
  <c r="Q40" i="1"/>
  <c r="R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D46" i="1"/>
  <c r="E46" i="1"/>
  <c r="F46" i="1"/>
  <c r="G46" i="1"/>
  <c r="H46" i="1"/>
  <c r="I46" i="1"/>
  <c r="J46" i="1"/>
  <c r="K46" i="1"/>
  <c r="L46" i="1"/>
  <c r="M46" i="1"/>
  <c r="N46" i="1"/>
  <c r="O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D57" i="1"/>
  <c r="E57" i="1"/>
  <c r="F57" i="1"/>
  <c r="G57" i="1"/>
  <c r="H57" i="1"/>
  <c r="I57" i="1"/>
  <c r="J57" i="1"/>
  <c r="K57" i="1"/>
  <c r="L57" i="1"/>
  <c r="M57" i="1"/>
  <c r="N57" i="1"/>
  <c r="O57" i="1"/>
  <c r="P58" i="1"/>
  <c r="Q58" i="1"/>
  <c r="R58" i="1"/>
  <c r="D60" i="1"/>
  <c r="E60" i="1"/>
  <c r="F60" i="1"/>
  <c r="G60" i="1"/>
  <c r="H60" i="1"/>
  <c r="I60" i="1"/>
  <c r="J60" i="1"/>
  <c r="K60" i="1"/>
  <c r="L60" i="1"/>
  <c r="M60" i="1"/>
  <c r="N60" i="1"/>
  <c r="O60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D64" i="1"/>
  <c r="E64" i="1"/>
  <c r="F64" i="1"/>
  <c r="G64" i="1"/>
  <c r="H64" i="1"/>
  <c r="I64" i="1"/>
  <c r="J64" i="1"/>
  <c r="K64" i="1"/>
  <c r="L64" i="1"/>
  <c r="M64" i="1"/>
  <c r="N64" i="1"/>
  <c r="O64" i="1"/>
  <c r="P65" i="1"/>
  <c r="Q65" i="1"/>
  <c r="R65" i="1"/>
  <c r="D67" i="1"/>
  <c r="E67" i="1"/>
  <c r="F67" i="1"/>
  <c r="G67" i="1"/>
  <c r="H67" i="1"/>
  <c r="I67" i="1"/>
  <c r="J67" i="1"/>
  <c r="K67" i="1"/>
  <c r="L67" i="1"/>
  <c r="M67" i="1"/>
  <c r="N67" i="1"/>
  <c r="O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D72" i="1"/>
  <c r="E72" i="1"/>
  <c r="F72" i="1"/>
  <c r="G72" i="1"/>
  <c r="H72" i="1"/>
  <c r="I72" i="1"/>
  <c r="J72" i="1"/>
  <c r="K72" i="1"/>
  <c r="L72" i="1"/>
  <c r="M72" i="1"/>
  <c r="N72" i="1"/>
  <c r="O72" i="1"/>
  <c r="P73" i="1"/>
  <c r="Q73" i="1"/>
  <c r="R73" i="1"/>
  <c r="P74" i="1"/>
  <c r="Q74" i="1"/>
  <c r="R74" i="1"/>
  <c r="P75" i="1"/>
  <c r="Q75" i="1"/>
  <c r="R75" i="1"/>
  <c r="C76" i="1"/>
  <c r="P76" i="1"/>
  <c r="Q76" i="1"/>
  <c r="R76" i="1"/>
  <c r="P77" i="1"/>
  <c r="Q77" i="1"/>
  <c r="R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P81" i="1"/>
  <c r="Q81" i="1"/>
  <c r="R81" i="1"/>
  <c r="P82" i="1"/>
  <c r="Q82" i="1"/>
  <c r="R82" i="1"/>
  <c r="P83" i="1"/>
  <c r="Q83" i="1"/>
  <c r="R83" i="1"/>
  <c r="C84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3" i="1"/>
  <c r="Q103" i="1"/>
  <c r="R103" i="1"/>
  <c r="P104" i="1"/>
  <c r="Q104" i="1"/>
  <c r="R104" i="1"/>
  <c r="P105" i="1"/>
  <c r="Q105" i="1"/>
  <c r="R105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P113" i="1"/>
  <c r="Q113" i="1"/>
  <c r="R113" i="1"/>
  <c r="P114" i="1"/>
  <c r="Q114" i="1"/>
  <c r="R114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1" i="1"/>
  <c r="Q121" i="1"/>
  <c r="R121" i="1"/>
  <c r="P122" i="1"/>
  <c r="Q122" i="1"/>
  <c r="R122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K130" i="1"/>
  <c r="L130" i="1"/>
  <c r="M130" i="1"/>
  <c r="N130" i="1"/>
  <c r="O130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O139" i="1"/>
  <c r="P139" i="1"/>
  <c r="Q139" i="1"/>
  <c r="R139" i="1"/>
  <c r="P140" i="1"/>
  <c r="Q140" i="1"/>
  <c r="R140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H149" i="1"/>
  <c r="P149" i="1"/>
  <c r="Q149" i="1"/>
  <c r="R149" i="1"/>
  <c r="P150" i="1"/>
  <c r="Q150" i="1"/>
  <c r="R150" i="1"/>
  <c r="P151" i="1"/>
  <c r="Q151" i="1"/>
  <c r="R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P153" i="1"/>
  <c r="Q153" i="1"/>
  <c r="R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P155" i="1"/>
  <c r="Q155" i="1"/>
  <c r="R155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3" i="1"/>
  <c r="Q183" i="1"/>
  <c r="R183" i="1"/>
  <c r="T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T184" i="1"/>
  <c r="U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T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T186" i="1"/>
  <c r="U186" i="1"/>
  <c r="P187" i="1"/>
  <c r="Q187" i="1"/>
  <c r="R187" i="1"/>
  <c r="T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T188" i="1"/>
  <c r="U188" i="1"/>
  <c r="P189" i="1"/>
  <c r="Q189" i="1"/>
  <c r="R189" i="1"/>
  <c r="T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T190" i="1"/>
  <c r="U190" i="1"/>
  <c r="P191" i="1"/>
  <c r="Q191" i="1"/>
  <c r="R191" i="1"/>
  <c r="T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T192" i="1"/>
  <c r="U192" i="1"/>
  <c r="P193" i="1"/>
  <c r="Q193" i="1"/>
  <c r="R193" i="1"/>
  <c r="T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T194" i="1"/>
  <c r="U194" i="1"/>
  <c r="P195" i="1"/>
  <c r="Q195" i="1"/>
  <c r="R195" i="1"/>
  <c r="T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T196" i="1"/>
  <c r="U196" i="1"/>
  <c r="P197" i="1"/>
  <c r="Q197" i="1"/>
  <c r="R197" i="1"/>
  <c r="T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T198" i="1"/>
  <c r="U198" i="1"/>
  <c r="P199" i="1"/>
  <c r="Q199" i="1"/>
  <c r="R199" i="1"/>
  <c r="T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T200" i="1"/>
  <c r="U200" i="1"/>
  <c r="P201" i="1"/>
  <c r="Q201" i="1"/>
  <c r="R201" i="1"/>
  <c r="T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T202" i="1"/>
  <c r="U202" i="1"/>
  <c r="P203" i="1"/>
  <c r="Q203" i="1"/>
  <c r="R203" i="1"/>
  <c r="T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T204" i="1"/>
  <c r="U204" i="1"/>
  <c r="P205" i="1"/>
  <c r="Q205" i="1"/>
  <c r="R205" i="1"/>
  <c r="T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T206" i="1"/>
  <c r="U206" i="1"/>
  <c r="P207" i="1"/>
  <c r="Q207" i="1"/>
  <c r="R207" i="1"/>
  <c r="T207" i="1"/>
  <c r="U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T208" i="1"/>
  <c r="P209" i="1"/>
  <c r="Q209" i="1"/>
  <c r="R209" i="1"/>
  <c r="T209" i="1"/>
  <c r="U209" i="1"/>
  <c r="P210" i="1"/>
  <c r="Q210" i="1"/>
  <c r="R210" i="1"/>
  <c r="T210" i="1"/>
  <c r="U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T211" i="1"/>
  <c r="P212" i="1"/>
  <c r="Q212" i="1"/>
  <c r="R212" i="1"/>
  <c r="T212" i="1"/>
  <c r="P213" i="1"/>
  <c r="Q213" i="1"/>
  <c r="R213" i="1"/>
  <c r="T213" i="1"/>
  <c r="P214" i="1"/>
  <c r="Q214" i="1"/>
  <c r="R214" i="1"/>
  <c r="T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T215" i="1"/>
  <c r="U215" i="1"/>
  <c r="P216" i="1"/>
  <c r="Q216" i="1"/>
  <c r="R216" i="1"/>
  <c r="T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T217" i="1"/>
  <c r="U217" i="1"/>
  <c r="P218" i="1"/>
  <c r="Q218" i="1"/>
  <c r="R218" i="1"/>
  <c r="T218" i="1"/>
  <c r="U218" i="1"/>
  <c r="P219" i="1"/>
  <c r="Q219" i="1"/>
  <c r="R219" i="1"/>
  <c r="T219" i="1"/>
  <c r="U219" i="1"/>
  <c r="P220" i="1"/>
  <c r="Q220" i="1"/>
  <c r="R220" i="1"/>
  <c r="T220" i="1"/>
  <c r="U220" i="1"/>
  <c r="P221" i="1"/>
  <c r="Q221" i="1"/>
  <c r="R221" i="1"/>
  <c r="T221" i="1"/>
  <c r="U221" i="1"/>
  <c r="O222" i="1"/>
  <c r="P222" i="1"/>
  <c r="Q222" i="1"/>
  <c r="R222" i="1"/>
  <c r="T222" i="1"/>
  <c r="U222" i="1"/>
  <c r="O223" i="1"/>
  <c r="P223" i="1"/>
  <c r="Q223" i="1"/>
  <c r="R223" i="1"/>
  <c r="T223" i="1"/>
  <c r="U223" i="1"/>
  <c r="C224" i="1"/>
  <c r="P224" i="1"/>
  <c r="Q224" i="1"/>
  <c r="R224" i="1"/>
  <c r="T224" i="1"/>
  <c r="U224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F237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P242" i="1"/>
  <c r="Q242" i="1"/>
  <c r="R242" i="1"/>
  <c r="P243" i="1"/>
  <c r="Q243" i="1"/>
  <c r="R243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80" i="1"/>
  <c r="Q280" i="1"/>
  <c r="R280" i="1"/>
  <c r="P281" i="1"/>
  <c r="Q281" i="1"/>
  <c r="R281" i="1"/>
  <c r="P282" i="1"/>
  <c r="Q282" i="1"/>
  <c r="R282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9" i="1"/>
  <c r="Q289" i="1"/>
  <c r="R289" i="1"/>
  <c r="P290" i="1"/>
  <c r="Q290" i="1"/>
  <c r="R290" i="1"/>
  <c r="P291" i="1"/>
  <c r="Q291" i="1"/>
  <c r="R291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5" i="1"/>
  <c r="Q315" i="1"/>
  <c r="R315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P324" i="1"/>
  <c r="Q324" i="1"/>
  <c r="R324" i="1"/>
  <c r="P325" i="1"/>
  <c r="Q325" i="1"/>
  <c r="R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40" i="1"/>
  <c r="Q340" i="1"/>
  <c r="R340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P349" i="1"/>
  <c r="Q349" i="1"/>
  <c r="R349" i="1"/>
  <c r="P350" i="1"/>
  <c r="Q350" i="1"/>
  <c r="R350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P359" i="1"/>
  <c r="Q359" i="1"/>
  <c r="R359" i="1"/>
  <c r="F360" i="1"/>
  <c r="P360" i="1"/>
  <c r="Q360" i="1"/>
  <c r="R360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D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L369" i="1"/>
  <c r="O369" i="1"/>
  <c r="P369" i="1"/>
  <c r="Q369" i="1"/>
  <c r="R369" i="1"/>
  <c r="P370" i="1"/>
  <c r="Q370" i="1"/>
  <c r="R370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8" i="1"/>
  <c r="Q378" i="1"/>
  <c r="R378" i="1"/>
  <c r="P379" i="1"/>
  <c r="Q379" i="1"/>
  <c r="R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E386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8" i="1"/>
  <c r="Q398" i="1"/>
  <c r="R398" i="1"/>
  <c r="P399" i="1"/>
  <c r="Q399" i="1"/>
  <c r="R399" i="1"/>
  <c r="P400" i="1"/>
  <c r="Q400" i="1"/>
  <c r="R400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7" i="1"/>
  <c r="Q407" i="1"/>
  <c r="R407" i="1"/>
  <c r="P408" i="1"/>
  <c r="Q408" i="1"/>
  <c r="R408" i="1"/>
  <c r="P409" i="1"/>
  <c r="Q409" i="1"/>
  <c r="R409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I440" i="1"/>
  <c r="J440" i="1"/>
  <c r="P440" i="1"/>
  <c r="Q440" i="1"/>
  <c r="R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5" i="1"/>
  <c r="Q455" i="1"/>
  <c r="R455" i="1"/>
  <c r="P456" i="1"/>
  <c r="Q456" i="1"/>
  <c r="R456" i="1"/>
  <c r="P457" i="1"/>
  <c r="Q457" i="1"/>
  <c r="R457" i="1"/>
  <c r="C458" i="1"/>
  <c r="P458" i="1"/>
  <c r="Q458" i="1"/>
  <c r="R458" i="1"/>
  <c r="P459" i="1"/>
  <c r="Q459" i="1"/>
  <c r="R459" i="1"/>
  <c r="P460" i="1"/>
  <c r="Q460" i="1"/>
  <c r="R460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P474" i="1"/>
  <c r="Q474" i="1"/>
  <c r="R474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1" i="2"/>
  <c r="F1" i="2"/>
  <c r="O1" i="2"/>
  <c r="AA1" i="2"/>
  <c r="AO1" i="2"/>
  <c r="BA1" i="2"/>
  <c r="BO1" i="2"/>
  <c r="O2" i="2"/>
  <c r="AF2" i="2"/>
  <c r="AO2" i="2"/>
  <c r="BF2" i="2"/>
  <c r="BO2" i="2"/>
  <c r="F3" i="2"/>
  <c r="AF3" i="2"/>
  <c r="BF3" i="2"/>
  <c r="F4" i="2"/>
  <c r="AF4" i="2"/>
  <c r="BF4" i="2"/>
  <c r="C6" i="2"/>
  <c r="A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C9" i="2"/>
  <c r="E9" i="2"/>
  <c r="F9" i="2"/>
  <c r="G9" i="2"/>
  <c r="H9" i="2"/>
  <c r="I9" i="2"/>
  <c r="J9" i="2"/>
  <c r="K9" i="2"/>
  <c r="L9" i="2"/>
  <c r="M9" i="2"/>
  <c r="N9" i="2"/>
  <c r="O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AB11" i="2"/>
  <c r="B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A12" i="2"/>
  <c r="AB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A13" i="2"/>
  <c r="AB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A14" i="2"/>
  <c r="AB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B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A16" i="2"/>
  <c r="AB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A17" i="2"/>
  <c r="AB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A18" i="2"/>
  <c r="AB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AA19" i="2"/>
  <c r="AB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A20" i="2"/>
  <c r="AB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A21" i="2"/>
  <c r="AB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A22" i="2"/>
  <c r="AB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AB27" i="2"/>
  <c r="B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A29" i="2"/>
  <c r="AB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A30" i="2"/>
  <c r="AB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AB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AB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AB41" i="2"/>
  <c r="BB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AA42" i="2"/>
  <c r="AB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AA43" i="2"/>
  <c r="AB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A44" i="2"/>
  <c r="AB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AB55" i="2"/>
  <c r="BB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A56" i="2"/>
  <c r="AB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AA57" i="2"/>
  <c r="AB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AA58" i="2"/>
  <c r="AB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A59" i="2"/>
  <c r="AB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A60" i="2"/>
  <c r="AB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A61" i="2"/>
  <c r="AB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A62" i="2"/>
  <c r="AB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A63" i="2"/>
  <c r="AB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A64" i="2"/>
  <c r="AB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AB68" i="2"/>
  <c r="BB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A69" i="2"/>
  <c r="AB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AA70" i="2"/>
  <c r="AB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AA71" i="2"/>
  <c r="AB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A72" i="2"/>
  <c r="AB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AB76" i="2"/>
  <c r="BB76" i="2"/>
  <c r="AA77" i="2"/>
  <c r="AB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AA78" i="2"/>
  <c r="AB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AA79" i="2"/>
  <c r="AB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AB83" i="2"/>
  <c r="BB83" i="2"/>
  <c r="D84" i="2"/>
  <c r="E84" i="2"/>
  <c r="F84" i="2"/>
  <c r="G84" i="2"/>
  <c r="H84" i="2"/>
  <c r="I84" i="2"/>
  <c r="J84" i="2"/>
  <c r="K84" i="2"/>
  <c r="L84" i="2"/>
  <c r="M84" i="2"/>
  <c r="N84" i="2"/>
  <c r="O84" i="2"/>
  <c r="AB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D85" i="2"/>
  <c r="E85" i="2"/>
  <c r="F85" i="2"/>
  <c r="G85" i="2"/>
  <c r="H85" i="2"/>
  <c r="I85" i="2"/>
  <c r="J85" i="2"/>
  <c r="K85" i="2"/>
  <c r="L85" i="2"/>
  <c r="M85" i="2"/>
  <c r="N85" i="2"/>
  <c r="O85" i="2"/>
  <c r="AB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AB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AB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A99" i="2"/>
  <c r="F99" i="2"/>
  <c r="P99" i="2"/>
  <c r="AA99" i="2"/>
  <c r="AF99" i="2"/>
  <c r="AP99" i="2"/>
  <c r="P100" i="2"/>
  <c r="AP100" i="2"/>
  <c r="F101" i="2"/>
  <c r="AF101" i="2"/>
  <c r="F102" i="2"/>
  <c r="AF102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P134" i="2"/>
  <c r="A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AP144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154" i="2"/>
  <c r="F154" i="2"/>
  <c r="P154" i="2"/>
  <c r="AA154" i="2"/>
  <c r="AF154" i="2"/>
  <c r="AP154" i="2"/>
  <c r="P155" i="2"/>
  <c r="AP155" i="2"/>
  <c r="F156" i="2"/>
  <c r="AF156" i="2"/>
  <c r="F157" i="2"/>
  <c r="AF157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1" i="3"/>
  <c r="I1" i="3"/>
  <c r="V1" i="3"/>
  <c r="AA1" i="3"/>
  <c r="AD1" i="3"/>
  <c r="AQ1" i="3"/>
  <c r="V2" i="3"/>
  <c r="AD2" i="3"/>
  <c r="AQ2" i="3"/>
  <c r="I3" i="3"/>
  <c r="AD3" i="3"/>
  <c r="I4" i="3"/>
  <c r="AD4" i="3"/>
  <c r="D5" i="3"/>
  <c r="E5" i="3"/>
  <c r="F5" i="3"/>
  <c r="G5" i="3"/>
  <c r="H5" i="3"/>
  <c r="I5" i="3"/>
  <c r="J5" i="3"/>
  <c r="K5" i="3"/>
  <c r="L5" i="3"/>
  <c r="M5" i="3"/>
  <c r="N5" i="3"/>
  <c r="O5" i="3"/>
  <c r="V5" i="3"/>
  <c r="AF5" i="3"/>
  <c r="AH5" i="3"/>
  <c r="AK5" i="3"/>
  <c r="D6" i="3"/>
  <c r="E6" i="3"/>
  <c r="F6" i="3"/>
  <c r="G6" i="3"/>
  <c r="H6" i="3"/>
  <c r="I6" i="3"/>
  <c r="J6" i="3"/>
  <c r="K6" i="3"/>
  <c r="L6" i="3"/>
  <c r="M6" i="3"/>
  <c r="N6" i="3"/>
  <c r="O6" i="3"/>
  <c r="P6" i="3"/>
  <c r="R6" i="3"/>
  <c r="V6" i="3"/>
  <c r="AB6" i="3"/>
  <c r="AD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AB7" i="3"/>
  <c r="AC7" i="3"/>
  <c r="AD7" i="3"/>
  <c r="AF7" i="3"/>
  <c r="AG7" i="3"/>
  <c r="AH7" i="3"/>
  <c r="AJ7" i="3"/>
  <c r="AM7" i="3"/>
  <c r="AQ7" i="3"/>
  <c r="A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V9" i="3"/>
  <c r="AA9" i="3"/>
  <c r="AB9" i="3"/>
  <c r="AC9" i="3"/>
  <c r="AD9" i="3"/>
  <c r="AF9" i="3"/>
  <c r="AG9" i="3"/>
  <c r="AH9" i="3"/>
  <c r="AJ9" i="3"/>
  <c r="AK9" i="3"/>
  <c r="AN9" i="3"/>
  <c r="AQ9" i="3"/>
  <c r="A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V11" i="3"/>
  <c r="AA11" i="3"/>
  <c r="AB11" i="3"/>
  <c r="AC11" i="3"/>
  <c r="AD11" i="3"/>
  <c r="AF11" i="3"/>
  <c r="AG11" i="3"/>
  <c r="AH11" i="3"/>
  <c r="AJ11" i="3"/>
  <c r="AK11" i="3"/>
  <c r="AN11" i="3"/>
  <c r="A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T12" i="3"/>
  <c r="U12" i="3"/>
  <c r="V12" i="3"/>
  <c r="AA12" i="3"/>
  <c r="AB12" i="3"/>
  <c r="AC12" i="3"/>
  <c r="AD12" i="3"/>
  <c r="AF12" i="3"/>
  <c r="AG12" i="3"/>
  <c r="AH12" i="3"/>
  <c r="AJ12" i="3"/>
  <c r="AK12" i="3"/>
  <c r="AN12" i="3"/>
  <c r="A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V13" i="3"/>
  <c r="AA13" i="3"/>
  <c r="AB13" i="3"/>
  <c r="AC13" i="3"/>
  <c r="AD13" i="3"/>
  <c r="AF13" i="3"/>
  <c r="AG13" i="3"/>
  <c r="AH13" i="3"/>
  <c r="AJ13" i="3"/>
  <c r="AK13" i="3"/>
  <c r="AN13" i="3"/>
  <c r="AQ13" i="3"/>
  <c r="A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V16" i="3"/>
  <c r="AA16" i="3"/>
  <c r="AB16" i="3"/>
  <c r="AC16" i="3"/>
  <c r="AD16" i="3"/>
  <c r="AF16" i="3"/>
  <c r="AG16" i="3"/>
  <c r="AH16" i="3"/>
  <c r="AJ16" i="3"/>
  <c r="AK16" i="3"/>
  <c r="AN16" i="3"/>
  <c r="A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V17" i="3"/>
  <c r="AA17" i="3"/>
  <c r="AB17" i="3"/>
  <c r="AC17" i="3"/>
  <c r="AD17" i="3"/>
  <c r="AF17" i="3"/>
  <c r="AG17" i="3"/>
  <c r="AH17" i="3"/>
  <c r="AJ17" i="3"/>
  <c r="AK17" i="3"/>
  <c r="AN17" i="3"/>
  <c r="A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V18" i="3"/>
  <c r="AA18" i="3"/>
  <c r="AB18" i="3"/>
  <c r="AC18" i="3"/>
  <c r="AD18" i="3"/>
  <c r="AF18" i="3"/>
  <c r="AG18" i="3"/>
  <c r="AH18" i="3"/>
  <c r="AJ18" i="3"/>
  <c r="AK18" i="3"/>
  <c r="AN18" i="3"/>
  <c r="A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V19" i="3"/>
  <c r="AA19" i="3"/>
  <c r="AB19" i="3"/>
  <c r="AC19" i="3"/>
  <c r="AD19" i="3"/>
  <c r="AF19" i="3"/>
  <c r="AG19" i="3"/>
  <c r="AH19" i="3"/>
  <c r="AJ19" i="3"/>
  <c r="AK19" i="3"/>
  <c r="AN19" i="3"/>
  <c r="A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V20" i="3"/>
  <c r="AA20" i="3"/>
  <c r="AB20" i="3"/>
  <c r="AC20" i="3"/>
  <c r="AD20" i="3"/>
  <c r="AF20" i="3"/>
  <c r="AG20" i="3"/>
  <c r="AH20" i="3"/>
  <c r="AJ20" i="3"/>
  <c r="AK20" i="3"/>
  <c r="AN20" i="3"/>
  <c r="A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V21" i="3"/>
  <c r="AA21" i="3"/>
  <c r="AB21" i="3"/>
  <c r="AC21" i="3"/>
  <c r="AD21" i="3"/>
  <c r="AF21" i="3"/>
  <c r="AG21" i="3"/>
  <c r="AH21" i="3"/>
  <c r="AJ21" i="3"/>
  <c r="AK21" i="3"/>
  <c r="AN21" i="3"/>
  <c r="A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V22" i="3"/>
  <c r="AA22" i="3"/>
  <c r="AB22" i="3"/>
  <c r="AC22" i="3"/>
  <c r="AD22" i="3"/>
  <c r="AF22" i="3"/>
  <c r="AG22" i="3"/>
  <c r="AH22" i="3"/>
  <c r="AJ22" i="3"/>
  <c r="AK22" i="3"/>
  <c r="AN22" i="3"/>
  <c r="A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V23" i="3"/>
  <c r="AA23" i="3"/>
  <c r="AB23" i="3"/>
  <c r="AC23" i="3"/>
  <c r="AD23" i="3"/>
  <c r="AF23" i="3"/>
  <c r="AG23" i="3"/>
  <c r="AH23" i="3"/>
  <c r="AJ23" i="3"/>
  <c r="AK23" i="3"/>
  <c r="AN23" i="3"/>
  <c r="A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V24" i="3"/>
  <c r="AA24" i="3"/>
  <c r="AB24" i="3"/>
  <c r="AC24" i="3"/>
  <c r="AD24" i="3"/>
  <c r="AF24" i="3"/>
  <c r="AG24" i="3"/>
  <c r="AH24" i="3"/>
  <c r="AJ24" i="3"/>
  <c r="AK24" i="3"/>
  <c r="AN24" i="3"/>
  <c r="A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V25" i="3"/>
  <c r="AA25" i="3"/>
  <c r="AB25" i="3"/>
  <c r="AC25" i="3"/>
  <c r="AD25" i="3"/>
  <c r="AF25" i="3"/>
  <c r="AG25" i="3"/>
  <c r="AH25" i="3"/>
  <c r="AJ25" i="3"/>
  <c r="AK25" i="3"/>
  <c r="AN25" i="3"/>
  <c r="AQ25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V27" i="3"/>
  <c r="AA27" i="3"/>
  <c r="AB27" i="3"/>
  <c r="AC27" i="3"/>
  <c r="AD27" i="3"/>
  <c r="AF27" i="3"/>
  <c r="AG27" i="3"/>
  <c r="AH27" i="3"/>
  <c r="AJ27" i="3"/>
  <c r="AK27" i="3"/>
  <c r="AN27" i="3"/>
  <c r="AQ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V28" i="3"/>
  <c r="AA28" i="3"/>
  <c r="AB28" i="3"/>
  <c r="AC28" i="3"/>
  <c r="AD28" i="3"/>
  <c r="AF28" i="3"/>
  <c r="AG28" i="3"/>
  <c r="AH28" i="3"/>
  <c r="AJ28" i="3"/>
  <c r="AK28" i="3"/>
  <c r="AN28" i="3"/>
  <c r="A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V29" i="3"/>
  <c r="AA29" i="3"/>
  <c r="AB29" i="3"/>
  <c r="AC29" i="3"/>
  <c r="AD29" i="3"/>
  <c r="AF29" i="3"/>
  <c r="AG29" i="3"/>
  <c r="AH29" i="3"/>
  <c r="AJ29" i="3"/>
  <c r="AK29" i="3"/>
  <c r="AN29" i="3"/>
  <c r="A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V30" i="3"/>
  <c r="AA30" i="3"/>
  <c r="AB30" i="3"/>
  <c r="AC30" i="3"/>
  <c r="AD30" i="3"/>
  <c r="AF30" i="3"/>
  <c r="AG30" i="3"/>
  <c r="AH30" i="3"/>
  <c r="AJ30" i="3"/>
  <c r="AK30" i="3"/>
  <c r="AN30" i="3"/>
  <c r="A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T31" i="3"/>
  <c r="U31" i="3"/>
  <c r="V31" i="3"/>
  <c r="AA31" i="3"/>
  <c r="AB31" i="3"/>
  <c r="AC31" i="3"/>
  <c r="AD31" i="3"/>
  <c r="AF31" i="3"/>
  <c r="AG31" i="3"/>
  <c r="AH31" i="3"/>
  <c r="AJ31" i="3"/>
  <c r="AK31" i="3"/>
  <c r="AN31" i="3"/>
  <c r="A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T32" i="3"/>
  <c r="V32" i="3"/>
  <c r="AA32" i="3"/>
  <c r="AB32" i="3"/>
  <c r="AC32" i="3"/>
  <c r="AD32" i="3"/>
  <c r="AF32" i="3"/>
  <c r="AG32" i="3"/>
  <c r="AH32" i="3"/>
  <c r="AJ32" i="3"/>
  <c r="AK32" i="3"/>
  <c r="AN32" i="3"/>
  <c r="AQ32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T34" i="3"/>
  <c r="U34" i="3"/>
  <c r="V34" i="3"/>
  <c r="AA34" i="3"/>
  <c r="AB34" i="3"/>
  <c r="AC34" i="3"/>
  <c r="AD34" i="3"/>
  <c r="AF34" i="3"/>
  <c r="AG34" i="3"/>
  <c r="AH34" i="3"/>
  <c r="AJ34" i="3"/>
  <c r="AK34" i="3"/>
  <c r="AM34" i="3"/>
  <c r="AN34" i="3"/>
  <c r="AP34" i="3"/>
  <c r="AQ34" i="3"/>
  <c r="AA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V37" i="3"/>
  <c r="AA37" i="3"/>
  <c r="AB37" i="3"/>
  <c r="AC37" i="3"/>
  <c r="AD37" i="3"/>
  <c r="AF37" i="3"/>
  <c r="AG37" i="3"/>
  <c r="AH37" i="3"/>
  <c r="AJ37" i="3"/>
  <c r="AK37" i="3"/>
  <c r="AN37" i="3"/>
  <c r="AQ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V38" i="3"/>
  <c r="AA38" i="3"/>
  <c r="AB38" i="3"/>
  <c r="AC38" i="3"/>
  <c r="AD38" i="3"/>
  <c r="AF38" i="3"/>
  <c r="AG38" i="3"/>
  <c r="AH38" i="3"/>
  <c r="AJ38" i="3"/>
  <c r="AK38" i="3"/>
  <c r="AN38" i="3"/>
  <c r="AQ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V39" i="3"/>
  <c r="AA39" i="3"/>
  <c r="AB39" i="3"/>
  <c r="AC39" i="3"/>
  <c r="AD39" i="3"/>
  <c r="AF39" i="3"/>
  <c r="AG39" i="3"/>
  <c r="AH39" i="3"/>
  <c r="AJ39" i="3"/>
  <c r="AK39" i="3"/>
  <c r="AN39" i="3"/>
  <c r="AQ39" i="3"/>
  <c r="P40" i="3"/>
  <c r="Q40" i="3"/>
  <c r="R40" i="3"/>
  <c r="V40" i="3"/>
  <c r="AA40" i="3"/>
  <c r="AB40" i="3"/>
  <c r="AC40" i="3"/>
  <c r="AD40" i="3"/>
  <c r="AF40" i="3"/>
  <c r="AG40" i="3"/>
  <c r="AH40" i="3"/>
  <c r="AJ40" i="3"/>
  <c r="AK40" i="3"/>
  <c r="AN40" i="3"/>
  <c r="AQ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V41" i="3"/>
  <c r="AA41" i="3"/>
  <c r="AB41" i="3"/>
  <c r="AC41" i="3"/>
  <c r="AD41" i="3"/>
  <c r="AF41" i="3"/>
  <c r="AG41" i="3"/>
  <c r="AH41" i="3"/>
  <c r="AJ41" i="3"/>
  <c r="AK41" i="3"/>
  <c r="AN41" i="3"/>
  <c r="AQ41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T43" i="3"/>
  <c r="U43" i="3"/>
  <c r="V43" i="3"/>
  <c r="AA43" i="3"/>
  <c r="AB43" i="3"/>
  <c r="AC43" i="3"/>
  <c r="AD43" i="3"/>
  <c r="AF43" i="3"/>
  <c r="AG43" i="3"/>
  <c r="AH43" i="3"/>
  <c r="AJ43" i="3"/>
  <c r="AK43" i="3"/>
  <c r="AM43" i="3"/>
  <c r="AN43" i="3"/>
  <c r="AP43" i="3"/>
  <c r="AQ43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T45" i="3"/>
  <c r="U45" i="3"/>
  <c r="V45" i="3"/>
  <c r="AA45" i="3"/>
  <c r="AB45" i="3"/>
  <c r="AC45" i="3"/>
  <c r="AD45" i="3"/>
  <c r="AF45" i="3"/>
  <c r="AG45" i="3"/>
  <c r="AH45" i="3"/>
  <c r="AJ45" i="3"/>
  <c r="AK45" i="3"/>
  <c r="AM45" i="3"/>
  <c r="AN45" i="3"/>
  <c r="AP45" i="3"/>
  <c r="AQ45" i="3"/>
  <c r="AA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V48" i="3"/>
  <c r="AA48" i="3"/>
  <c r="AB48" i="3"/>
  <c r="AC48" i="3"/>
  <c r="AD48" i="3"/>
  <c r="AF48" i="3"/>
  <c r="AG48" i="3"/>
  <c r="AH48" i="3"/>
  <c r="AJ48" i="3"/>
  <c r="AK48" i="3"/>
  <c r="AN48" i="3"/>
  <c r="AQ48" i="3"/>
  <c r="P49" i="3"/>
  <c r="Q49" i="3"/>
  <c r="R49" i="3"/>
  <c r="V49" i="3"/>
  <c r="AA49" i="3"/>
  <c r="AB49" i="3"/>
  <c r="AC49" i="3"/>
  <c r="AD49" i="3"/>
  <c r="AF49" i="3"/>
  <c r="AG49" i="3"/>
  <c r="AH49" i="3"/>
  <c r="AJ49" i="3"/>
  <c r="AK49" i="3"/>
  <c r="AN49" i="3"/>
  <c r="AQ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V50" i="3"/>
  <c r="AA50" i="3"/>
  <c r="AB50" i="3"/>
  <c r="AC50" i="3"/>
  <c r="AD50" i="3"/>
  <c r="AF50" i="3"/>
  <c r="AG50" i="3"/>
  <c r="AH50" i="3"/>
  <c r="AJ50" i="3"/>
  <c r="AK50" i="3"/>
  <c r="AN50" i="3"/>
  <c r="AQ50" i="3"/>
  <c r="P51" i="3"/>
  <c r="Q51" i="3"/>
  <c r="R51" i="3"/>
  <c r="V51" i="3"/>
  <c r="AA51" i="3"/>
  <c r="AB51" i="3"/>
  <c r="AC51" i="3"/>
  <c r="AD51" i="3"/>
  <c r="AF51" i="3"/>
  <c r="AG51" i="3"/>
  <c r="AH51" i="3"/>
  <c r="AJ51" i="3"/>
  <c r="AK51" i="3"/>
  <c r="AN51" i="3"/>
  <c r="AQ51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T53" i="3"/>
  <c r="U53" i="3"/>
  <c r="V53" i="3"/>
  <c r="AA53" i="3"/>
  <c r="AB53" i="3"/>
  <c r="AC53" i="3"/>
  <c r="AD53" i="3"/>
  <c r="AF53" i="3"/>
  <c r="AG53" i="3"/>
  <c r="AH53" i="3"/>
  <c r="AJ53" i="3"/>
  <c r="AK53" i="3"/>
  <c r="AM53" i="3"/>
  <c r="AN53" i="3"/>
  <c r="AP53" i="3"/>
  <c r="AQ53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T55" i="3"/>
  <c r="U55" i="3"/>
  <c r="V55" i="3"/>
  <c r="AA55" i="3"/>
  <c r="AB55" i="3"/>
  <c r="AC55" i="3"/>
  <c r="AD55" i="3"/>
  <c r="AF55" i="3"/>
  <c r="AG55" i="3"/>
  <c r="AH55" i="3"/>
  <c r="AJ55" i="3"/>
  <c r="AK55" i="3"/>
  <c r="AM55" i="3"/>
  <c r="AN55" i="3"/>
  <c r="AP55" i="3"/>
  <c r="AQ55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V57" i="3"/>
  <c r="AA57" i="3"/>
  <c r="AB57" i="3"/>
  <c r="AC57" i="3"/>
  <c r="AD57" i="3"/>
  <c r="AF57" i="3"/>
  <c r="AG57" i="3"/>
  <c r="AH57" i="3"/>
  <c r="AJ57" i="3"/>
  <c r="AK57" i="3"/>
  <c r="AN57" i="3"/>
  <c r="AQ57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T59" i="3"/>
  <c r="U59" i="3"/>
  <c r="V59" i="3"/>
  <c r="AA59" i="3"/>
  <c r="AB59" i="3"/>
  <c r="AC59" i="3"/>
  <c r="AD59" i="3"/>
  <c r="AF59" i="3"/>
  <c r="AG59" i="3"/>
  <c r="AH59" i="3"/>
  <c r="AJ59" i="3"/>
  <c r="AK59" i="3"/>
  <c r="AM59" i="3"/>
  <c r="AN59" i="3"/>
  <c r="AP59" i="3"/>
  <c r="AQ59" i="3"/>
  <c r="A62" i="3"/>
  <c r="I62" i="3"/>
  <c r="V62" i="3"/>
  <c r="AA62" i="3"/>
  <c r="AD62" i="3"/>
  <c r="AQ62" i="3"/>
  <c r="V63" i="3"/>
  <c r="AD63" i="3"/>
  <c r="AQ63" i="3"/>
  <c r="I64" i="3"/>
  <c r="AD64" i="3"/>
  <c r="I65" i="3"/>
  <c r="AD65" i="3"/>
  <c r="T66" i="3"/>
  <c r="V66" i="3"/>
  <c r="AF66" i="3"/>
  <c r="AH66" i="3"/>
  <c r="AK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T67" i="3"/>
  <c r="U67" i="3"/>
  <c r="V67" i="3"/>
  <c r="AB67" i="3"/>
  <c r="AC67" i="3"/>
  <c r="AD67" i="3"/>
  <c r="AF67" i="3"/>
  <c r="AG67" i="3"/>
  <c r="AH67" i="3"/>
  <c r="AJ67" i="3"/>
  <c r="AM67" i="3"/>
  <c r="AP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T68" i="3"/>
  <c r="U68" i="3"/>
  <c r="V68" i="3"/>
  <c r="AB68" i="3"/>
  <c r="AC68" i="3"/>
  <c r="AD68" i="3"/>
  <c r="AF68" i="3"/>
  <c r="AG68" i="3"/>
  <c r="AH68" i="3"/>
  <c r="AJ68" i="3"/>
  <c r="AK68" i="3"/>
  <c r="AM68" i="3"/>
  <c r="AN68" i="3"/>
  <c r="AP68" i="3"/>
  <c r="AQ68" i="3"/>
  <c r="AA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T71" i="3"/>
  <c r="U71" i="3"/>
  <c r="V71" i="3"/>
  <c r="AA71" i="3"/>
  <c r="AB71" i="3"/>
  <c r="AC71" i="3"/>
  <c r="AD71" i="3"/>
  <c r="AF71" i="3"/>
  <c r="AG71" i="3"/>
  <c r="AH71" i="3"/>
  <c r="AJ71" i="3"/>
  <c r="AK71" i="3"/>
  <c r="AM71" i="3"/>
  <c r="AN71" i="3"/>
  <c r="AP71" i="3"/>
  <c r="AQ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T72" i="3"/>
  <c r="U72" i="3"/>
  <c r="V72" i="3"/>
  <c r="AA72" i="3"/>
  <c r="AB72" i="3"/>
  <c r="AC72" i="3"/>
  <c r="AD72" i="3"/>
  <c r="AF72" i="3"/>
  <c r="AG72" i="3"/>
  <c r="AH72" i="3"/>
  <c r="AJ72" i="3"/>
  <c r="AK72" i="3"/>
  <c r="AM72" i="3"/>
  <c r="AN72" i="3"/>
  <c r="AP72" i="3"/>
  <c r="AQ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T73" i="3"/>
  <c r="U73" i="3"/>
  <c r="V73" i="3"/>
  <c r="AA73" i="3"/>
  <c r="AB73" i="3"/>
  <c r="AC73" i="3"/>
  <c r="AD73" i="3"/>
  <c r="AF73" i="3"/>
  <c r="AG73" i="3"/>
  <c r="AH73" i="3"/>
  <c r="AJ73" i="3"/>
  <c r="AK73" i="3"/>
  <c r="AM73" i="3"/>
  <c r="AN73" i="3"/>
  <c r="AP73" i="3"/>
  <c r="AQ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T74" i="3"/>
  <c r="U74" i="3"/>
  <c r="V74" i="3"/>
  <c r="AA74" i="3"/>
  <c r="AB74" i="3"/>
  <c r="AC74" i="3"/>
  <c r="AD74" i="3"/>
  <c r="AF74" i="3"/>
  <c r="AG74" i="3"/>
  <c r="AH74" i="3"/>
  <c r="AJ74" i="3"/>
  <c r="AK74" i="3"/>
  <c r="AM74" i="3"/>
  <c r="AN74" i="3"/>
  <c r="AP74" i="3"/>
  <c r="AQ74" i="3"/>
  <c r="P75" i="3"/>
  <c r="Q75" i="3"/>
  <c r="R75" i="3"/>
  <c r="AA75" i="3"/>
  <c r="AB75" i="3"/>
  <c r="AC75" i="3"/>
  <c r="AD75" i="3"/>
  <c r="AF75" i="3"/>
  <c r="AH75" i="3"/>
  <c r="AJ75" i="3"/>
  <c r="AK75" i="3"/>
  <c r="AN75" i="3"/>
  <c r="AQ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T76" i="3"/>
  <c r="U76" i="3"/>
  <c r="V76" i="3"/>
  <c r="AA76" i="3"/>
  <c r="AB76" i="3"/>
  <c r="AC76" i="3"/>
  <c r="AD76" i="3"/>
  <c r="AF76" i="3"/>
  <c r="AG76" i="3"/>
  <c r="AH76" i="3"/>
  <c r="AJ76" i="3"/>
  <c r="AK76" i="3"/>
  <c r="AM76" i="3"/>
  <c r="AN76" i="3"/>
  <c r="AP76" i="3"/>
  <c r="AQ76" i="3"/>
  <c r="P77" i="3"/>
  <c r="Q77" i="3"/>
  <c r="R77" i="3"/>
  <c r="AA77" i="3"/>
  <c r="AB77" i="3"/>
  <c r="AC77" i="3"/>
  <c r="AD77" i="3"/>
  <c r="AF77" i="3"/>
  <c r="AH77" i="3"/>
  <c r="AJ77" i="3"/>
  <c r="AK77" i="3"/>
  <c r="AN77" i="3"/>
  <c r="AQ77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T79" i="3"/>
  <c r="U79" i="3"/>
  <c r="V79" i="3"/>
  <c r="AA79" i="3"/>
  <c r="AB79" i="3"/>
  <c r="AC79" i="3"/>
  <c r="AD79" i="3"/>
  <c r="AF79" i="3"/>
  <c r="AG79" i="3"/>
  <c r="AH79" i="3"/>
  <c r="AJ79" i="3"/>
  <c r="AK79" i="3"/>
  <c r="AM79" i="3"/>
  <c r="AN79" i="3"/>
  <c r="AP79" i="3"/>
  <c r="AQ79" i="3"/>
  <c r="AA81" i="3"/>
  <c r="P82" i="3"/>
  <c r="Q82" i="3"/>
  <c r="R82" i="3"/>
  <c r="AA82" i="3"/>
  <c r="AB82" i="3"/>
  <c r="AC82" i="3"/>
  <c r="AD82" i="3"/>
  <c r="AF82" i="3"/>
  <c r="AH82" i="3"/>
  <c r="AJ82" i="3"/>
  <c r="AK82" i="3"/>
  <c r="AN82" i="3"/>
  <c r="AQ82" i="3"/>
  <c r="P83" i="3"/>
  <c r="Q83" i="3"/>
  <c r="R83" i="3"/>
  <c r="AA83" i="3"/>
  <c r="AB83" i="3"/>
  <c r="AC83" i="3"/>
  <c r="AD83" i="3"/>
  <c r="AF83" i="3"/>
  <c r="AH83" i="3"/>
  <c r="AJ83" i="3"/>
  <c r="AK83" i="3"/>
  <c r="AN83" i="3"/>
  <c r="AQ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T84" i="3"/>
  <c r="U84" i="3"/>
  <c r="V84" i="3"/>
  <c r="AA84" i="3"/>
  <c r="AB84" i="3"/>
  <c r="AC84" i="3"/>
  <c r="AD84" i="3"/>
  <c r="AF84" i="3"/>
  <c r="AG84" i="3"/>
  <c r="AH84" i="3"/>
  <c r="AJ84" i="3"/>
  <c r="AK84" i="3"/>
  <c r="AM84" i="3"/>
  <c r="AN84" i="3"/>
  <c r="AP84" i="3"/>
  <c r="AQ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T85" i="3"/>
  <c r="U85" i="3"/>
  <c r="V85" i="3"/>
  <c r="AA85" i="3"/>
  <c r="AB85" i="3"/>
  <c r="AC85" i="3"/>
  <c r="AD85" i="3"/>
  <c r="AF85" i="3"/>
  <c r="AG85" i="3"/>
  <c r="AH85" i="3"/>
  <c r="AJ85" i="3"/>
  <c r="AK85" i="3"/>
  <c r="AM85" i="3"/>
  <c r="AN85" i="3"/>
  <c r="AP85" i="3"/>
  <c r="AQ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T86" i="3"/>
  <c r="U86" i="3"/>
  <c r="V86" i="3"/>
  <c r="AA86" i="3"/>
  <c r="AB86" i="3"/>
  <c r="AC86" i="3"/>
  <c r="AD86" i="3"/>
  <c r="AF86" i="3"/>
  <c r="AG86" i="3"/>
  <c r="AH86" i="3"/>
  <c r="AJ86" i="3"/>
  <c r="AK86" i="3"/>
  <c r="AM86" i="3"/>
  <c r="AN86" i="3"/>
  <c r="AP86" i="3"/>
  <c r="A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T87" i="3"/>
  <c r="U87" i="3"/>
  <c r="V87" i="3"/>
  <c r="AA87" i="3"/>
  <c r="AB87" i="3"/>
  <c r="AC87" i="3"/>
  <c r="AD87" i="3"/>
  <c r="AF87" i="3"/>
  <c r="AG87" i="3"/>
  <c r="AH87" i="3"/>
  <c r="AJ87" i="3"/>
  <c r="AK87" i="3"/>
  <c r="AM87" i="3"/>
  <c r="AN87" i="3"/>
  <c r="AP87" i="3"/>
  <c r="A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T88" i="3"/>
  <c r="U88" i="3"/>
  <c r="V88" i="3"/>
  <c r="AA88" i="3"/>
  <c r="AB88" i="3"/>
  <c r="AC88" i="3"/>
  <c r="AD88" i="3"/>
  <c r="AF88" i="3"/>
  <c r="AG88" i="3"/>
  <c r="AH88" i="3"/>
  <c r="AJ88" i="3"/>
  <c r="AK88" i="3"/>
  <c r="AM88" i="3"/>
  <c r="AN88" i="3"/>
  <c r="AP88" i="3"/>
  <c r="AQ88" i="3"/>
  <c r="P89" i="3"/>
  <c r="Q89" i="3"/>
  <c r="R89" i="3"/>
  <c r="AA89" i="3"/>
  <c r="AB89" i="3"/>
  <c r="AC89" i="3"/>
  <c r="AD89" i="3"/>
  <c r="AF89" i="3"/>
  <c r="AH89" i="3"/>
  <c r="AJ89" i="3"/>
  <c r="AK89" i="3"/>
  <c r="AN89" i="3"/>
  <c r="AQ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T90" i="3"/>
  <c r="U90" i="3"/>
  <c r="V90" i="3"/>
  <c r="AA90" i="3"/>
  <c r="AB90" i="3"/>
  <c r="AC90" i="3"/>
  <c r="AD90" i="3"/>
  <c r="AF90" i="3"/>
  <c r="AG90" i="3"/>
  <c r="AH90" i="3"/>
  <c r="AJ90" i="3"/>
  <c r="AK90" i="3"/>
  <c r="AM90" i="3"/>
  <c r="AN90" i="3"/>
  <c r="AP90" i="3"/>
  <c r="AQ90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T92" i="3"/>
  <c r="U92" i="3"/>
  <c r="V92" i="3"/>
  <c r="AA92" i="3"/>
  <c r="AB92" i="3"/>
  <c r="AC92" i="3"/>
  <c r="AD92" i="3"/>
  <c r="AF92" i="3"/>
  <c r="AG92" i="3"/>
  <c r="AH92" i="3"/>
  <c r="AJ92" i="3"/>
  <c r="AK92" i="3"/>
  <c r="AM92" i="3"/>
  <c r="AN92" i="3"/>
  <c r="AP92" i="3"/>
  <c r="AQ92" i="3"/>
  <c r="AA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T95" i="3"/>
  <c r="U95" i="3"/>
  <c r="V95" i="3"/>
  <c r="AA95" i="3"/>
  <c r="AB95" i="3"/>
  <c r="AC95" i="3"/>
  <c r="AD95" i="3"/>
  <c r="AF95" i="3"/>
  <c r="AG95" i="3"/>
  <c r="AH95" i="3"/>
  <c r="AJ95" i="3"/>
  <c r="AK95" i="3"/>
  <c r="AM95" i="3"/>
  <c r="AN95" i="3"/>
  <c r="AP95" i="3"/>
  <c r="AQ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T96" i="3"/>
  <c r="U96" i="3"/>
  <c r="V96" i="3"/>
  <c r="AA96" i="3"/>
  <c r="AB96" i="3"/>
  <c r="AC96" i="3"/>
  <c r="AD96" i="3"/>
  <c r="AF96" i="3"/>
  <c r="AG96" i="3"/>
  <c r="AH96" i="3"/>
  <c r="AJ96" i="3"/>
  <c r="AK96" i="3"/>
  <c r="AM96" i="3"/>
  <c r="AN96" i="3"/>
  <c r="AP96" i="3"/>
  <c r="AQ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T97" i="3"/>
  <c r="U97" i="3"/>
  <c r="V97" i="3"/>
  <c r="AA97" i="3"/>
  <c r="AB97" i="3"/>
  <c r="AC97" i="3"/>
  <c r="AD97" i="3"/>
  <c r="AF97" i="3"/>
  <c r="AG97" i="3"/>
  <c r="AH97" i="3"/>
  <c r="AJ97" i="3"/>
  <c r="AK97" i="3"/>
  <c r="AM97" i="3"/>
  <c r="AN97" i="3"/>
  <c r="AP97" i="3"/>
  <c r="AQ97" i="3"/>
  <c r="P98" i="3"/>
  <c r="Q98" i="3"/>
  <c r="R98" i="3"/>
  <c r="AA98" i="3"/>
  <c r="AB98" i="3"/>
  <c r="AC98" i="3"/>
  <c r="AD98" i="3"/>
  <c r="AF98" i="3"/>
  <c r="AH98" i="3"/>
  <c r="AJ98" i="3"/>
  <c r="AK98" i="3"/>
  <c r="AN98" i="3"/>
  <c r="AQ98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T100" i="3"/>
  <c r="U100" i="3"/>
  <c r="V100" i="3"/>
  <c r="AA100" i="3"/>
  <c r="AB100" i="3"/>
  <c r="AC100" i="3"/>
  <c r="AD100" i="3"/>
  <c r="AF100" i="3"/>
  <c r="AG100" i="3"/>
  <c r="AH100" i="3"/>
  <c r="AJ100" i="3"/>
  <c r="AK100" i="3"/>
  <c r="AM100" i="3"/>
  <c r="AN100" i="3"/>
  <c r="AP100" i="3"/>
  <c r="AQ100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T102" i="3"/>
  <c r="U102" i="3"/>
  <c r="V102" i="3"/>
  <c r="AA102" i="3"/>
  <c r="AB102" i="3"/>
  <c r="AC102" i="3"/>
  <c r="AD102" i="3"/>
  <c r="AF102" i="3"/>
  <c r="AG102" i="3"/>
  <c r="AH102" i="3"/>
  <c r="AJ102" i="3"/>
  <c r="AK102" i="3"/>
  <c r="AM102" i="3"/>
  <c r="AN102" i="3"/>
  <c r="AP102" i="3"/>
  <c r="AQ102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T104" i="3"/>
  <c r="U104" i="3"/>
  <c r="V104" i="3"/>
  <c r="AA104" i="3"/>
  <c r="AB104" i="3"/>
  <c r="AC104" i="3"/>
  <c r="AD104" i="3"/>
  <c r="AF104" i="3"/>
  <c r="AG104" i="3"/>
  <c r="AH104" i="3"/>
  <c r="AJ104" i="3"/>
  <c r="AK104" i="3"/>
  <c r="AM104" i="3"/>
  <c r="AN104" i="3"/>
  <c r="AP104" i="3"/>
  <c r="AQ104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T107" i="3"/>
  <c r="U107" i="3"/>
  <c r="V107" i="3"/>
  <c r="AA107" i="3"/>
  <c r="AB107" i="3"/>
  <c r="AC107" i="3"/>
  <c r="AD107" i="3"/>
  <c r="AF107" i="3"/>
  <c r="AG107" i="3"/>
  <c r="AH107" i="3"/>
  <c r="AJ107" i="3"/>
  <c r="AK107" i="3"/>
  <c r="AM107" i="3"/>
  <c r="AN107" i="3"/>
  <c r="AP107" i="3"/>
  <c r="AQ107" i="3"/>
  <c r="AA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T111" i="3"/>
  <c r="U111" i="3"/>
  <c r="V111" i="3"/>
  <c r="AA111" i="3"/>
  <c r="AB111" i="3"/>
  <c r="AC111" i="3"/>
  <c r="AD111" i="3"/>
  <c r="AF111" i="3"/>
  <c r="AG111" i="3"/>
  <c r="AH111" i="3"/>
  <c r="AJ111" i="3"/>
  <c r="AK111" i="3"/>
  <c r="AM111" i="3"/>
  <c r="AN111" i="3"/>
  <c r="AP111" i="3"/>
  <c r="AQ111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T113" i="3"/>
  <c r="U113" i="3"/>
  <c r="V113" i="3"/>
  <c r="AA113" i="3"/>
  <c r="AB113" i="3"/>
  <c r="AC113" i="3"/>
  <c r="AD113" i="3"/>
  <c r="AF113" i="3"/>
  <c r="AG113" i="3"/>
  <c r="AH113" i="3"/>
  <c r="AJ113" i="3"/>
  <c r="AK113" i="3"/>
  <c r="AM113" i="3"/>
  <c r="AN113" i="3"/>
  <c r="AP113" i="3"/>
  <c r="AQ113" i="3"/>
  <c r="A118" i="3"/>
  <c r="I118" i="3"/>
  <c r="V118" i="3"/>
  <c r="AA118" i="3"/>
  <c r="AD118" i="3"/>
  <c r="AQ118" i="3"/>
  <c r="V119" i="3"/>
  <c r="AD119" i="3"/>
  <c r="AQ119" i="3"/>
  <c r="I120" i="3"/>
  <c r="AD120" i="3"/>
  <c r="I121" i="3"/>
  <c r="AD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T122" i="3"/>
  <c r="V122" i="3"/>
  <c r="AF122" i="3"/>
  <c r="AH122" i="3"/>
  <c r="AK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T123" i="3"/>
  <c r="U123" i="3"/>
  <c r="V123" i="3"/>
  <c r="AB123" i="3"/>
  <c r="AC123" i="3"/>
  <c r="AD123" i="3"/>
  <c r="AF123" i="3"/>
  <c r="AG123" i="3"/>
  <c r="AH123" i="3"/>
  <c r="AJ123" i="3"/>
  <c r="AM123" i="3"/>
  <c r="AP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T124" i="3"/>
  <c r="U124" i="3"/>
  <c r="V124" i="3"/>
  <c r="AB124" i="3"/>
  <c r="AC124" i="3"/>
  <c r="AD124" i="3"/>
  <c r="AF124" i="3"/>
  <c r="AG124" i="3"/>
  <c r="AH124" i="3"/>
  <c r="AJ124" i="3"/>
  <c r="AK124" i="3"/>
  <c r="AM124" i="3"/>
  <c r="AN124" i="3"/>
  <c r="AP124" i="3"/>
  <c r="AQ124" i="3"/>
  <c r="A125" i="3"/>
  <c r="AA125" i="3"/>
  <c r="A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T126" i="3"/>
  <c r="U126" i="3"/>
  <c r="V126" i="3"/>
  <c r="AA126" i="3"/>
  <c r="AB126" i="3"/>
  <c r="AC126" i="3"/>
  <c r="AD126" i="3"/>
  <c r="AF126" i="3"/>
  <c r="AG126" i="3"/>
  <c r="AH126" i="3"/>
  <c r="AJ126" i="3"/>
  <c r="AK126" i="3"/>
  <c r="AM126" i="3"/>
  <c r="AN126" i="3"/>
  <c r="AP126" i="3"/>
  <c r="AQ126" i="3"/>
  <c r="AA127" i="3"/>
  <c r="A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T128" i="3"/>
  <c r="U128" i="3"/>
  <c r="V128" i="3"/>
  <c r="AA128" i="3"/>
  <c r="AB128" i="3"/>
  <c r="AC128" i="3"/>
  <c r="AD128" i="3"/>
  <c r="AF128" i="3"/>
  <c r="AG128" i="3"/>
  <c r="AH128" i="3"/>
  <c r="AJ128" i="3"/>
  <c r="AK128" i="3"/>
  <c r="AM128" i="3"/>
  <c r="AN128" i="3"/>
  <c r="AP128" i="3"/>
  <c r="AQ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T129" i="3"/>
  <c r="U129" i="3"/>
  <c r="V129" i="3"/>
  <c r="AA129" i="3"/>
  <c r="AB129" i="3"/>
  <c r="AC129" i="3"/>
  <c r="AD129" i="3"/>
  <c r="AF129" i="3"/>
  <c r="AG129" i="3"/>
  <c r="AH129" i="3"/>
  <c r="AJ129" i="3"/>
  <c r="AK129" i="3"/>
  <c r="AM129" i="3"/>
  <c r="AN129" i="3"/>
  <c r="AP129" i="3"/>
  <c r="AQ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T130" i="3"/>
  <c r="U130" i="3"/>
  <c r="V130" i="3"/>
  <c r="AA130" i="3"/>
  <c r="AB130" i="3"/>
  <c r="AC130" i="3"/>
  <c r="AD130" i="3"/>
  <c r="AF130" i="3"/>
  <c r="AG130" i="3"/>
  <c r="AH130" i="3"/>
  <c r="AJ130" i="3"/>
  <c r="AK130" i="3"/>
  <c r="AM130" i="3"/>
  <c r="AN130" i="3"/>
  <c r="AP130" i="3"/>
  <c r="AQ130" i="3"/>
  <c r="A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T132" i="3"/>
  <c r="U132" i="3"/>
  <c r="V132" i="3"/>
  <c r="AA132" i="3"/>
  <c r="AB132" i="3"/>
  <c r="AC132" i="3"/>
  <c r="AD132" i="3"/>
  <c r="AF132" i="3"/>
  <c r="AG132" i="3"/>
  <c r="AH132" i="3"/>
  <c r="AJ132" i="3"/>
  <c r="AK132" i="3"/>
  <c r="AM132" i="3"/>
  <c r="AN132" i="3"/>
  <c r="AP132" i="3"/>
  <c r="AQ132" i="3"/>
  <c r="A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T134" i="3"/>
  <c r="U134" i="3"/>
  <c r="V134" i="3"/>
  <c r="AA134" i="3"/>
  <c r="AB134" i="3"/>
  <c r="AC134" i="3"/>
  <c r="AD134" i="3"/>
  <c r="AF134" i="3"/>
  <c r="AG134" i="3"/>
  <c r="AH134" i="3"/>
  <c r="AJ134" i="3"/>
  <c r="AK134" i="3"/>
  <c r="AM134" i="3"/>
  <c r="AN134" i="3"/>
  <c r="AP134" i="3"/>
  <c r="AQ134" i="3"/>
  <c r="A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T135" i="3"/>
  <c r="U135" i="3"/>
  <c r="V135" i="3"/>
  <c r="AA135" i="3"/>
  <c r="AB135" i="3"/>
  <c r="AC135" i="3"/>
  <c r="AD135" i="3"/>
  <c r="AF135" i="3"/>
  <c r="AG135" i="3"/>
  <c r="AH135" i="3"/>
  <c r="AJ135" i="3"/>
  <c r="AK135" i="3"/>
  <c r="AM135" i="3"/>
  <c r="AN135" i="3"/>
  <c r="AP135" i="3"/>
  <c r="AQ135" i="3"/>
  <c r="A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T136" i="3"/>
  <c r="U136" i="3"/>
  <c r="V136" i="3"/>
  <c r="AA136" i="3"/>
  <c r="AB136" i="3"/>
  <c r="AC136" i="3"/>
  <c r="AD136" i="3"/>
  <c r="AF136" i="3"/>
  <c r="AG136" i="3"/>
  <c r="AH136" i="3"/>
  <c r="AJ136" i="3"/>
  <c r="AK136" i="3"/>
  <c r="AM136" i="3"/>
  <c r="AN136" i="3"/>
  <c r="AP136" i="3"/>
  <c r="AQ136" i="3"/>
  <c r="A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T137" i="3"/>
  <c r="U137" i="3"/>
  <c r="V137" i="3"/>
  <c r="AA137" i="3"/>
  <c r="AB137" i="3"/>
  <c r="AC137" i="3"/>
  <c r="AD137" i="3"/>
  <c r="AF137" i="3"/>
  <c r="AG137" i="3"/>
  <c r="AH137" i="3"/>
  <c r="AJ137" i="3"/>
  <c r="AK137" i="3"/>
  <c r="AM137" i="3"/>
  <c r="AN137" i="3"/>
  <c r="AP137" i="3"/>
  <c r="AQ137" i="3"/>
  <c r="A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T138" i="3"/>
  <c r="U138" i="3"/>
  <c r="V138" i="3"/>
  <c r="AA138" i="3"/>
  <c r="AB138" i="3"/>
  <c r="AC138" i="3"/>
  <c r="AD138" i="3"/>
  <c r="AF138" i="3"/>
  <c r="AG138" i="3"/>
  <c r="AH138" i="3"/>
  <c r="AJ138" i="3"/>
  <c r="AK138" i="3"/>
  <c r="AM138" i="3"/>
  <c r="AN138" i="3"/>
  <c r="AP138" i="3"/>
  <c r="AQ138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T140" i="3"/>
  <c r="U140" i="3"/>
  <c r="V140" i="3"/>
  <c r="AA140" i="3"/>
  <c r="AB140" i="3"/>
  <c r="AC140" i="3"/>
  <c r="AD140" i="3"/>
  <c r="AF140" i="3"/>
  <c r="AG140" i="3"/>
  <c r="AH140" i="3"/>
  <c r="AJ140" i="3"/>
  <c r="AK140" i="3"/>
  <c r="AM140" i="3"/>
  <c r="AN140" i="3"/>
  <c r="AP140" i="3"/>
  <c r="AQ140" i="3"/>
  <c r="A142" i="3"/>
  <c r="AA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T143" i="3"/>
  <c r="U143" i="3"/>
  <c r="V143" i="3"/>
  <c r="AA143" i="3"/>
  <c r="AB143" i="3"/>
  <c r="AC143" i="3"/>
  <c r="AD143" i="3"/>
  <c r="AF143" i="3"/>
  <c r="AG143" i="3"/>
  <c r="AH143" i="3"/>
  <c r="AJ143" i="3"/>
  <c r="AK143" i="3"/>
  <c r="AM143" i="3"/>
  <c r="AN143" i="3"/>
  <c r="AP143" i="3"/>
  <c r="AQ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T144" i="3"/>
  <c r="U144" i="3"/>
  <c r="V144" i="3"/>
  <c r="AA144" i="3"/>
  <c r="AB144" i="3"/>
  <c r="AC144" i="3"/>
  <c r="AD144" i="3"/>
  <c r="AF144" i="3"/>
  <c r="AG144" i="3"/>
  <c r="AH144" i="3"/>
  <c r="AJ144" i="3"/>
  <c r="AK144" i="3"/>
  <c r="AM144" i="3"/>
  <c r="AN144" i="3"/>
  <c r="AP144" i="3"/>
  <c r="AQ144" i="3"/>
  <c r="A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T145" i="3"/>
  <c r="U145" i="3"/>
  <c r="V145" i="3"/>
  <c r="AA145" i="3"/>
  <c r="AB145" i="3"/>
  <c r="AC145" i="3"/>
  <c r="AD145" i="3"/>
  <c r="AF145" i="3"/>
  <c r="AG145" i="3"/>
  <c r="AH145" i="3"/>
  <c r="AJ145" i="3"/>
  <c r="AK145" i="3"/>
  <c r="AM145" i="3"/>
  <c r="AN145" i="3"/>
  <c r="AP145" i="3"/>
  <c r="AQ145" i="3"/>
  <c r="P146" i="3"/>
  <c r="Q146" i="3"/>
  <c r="R146" i="3"/>
  <c r="AA146" i="3"/>
  <c r="AB146" i="3"/>
  <c r="AC146" i="3"/>
  <c r="AD146" i="3"/>
  <c r="AF146" i="3"/>
  <c r="AH146" i="3"/>
  <c r="AJ146" i="3"/>
  <c r="AK146" i="3"/>
  <c r="AN146" i="3"/>
  <c r="AQ146" i="3"/>
  <c r="A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T147" i="3"/>
  <c r="U147" i="3"/>
  <c r="V147" i="3"/>
  <c r="AA147" i="3"/>
  <c r="AB147" i="3"/>
  <c r="AC147" i="3"/>
  <c r="AD147" i="3"/>
  <c r="AF147" i="3"/>
  <c r="AG147" i="3"/>
  <c r="AH147" i="3"/>
  <c r="AJ147" i="3"/>
  <c r="AK147" i="3"/>
  <c r="AM147" i="3"/>
  <c r="AN147" i="3"/>
  <c r="AP147" i="3"/>
  <c r="AQ147" i="3"/>
  <c r="P148" i="3"/>
  <c r="Q148" i="3"/>
  <c r="R148" i="3"/>
  <c r="AA148" i="3"/>
  <c r="AB148" i="3"/>
  <c r="AC148" i="3"/>
  <c r="AD148" i="3"/>
  <c r="AF148" i="3"/>
  <c r="AH148" i="3"/>
  <c r="AJ148" i="3"/>
  <c r="AK148" i="3"/>
  <c r="AN148" i="3"/>
  <c r="AQ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T149" i="3"/>
  <c r="U149" i="3"/>
  <c r="V149" i="3"/>
  <c r="AA149" i="3"/>
  <c r="AB149" i="3"/>
  <c r="AC149" i="3"/>
  <c r="AD149" i="3"/>
  <c r="AF149" i="3"/>
  <c r="AG149" i="3"/>
  <c r="AH149" i="3"/>
  <c r="AJ149" i="3"/>
  <c r="AK149" i="3"/>
  <c r="AM149" i="3"/>
  <c r="AN149" i="3"/>
  <c r="AP149" i="3"/>
  <c r="AQ149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T151" i="3"/>
  <c r="U151" i="3"/>
  <c r="V151" i="3"/>
  <c r="AA151" i="3"/>
  <c r="AB151" i="3"/>
  <c r="AC151" i="3"/>
  <c r="AD151" i="3"/>
  <c r="AF151" i="3"/>
  <c r="AG151" i="3"/>
  <c r="AH151" i="3"/>
  <c r="AJ151" i="3"/>
  <c r="AK151" i="3"/>
  <c r="AM151" i="3"/>
  <c r="AN151" i="3"/>
  <c r="AP151" i="3"/>
  <c r="AQ151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T153" i="3"/>
  <c r="U153" i="3"/>
  <c r="V153" i="3"/>
  <c r="AA153" i="3"/>
  <c r="AB153" i="3"/>
  <c r="AC153" i="3"/>
  <c r="AD153" i="3"/>
  <c r="AF153" i="3"/>
  <c r="AG153" i="3"/>
  <c r="AH153" i="3"/>
  <c r="AJ153" i="3"/>
  <c r="AK153" i="3"/>
  <c r="AM153" i="3"/>
  <c r="AN153" i="3"/>
  <c r="AP153" i="3"/>
  <c r="AQ153" i="3"/>
  <c r="A155" i="3"/>
  <c r="AA155" i="3"/>
  <c r="A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T156" i="3"/>
  <c r="U156" i="3"/>
  <c r="V156" i="3"/>
  <c r="AA156" i="3"/>
  <c r="AB156" i="3"/>
  <c r="AC156" i="3"/>
  <c r="AD156" i="3"/>
  <c r="AF156" i="3"/>
  <c r="AG156" i="3"/>
  <c r="AH156" i="3"/>
  <c r="AJ156" i="3"/>
  <c r="AK156" i="3"/>
  <c r="AM156" i="3"/>
  <c r="AN156" i="3"/>
  <c r="AP156" i="3"/>
  <c r="AQ156" i="3"/>
  <c r="A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T157" i="3"/>
  <c r="U157" i="3"/>
  <c r="V157" i="3"/>
  <c r="AA157" i="3"/>
  <c r="AB157" i="3"/>
  <c r="AC157" i="3"/>
  <c r="AD157" i="3"/>
  <c r="AF157" i="3"/>
  <c r="AG157" i="3"/>
  <c r="AH157" i="3"/>
  <c r="AJ157" i="3"/>
  <c r="AK157" i="3"/>
  <c r="AM157" i="3"/>
  <c r="AN157" i="3"/>
  <c r="AP157" i="3"/>
  <c r="AQ157" i="3"/>
  <c r="A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T158" i="3"/>
  <c r="U158" i="3"/>
  <c r="V158" i="3"/>
  <c r="AA158" i="3"/>
  <c r="AB158" i="3"/>
  <c r="AC158" i="3"/>
  <c r="AD158" i="3"/>
  <c r="AF158" i="3"/>
  <c r="AG158" i="3"/>
  <c r="AH158" i="3"/>
  <c r="AJ158" i="3"/>
  <c r="AK158" i="3"/>
  <c r="AM158" i="3"/>
  <c r="AN158" i="3"/>
  <c r="AP158" i="3"/>
  <c r="AQ158" i="3"/>
  <c r="A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T159" i="3"/>
  <c r="U159" i="3"/>
  <c r="V159" i="3"/>
  <c r="AA159" i="3"/>
  <c r="AB159" i="3"/>
  <c r="AC159" i="3"/>
  <c r="AD159" i="3"/>
  <c r="AF159" i="3"/>
  <c r="AG159" i="3"/>
  <c r="AH159" i="3"/>
  <c r="AJ159" i="3"/>
  <c r="AK159" i="3"/>
  <c r="AM159" i="3"/>
  <c r="AN159" i="3"/>
  <c r="AP159" i="3"/>
  <c r="AQ159" i="3"/>
  <c r="A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T160" i="3"/>
  <c r="U160" i="3"/>
  <c r="V160" i="3"/>
  <c r="AA160" i="3"/>
  <c r="AB160" i="3"/>
  <c r="AC160" i="3"/>
  <c r="AD160" i="3"/>
  <c r="AF160" i="3"/>
  <c r="AG160" i="3"/>
  <c r="AH160" i="3"/>
  <c r="AJ160" i="3"/>
  <c r="AK160" i="3"/>
  <c r="AM160" i="3"/>
  <c r="AN160" i="3"/>
  <c r="AP160" i="3"/>
  <c r="AQ160" i="3"/>
  <c r="A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T162" i="3"/>
  <c r="U162" i="3"/>
  <c r="V162" i="3"/>
  <c r="AA162" i="3"/>
  <c r="AB162" i="3"/>
  <c r="AC162" i="3"/>
  <c r="AD162" i="3"/>
  <c r="AF162" i="3"/>
  <c r="AG162" i="3"/>
  <c r="AH162" i="3"/>
  <c r="AJ162" i="3"/>
  <c r="AK162" i="3"/>
  <c r="AM162" i="3"/>
  <c r="AN162" i="3"/>
  <c r="AP162" i="3"/>
  <c r="AQ162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T164" i="3"/>
  <c r="U164" i="3"/>
  <c r="V164" i="3"/>
  <c r="AA164" i="3"/>
  <c r="AB164" i="3"/>
  <c r="AC164" i="3"/>
  <c r="AD164" i="3"/>
  <c r="AF164" i="3"/>
  <c r="AG164" i="3"/>
  <c r="AH164" i="3"/>
  <c r="AJ164" i="3"/>
  <c r="AK164" i="3"/>
  <c r="AM164" i="3"/>
  <c r="AN164" i="3"/>
  <c r="AP164" i="3"/>
  <c r="AQ164" i="3"/>
  <c r="A166" i="3"/>
  <c r="AA166" i="3"/>
  <c r="A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T167" i="3"/>
  <c r="U167" i="3"/>
  <c r="V167" i="3"/>
  <c r="AA167" i="3"/>
  <c r="AB167" i="3"/>
  <c r="AC167" i="3"/>
  <c r="AD167" i="3"/>
  <c r="AF167" i="3"/>
  <c r="AG167" i="3"/>
  <c r="AH167" i="3"/>
  <c r="AJ167" i="3"/>
  <c r="AK167" i="3"/>
  <c r="AM167" i="3"/>
  <c r="AN167" i="3"/>
  <c r="AP167" i="3"/>
  <c r="AQ167" i="3"/>
  <c r="A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T168" i="3"/>
  <c r="U168" i="3"/>
  <c r="V168" i="3"/>
  <c r="AA168" i="3"/>
  <c r="AB168" i="3"/>
  <c r="AC168" i="3"/>
  <c r="AD168" i="3"/>
  <c r="AF168" i="3"/>
  <c r="AG168" i="3"/>
  <c r="AH168" i="3"/>
  <c r="AJ168" i="3"/>
  <c r="AK168" i="3"/>
  <c r="AM168" i="3"/>
  <c r="AN168" i="3"/>
  <c r="AP168" i="3"/>
  <c r="AQ168" i="3"/>
  <c r="A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T169" i="3"/>
  <c r="U169" i="3"/>
  <c r="V169" i="3"/>
  <c r="AA169" i="3"/>
  <c r="AB169" i="3"/>
  <c r="AC169" i="3"/>
  <c r="AD169" i="3"/>
  <c r="AF169" i="3"/>
  <c r="AG169" i="3"/>
  <c r="AH169" i="3"/>
  <c r="AJ169" i="3"/>
  <c r="AK169" i="3"/>
  <c r="AM169" i="3"/>
  <c r="AN169" i="3"/>
  <c r="AP169" i="3"/>
  <c r="AQ169" i="3"/>
  <c r="A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T170" i="3"/>
  <c r="U170" i="3"/>
  <c r="V170" i="3"/>
  <c r="AA170" i="3"/>
  <c r="AB170" i="3"/>
  <c r="AC170" i="3"/>
  <c r="AD170" i="3"/>
  <c r="AF170" i="3"/>
  <c r="AG170" i="3"/>
  <c r="AH170" i="3"/>
  <c r="AJ170" i="3"/>
  <c r="AK170" i="3"/>
  <c r="AM170" i="3"/>
  <c r="AN170" i="3"/>
  <c r="AP170" i="3"/>
  <c r="AQ170" i="3"/>
  <c r="A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T172" i="3"/>
  <c r="U172" i="3"/>
  <c r="V172" i="3"/>
  <c r="AA172" i="3"/>
  <c r="AB172" i="3"/>
  <c r="AC172" i="3"/>
  <c r="AD172" i="3"/>
  <c r="AF172" i="3"/>
  <c r="AG172" i="3"/>
  <c r="AH172" i="3"/>
  <c r="AJ172" i="3"/>
  <c r="AK172" i="3"/>
  <c r="AM172" i="3"/>
  <c r="AN172" i="3"/>
  <c r="AP172" i="3"/>
  <c r="AQ172" i="3"/>
  <c r="A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T174" i="3"/>
  <c r="U174" i="3"/>
  <c r="V174" i="3"/>
  <c r="AA174" i="3"/>
  <c r="AB174" i="3"/>
  <c r="AC174" i="3"/>
  <c r="AD174" i="3"/>
  <c r="AF174" i="3"/>
  <c r="AG174" i="3"/>
  <c r="AH174" i="3"/>
  <c r="AJ174" i="3"/>
  <c r="AK174" i="3"/>
  <c r="AM174" i="3"/>
  <c r="AN174" i="3"/>
  <c r="AP174" i="3"/>
  <c r="AQ174" i="3"/>
  <c r="A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T176" i="3"/>
  <c r="U176" i="3"/>
  <c r="V176" i="3"/>
  <c r="AA176" i="3"/>
  <c r="AB176" i="3"/>
  <c r="AC176" i="3"/>
  <c r="AD176" i="3"/>
  <c r="AF176" i="3"/>
  <c r="AG176" i="3"/>
  <c r="AH176" i="3"/>
  <c r="AJ176" i="3"/>
  <c r="AK176" i="3"/>
  <c r="AM176" i="3"/>
  <c r="AN176" i="3"/>
  <c r="AP176" i="3"/>
  <c r="AQ176" i="3"/>
  <c r="A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T178" i="3"/>
  <c r="U178" i="3"/>
  <c r="V178" i="3"/>
  <c r="AA178" i="3"/>
  <c r="AB178" i="3"/>
  <c r="AC178" i="3"/>
  <c r="AD178" i="3"/>
  <c r="AF178" i="3"/>
  <c r="AG178" i="3"/>
  <c r="AH178" i="3"/>
  <c r="AJ178" i="3"/>
  <c r="AK178" i="3"/>
  <c r="AM178" i="3"/>
  <c r="AN178" i="3"/>
  <c r="AP178" i="3"/>
  <c r="AQ178" i="3"/>
  <c r="A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T180" i="3"/>
  <c r="U180" i="3"/>
  <c r="V180" i="3"/>
  <c r="AA180" i="3"/>
  <c r="AB180" i="3"/>
  <c r="AC180" i="3"/>
  <c r="AD180" i="3"/>
  <c r="AF180" i="3"/>
  <c r="AG180" i="3"/>
  <c r="AH180" i="3"/>
  <c r="AJ180" i="3"/>
  <c r="AK180" i="3"/>
  <c r="AM180" i="3"/>
  <c r="AN180" i="3"/>
  <c r="AP180" i="3"/>
  <c r="AQ180" i="3"/>
  <c r="A183" i="3"/>
  <c r="I183" i="3"/>
  <c r="V183" i="3"/>
  <c r="AA183" i="3"/>
  <c r="AD183" i="3"/>
  <c r="AQ183" i="3"/>
  <c r="V184" i="3"/>
  <c r="AC184" i="3"/>
  <c r="AQ184" i="3"/>
  <c r="I185" i="3"/>
  <c r="AD185" i="3"/>
  <c r="I186" i="3"/>
  <c r="AD186" i="3"/>
  <c r="T187" i="3"/>
  <c r="V187" i="3"/>
  <c r="AF187" i="3"/>
  <c r="AH187" i="3"/>
  <c r="AK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T188" i="3"/>
  <c r="U188" i="3"/>
  <c r="V188" i="3"/>
  <c r="AB188" i="3"/>
  <c r="AC188" i="3"/>
  <c r="AD188" i="3"/>
  <c r="AF188" i="3"/>
  <c r="AG188" i="3"/>
  <c r="AH188" i="3"/>
  <c r="AJ188" i="3"/>
  <c r="AM188" i="3"/>
  <c r="AP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T189" i="3"/>
  <c r="U189" i="3"/>
  <c r="V189" i="3"/>
  <c r="AB189" i="3"/>
  <c r="AC189" i="3"/>
  <c r="AD189" i="3"/>
  <c r="AF189" i="3"/>
  <c r="AG189" i="3"/>
  <c r="AH189" i="3"/>
  <c r="AJ189" i="3"/>
  <c r="AK189" i="3"/>
  <c r="AM189" i="3"/>
  <c r="AN189" i="3"/>
  <c r="AP189" i="3"/>
  <c r="AQ189" i="3"/>
  <c r="AA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T191" i="3"/>
  <c r="U191" i="3"/>
  <c r="V191" i="3"/>
  <c r="AA191" i="3"/>
  <c r="AB191" i="3"/>
  <c r="AC191" i="3"/>
  <c r="AD191" i="3"/>
  <c r="AF191" i="3"/>
  <c r="AG191" i="3"/>
  <c r="AH191" i="3"/>
  <c r="AJ191" i="3"/>
  <c r="AK191" i="3"/>
  <c r="AN191" i="3"/>
  <c r="AQ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V192" i="3"/>
  <c r="AA192" i="3"/>
  <c r="AB192" i="3"/>
  <c r="AC192" i="3"/>
  <c r="AD192" i="3"/>
  <c r="AF192" i="3"/>
  <c r="AG192" i="3"/>
  <c r="AH192" i="3"/>
  <c r="AJ192" i="3"/>
  <c r="AK192" i="3"/>
  <c r="AN192" i="3"/>
  <c r="AQ192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T194" i="3"/>
  <c r="U194" i="3"/>
  <c r="V194" i="3"/>
  <c r="AA194" i="3"/>
  <c r="AB194" i="3"/>
  <c r="AC194" i="3"/>
  <c r="AD194" i="3"/>
  <c r="AF194" i="3"/>
  <c r="AG194" i="3"/>
  <c r="AH194" i="3"/>
  <c r="AJ194" i="3"/>
  <c r="AK194" i="3"/>
  <c r="AM194" i="3"/>
  <c r="AN194" i="3"/>
  <c r="AP194" i="3"/>
  <c r="AQ194" i="3"/>
  <c r="AA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V197" i="3"/>
  <c r="AA197" i="3"/>
  <c r="AB197" i="3"/>
  <c r="AC197" i="3"/>
  <c r="AD197" i="3"/>
  <c r="AF197" i="3"/>
  <c r="AG197" i="3"/>
  <c r="AH197" i="3"/>
  <c r="AJ197" i="3"/>
  <c r="AK197" i="3"/>
  <c r="AN197" i="3"/>
  <c r="AQ197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V199" i="3"/>
  <c r="AA199" i="3"/>
  <c r="AB199" i="3"/>
  <c r="AC199" i="3"/>
  <c r="AD199" i="3"/>
  <c r="AF199" i="3"/>
  <c r="AG199" i="3"/>
  <c r="AH199" i="3"/>
  <c r="AJ199" i="3"/>
  <c r="AK199" i="3"/>
  <c r="AN199" i="3"/>
  <c r="AQ199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V201" i="3"/>
  <c r="AA201" i="3"/>
  <c r="AB201" i="3"/>
  <c r="AC201" i="3"/>
  <c r="AD201" i="3"/>
  <c r="AF201" i="3"/>
  <c r="AG201" i="3"/>
  <c r="AH201" i="3"/>
  <c r="AJ201" i="3"/>
  <c r="AK201" i="3"/>
  <c r="AN201" i="3"/>
  <c r="AQ201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V203" i="3"/>
  <c r="AA203" i="3"/>
  <c r="AB203" i="3"/>
  <c r="AC203" i="3"/>
  <c r="AD203" i="3"/>
  <c r="AF203" i="3"/>
  <c r="AG203" i="3"/>
  <c r="AH203" i="3"/>
  <c r="AJ203" i="3"/>
  <c r="AK203" i="3"/>
  <c r="AN203" i="3"/>
  <c r="AQ203" i="3"/>
  <c r="AA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V206" i="3"/>
  <c r="AA206" i="3"/>
  <c r="AB206" i="3"/>
  <c r="AC206" i="3"/>
  <c r="AD206" i="3"/>
  <c r="AF206" i="3"/>
  <c r="AG206" i="3"/>
  <c r="AH206" i="3"/>
  <c r="AJ206" i="3"/>
  <c r="AK206" i="3"/>
  <c r="AN206" i="3"/>
  <c r="AQ206" i="3"/>
  <c r="P207" i="3"/>
  <c r="Q207" i="3"/>
  <c r="R207" i="3"/>
  <c r="V207" i="3"/>
  <c r="AA207" i="3"/>
  <c r="AB207" i="3"/>
  <c r="AC207" i="3"/>
  <c r="AD207" i="3"/>
  <c r="AF207" i="3"/>
  <c r="AG207" i="3"/>
  <c r="AH207" i="3"/>
  <c r="AJ207" i="3"/>
  <c r="AK207" i="3"/>
  <c r="AN207" i="3"/>
  <c r="AQ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V208" i="3"/>
  <c r="AA208" i="3"/>
  <c r="AB208" i="3"/>
  <c r="AC208" i="3"/>
  <c r="AD208" i="3"/>
  <c r="AF208" i="3"/>
  <c r="AG208" i="3"/>
  <c r="AH208" i="3"/>
  <c r="AJ208" i="3"/>
  <c r="AK208" i="3"/>
  <c r="AN208" i="3"/>
  <c r="AQ208" i="3"/>
  <c r="AA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V211" i="3"/>
  <c r="AA211" i="3"/>
  <c r="AB211" i="3"/>
  <c r="AC211" i="3"/>
  <c r="AD211" i="3"/>
  <c r="AF211" i="3"/>
  <c r="AG211" i="3"/>
  <c r="AH211" i="3"/>
  <c r="AJ211" i="3"/>
  <c r="AK211" i="3"/>
  <c r="AN211" i="3"/>
  <c r="AQ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V212" i="3"/>
  <c r="AA212" i="3"/>
  <c r="AB212" i="3"/>
  <c r="AC212" i="3"/>
  <c r="AD212" i="3"/>
  <c r="AF212" i="3"/>
  <c r="AG212" i="3"/>
  <c r="AH212" i="3"/>
  <c r="AJ212" i="3"/>
  <c r="AK212" i="3"/>
  <c r="AN212" i="3"/>
  <c r="AQ212" i="3"/>
  <c r="P214" i="3"/>
  <c r="Q214" i="3"/>
  <c r="R214" i="3"/>
  <c r="V214" i="3"/>
  <c r="AA214" i="3"/>
  <c r="AB214" i="3"/>
  <c r="AC214" i="3"/>
  <c r="AD214" i="3"/>
  <c r="AF214" i="3"/>
  <c r="AG214" i="3"/>
  <c r="AH214" i="3"/>
  <c r="AJ214" i="3"/>
  <c r="AK214" i="3"/>
  <c r="AN214" i="3"/>
  <c r="AQ214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T216" i="3"/>
  <c r="U216" i="3"/>
  <c r="V216" i="3"/>
  <c r="AA216" i="3"/>
  <c r="AB216" i="3"/>
  <c r="AC216" i="3"/>
  <c r="AD216" i="3"/>
  <c r="AF216" i="3"/>
  <c r="AG216" i="3"/>
  <c r="AH216" i="3"/>
  <c r="AJ216" i="3"/>
  <c r="AK216" i="3"/>
  <c r="AM216" i="3"/>
  <c r="AN216" i="3"/>
  <c r="AP216" i="3"/>
  <c r="AQ216" i="3"/>
  <c r="AA218" i="3"/>
  <c r="P219" i="3"/>
  <c r="Q219" i="3"/>
  <c r="R219" i="3"/>
  <c r="V219" i="3"/>
  <c r="AA219" i="3"/>
  <c r="AB219" i="3"/>
  <c r="AC219" i="3"/>
  <c r="AD219" i="3"/>
  <c r="AF219" i="3"/>
  <c r="AG219" i="3"/>
  <c r="AH219" i="3"/>
  <c r="AJ219" i="3"/>
  <c r="AK219" i="3"/>
  <c r="AN219" i="3"/>
  <c r="AQ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V220" i="3"/>
  <c r="AA220" i="3"/>
  <c r="AB220" i="3"/>
  <c r="AC220" i="3"/>
  <c r="AD220" i="3"/>
  <c r="AF220" i="3"/>
  <c r="AG220" i="3"/>
  <c r="AH220" i="3"/>
  <c r="AJ220" i="3"/>
  <c r="AK220" i="3"/>
  <c r="AN220" i="3"/>
  <c r="AQ220" i="3"/>
  <c r="P221" i="3"/>
  <c r="Q221" i="3"/>
  <c r="R221" i="3"/>
  <c r="V221" i="3"/>
  <c r="AA221" i="3"/>
  <c r="AB221" i="3"/>
  <c r="AC221" i="3"/>
  <c r="AD221" i="3"/>
  <c r="AF221" i="3"/>
  <c r="AG221" i="3"/>
  <c r="AH221" i="3"/>
  <c r="AJ221" i="3"/>
  <c r="AK221" i="3"/>
  <c r="AN221" i="3"/>
  <c r="AQ221" i="3"/>
  <c r="L222" i="3"/>
  <c r="O222" i="3"/>
  <c r="P222" i="3"/>
  <c r="Q222" i="3"/>
  <c r="R222" i="3"/>
  <c r="V222" i="3"/>
  <c r="AA222" i="3"/>
  <c r="AB222" i="3"/>
  <c r="AC222" i="3"/>
  <c r="AD222" i="3"/>
  <c r="AF222" i="3"/>
  <c r="AG222" i="3"/>
  <c r="AH222" i="3"/>
  <c r="AJ222" i="3"/>
  <c r="AK222" i="3"/>
  <c r="AN222" i="3"/>
  <c r="AQ222" i="3"/>
  <c r="P223" i="3"/>
  <c r="Q223" i="3"/>
  <c r="R223" i="3"/>
  <c r="V223" i="3"/>
  <c r="AA223" i="3"/>
  <c r="AB223" i="3"/>
  <c r="AC223" i="3"/>
  <c r="AD223" i="3"/>
  <c r="AF223" i="3"/>
  <c r="AG223" i="3"/>
  <c r="AH223" i="3"/>
  <c r="AJ223" i="3"/>
  <c r="AK223" i="3"/>
  <c r="AN223" i="3"/>
  <c r="AQ223" i="3"/>
  <c r="P224" i="3"/>
  <c r="Q224" i="3"/>
  <c r="R224" i="3"/>
  <c r="V224" i="3"/>
  <c r="AA224" i="3"/>
  <c r="AB224" i="3"/>
  <c r="AC224" i="3"/>
  <c r="AD224" i="3"/>
  <c r="AF224" i="3"/>
  <c r="AG224" i="3"/>
  <c r="AH224" i="3"/>
  <c r="AJ224" i="3"/>
  <c r="AK224" i="3"/>
  <c r="AN224" i="3"/>
  <c r="AQ224" i="3"/>
  <c r="L225" i="3"/>
  <c r="O225" i="3"/>
  <c r="P225" i="3"/>
  <c r="Q225" i="3"/>
  <c r="R225" i="3"/>
  <c r="V225" i="3"/>
  <c r="AA225" i="3"/>
  <c r="AB225" i="3"/>
  <c r="AC225" i="3"/>
  <c r="AD225" i="3"/>
  <c r="AF225" i="3"/>
  <c r="AG225" i="3"/>
  <c r="AH225" i="3"/>
  <c r="AJ225" i="3"/>
  <c r="AK225" i="3"/>
  <c r="AN225" i="3"/>
  <c r="AQ225" i="3"/>
  <c r="L226" i="3"/>
  <c r="O226" i="3"/>
  <c r="P226" i="3"/>
  <c r="Q226" i="3"/>
  <c r="R226" i="3"/>
  <c r="V226" i="3"/>
  <c r="AA226" i="3"/>
  <c r="AB226" i="3"/>
  <c r="AC226" i="3"/>
  <c r="AD226" i="3"/>
  <c r="AF226" i="3"/>
  <c r="AG226" i="3"/>
  <c r="AH226" i="3"/>
  <c r="AJ226" i="3"/>
  <c r="AK226" i="3"/>
  <c r="AN226" i="3"/>
  <c r="AQ226" i="3"/>
  <c r="P227" i="3"/>
  <c r="Q227" i="3"/>
  <c r="R227" i="3"/>
  <c r="V227" i="3"/>
  <c r="AA227" i="3"/>
  <c r="AB227" i="3"/>
  <c r="AC227" i="3"/>
  <c r="AD227" i="3"/>
  <c r="AF227" i="3"/>
  <c r="AG227" i="3"/>
  <c r="AH227" i="3"/>
  <c r="AJ227" i="3"/>
  <c r="AK227" i="3"/>
  <c r="AN227" i="3"/>
  <c r="AQ227" i="3"/>
  <c r="P228" i="3"/>
  <c r="Q228" i="3"/>
  <c r="R228" i="3"/>
  <c r="T228" i="3"/>
  <c r="U228" i="3"/>
  <c r="V228" i="3"/>
  <c r="AA228" i="3"/>
  <c r="AB228" i="3"/>
  <c r="AC228" i="3"/>
  <c r="AD228" i="3"/>
  <c r="AF228" i="3"/>
  <c r="AG228" i="3"/>
  <c r="AH228" i="3"/>
  <c r="AJ228" i="3"/>
  <c r="AK228" i="3"/>
  <c r="AN228" i="3"/>
  <c r="AQ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V229" i="3"/>
  <c r="AA229" i="3"/>
  <c r="AB229" i="3"/>
  <c r="AC229" i="3"/>
  <c r="AD229" i="3"/>
  <c r="AF229" i="3"/>
  <c r="AG229" i="3"/>
  <c r="AH229" i="3"/>
  <c r="AJ229" i="3"/>
  <c r="AK229" i="3"/>
  <c r="AN229" i="3"/>
  <c r="AQ229" i="3"/>
  <c r="E230" i="3"/>
  <c r="P230" i="3"/>
  <c r="Q230" i="3"/>
  <c r="R230" i="3"/>
  <c r="T230" i="3"/>
  <c r="U230" i="3"/>
  <c r="V230" i="3"/>
  <c r="AA230" i="3"/>
  <c r="AB230" i="3"/>
  <c r="AC230" i="3"/>
  <c r="AD230" i="3"/>
  <c r="AF230" i="3"/>
  <c r="AG230" i="3"/>
  <c r="AH230" i="3"/>
  <c r="AJ230" i="3"/>
  <c r="AK230" i="3"/>
  <c r="AN230" i="3"/>
  <c r="AQ230" i="3"/>
  <c r="P231" i="3"/>
  <c r="Q231" i="3"/>
  <c r="R231" i="3"/>
  <c r="V231" i="3"/>
  <c r="AA231" i="3"/>
  <c r="AB231" i="3"/>
  <c r="AC231" i="3"/>
  <c r="AD231" i="3"/>
  <c r="AF231" i="3"/>
  <c r="AG231" i="3"/>
  <c r="AH231" i="3"/>
  <c r="AJ231" i="3"/>
  <c r="AK231" i="3"/>
  <c r="AN231" i="3"/>
  <c r="AQ231" i="3"/>
  <c r="P232" i="3"/>
  <c r="Q232" i="3"/>
  <c r="R232" i="3"/>
  <c r="V232" i="3"/>
  <c r="AA232" i="3"/>
  <c r="AB232" i="3"/>
  <c r="AC232" i="3"/>
  <c r="AD232" i="3"/>
  <c r="AF232" i="3"/>
  <c r="AG232" i="3"/>
  <c r="AH232" i="3"/>
  <c r="AJ232" i="3"/>
  <c r="AK232" i="3"/>
  <c r="AN232" i="3"/>
  <c r="AQ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T233" i="3"/>
  <c r="U233" i="3"/>
  <c r="V233" i="3"/>
  <c r="AA233" i="3"/>
  <c r="AB233" i="3"/>
  <c r="AC233" i="3"/>
  <c r="AD233" i="3"/>
  <c r="AF233" i="3"/>
  <c r="AG233" i="3"/>
  <c r="AH233" i="3"/>
  <c r="AJ233" i="3"/>
  <c r="AK233" i="3"/>
  <c r="AM233" i="3"/>
  <c r="AN233" i="3"/>
  <c r="AP233" i="3"/>
  <c r="AQ233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T235" i="3"/>
  <c r="U235" i="3"/>
  <c r="V235" i="3"/>
  <c r="AA235" i="3"/>
  <c r="AB235" i="3"/>
  <c r="AC235" i="3"/>
  <c r="AD235" i="3"/>
  <c r="AF235" i="3"/>
  <c r="AG235" i="3"/>
  <c r="AH235" i="3"/>
  <c r="AJ235" i="3"/>
  <c r="AK235" i="3"/>
  <c r="AM235" i="3"/>
  <c r="AN235" i="3"/>
  <c r="AP235" i="3"/>
  <c r="AQ235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T237" i="3"/>
  <c r="U237" i="3"/>
  <c r="V237" i="3"/>
  <c r="AA237" i="3"/>
  <c r="AB237" i="3"/>
  <c r="AC237" i="3"/>
  <c r="AD237" i="3"/>
  <c r="AF237" i="3"/>
  <c r="AG237" i="3"/>
  <c r="AH237" i="3"/>
  <c r="AJ237" i="3"/>
  <c r="AK237" i="3"/>
  <c r="AM237" i="3"/>
  <c r="AN237" i="3"/>
  <c r="AP237" i="3"/>
  <c r="AQ237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T239" i="3"/>
  <c r="U239" i="3"/>
  <c r="V239" i="3"/>
  <c r="AA239" i="3"/>
  <c r="AB239" i="3"/>
  <c r="AC239" i="3"/>
  <c r="AD239" i="3"/>
  <c r="AF239" i="3"/>
  <c r="AG239" i="3"/>
  <c r="AH239" i="3"/>
  <c r="AJ239" i="3"/>
  <c r="AK239" i="3"/>
  <c r="AM239" i="3"/>
  <c r="AN239" i="3"/>
  <c r="AP239" i="3"/>
  <c r="AQ239" i="3"/>
  <c r="A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T241" i="3"/>
  <c r="U241" i="3"/>
  <c r="V241" i="3"/>
  <c r="AA241" i="3"/>
  <c r="AB241" i="3"/>
  <c r="AC241" i="3"/>
  <c r="AD241" i="3"/>
  <c r="AF241" i="3"/>
  <c r="AG241" i="3"/>
  <c r="AH241" i="3"/>
  <c r="AJ241" i="3"/>
  <c r="AK241" i="3"/>
  <c r="AM241" i="3"/>
  <c r="AN241" i="3"/>
  <c r="AP241" i="3"/>
  <c r="AQ241" i="3"/>
  <c r="A244" i="3"/>
  <c r="I244" i="3"/>
  <c r="U244" i="3"/>
  <c r="I245" i="3"/>
  <c r="U245" i="3"/>
  <c r="I246" i="3"/>
  <c r="I247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A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A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A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A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A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A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A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A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A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A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A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A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A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A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A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A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A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A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A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A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A287" i="3"/>
  <c r="A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A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A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A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A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A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A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A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A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A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A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A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A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A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A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A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A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A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A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A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A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A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A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A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A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A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A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A326" i="3"/>
  <c r="A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A329" i="3"/>
  <c r="A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A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A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A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A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A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A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A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A344" i="3"/>
  <c r="C344" i="3"/>
  <c r="M344" i="3"/>
  <c r="C345" i="3"/>
  <c r="M345" i="3"/>
  <c r="C346" i="3"/>
  <c r="C347" i="3"/>
  <c r="I352" i="3"/>
  <c r="K352" i="3"/>
  <c r="M352" i="3"/>
  <c r="A355" i="3"/>
  <c r="G355" i="3"/>
  <c r="A356" i="3"/>
  <c r="G356" i="3"/>
  <c r="A357" i="3"/>
  <c r="G357" i="3"/>
  <c r="A358" i="3"/>
  <c r="G358" i="3"/>
  <c r="A359" i="3"/>
  <c r="G359" i="3"/>
  <c r="A360" i="3"/>
  <c r="G360" i="3"/>
  <c r="I360" i="3"/>
  <c r="A363" i="3"/>
  <c r="G363" i="3"/>
  <c r="A364" i="3"/>
  <c r="G364" i="3"/>
  <c r="A365" i="3"/>
  <c r="G365" i="3"/>
  <c r="A366" i="3"/>
  <c r="G366" i="3"/>
  <c r="A367" i="3"/>
  <c r="G367" i="3"/>
  <c r="A368" i="3"/>
  <c r="G368" i="3"/>
  <c r="A369" i="3"/>
  <c r="G369" i="3"/>
  <c r="A370" i="3"/>
  <c r="G370" i="3"/>
  <c r="A371" i="3"/>
  <c r="G371" i="3"/>
  <c r="A372" i="3"/>
  <c r="G372" i="3"/>
  <c r="A374" i="3"/>
  <c r="G374" i="3"/>
  <c r="A375" i="3"/>
  <c r="G375" i="3"/>
  <c r="A376" i="3"/>
  <c r="G376" i="3"/>
  <c r="A377" i="3"/>
  <c r="G377" i="3"/>
  <c r="A378" i="3"/>
  <c r="G378" i="3"/>
  <c r="A379" i="3"/>
  <c r="G379" i="3"/>
  <c r="A380" i="3"/>
  <c r="G380" i="3"/>
  <c r="E382" i="3"/>
  <c r="E384" i="3"/>
  <c r="E385" i="3"/>
  <c r="E386" i="3"/>
  <c r="E387" i="3"/>
  <c r="G387" i="3"/>
  <c r="I388" i="3"/>
  <c r="A390" i="3"/>
  <c r="A391" i="3"/>
  <c r="G391" i="3"/>
  <c r="A392" i="3"/>
  <c r="G392" i="3"/>
  <c r="A393" i="3"/>
  <c r="G393" i="3"/>
  <c r="A394" i="3"/>
  <c r="G394" i="3"/>
  <c r="A395" i="3"/>
  <c r="I395" i="3"/>
  <c r="A397" i="3"/>
  <c r="D397" i="3"/>
  <c r="I397" i="3"/>
  <c r="K397" i="3"/>
  <c r="A399" i="3"/>
  <c r="A400" i="3"/>
  <c r="G400" i="3"/>
  <c r="A401" i="3"/>
  <c r="G401" i="3"/>
  <c r="A402" i="3"/>
  <c r="G402" i="3"/>
  <c r="A403" i="3"/>
  <c r="K403" i="3"/>
  <c r="A405" i="3"/>
  <c r="D405" i="3"/>
  <c r="K405" i="3"/>
  <c r="M405" i="3"/>
  <c r="A407" i="3"/>
  <c r="A408" i="3"/>
  <c r="G408" i="3"/>
  <c r="A409" i="3"/>
  <c r="G409" i="3"/>
  <c r="A410" i="3"/>
  <c r="G410" i="3"/>
  <c r="A411" i="3"/>
  <c r="G411" i="3"/>
  <c r="A412" i="3"/>
  <c r="M412" i="3"/>
  <c r="D414" i="3"/>
  <c r="M414" i="3"/>
  <c r="A417" i="3"/>
  <c r="C417" i="3"/>
  <c r="M417" i="3"/>
  <c r="C418" i="3"/>
  <c r="M418" i="3"/>
  <c r="C419" i="3"/>
  <c r="C420" i="3"/>
  <c r="I425" i="3"/>
  <c r="K425" i="3"/>
  <c r="M425" i="3"/>
  <c r="A428" i="3"/>
  <c r="G428" i="3"/>
  <c r="A429" i="3"/>
  <c r="G429" i="3"/>
  <c r="A430" i="3"/>
  <c r="G430" i="3"/>
  <c r="A431" i="3"/>
  <c r="G431" i="3"/>
  <c r="A432" i="3"/>
  <c r="G432" i="3"/>
  <c r="A433" i="3"/>
  <c r="G433" i="3"/>
  <c r="I433" i="3"/>
  <c r="A436" i="3"/>
  <c r="G436" i="3"/>
  <c r="A437" i="3"/>
  <c r="G437" i="3"/>
  <c r="A438" i="3"/>
  <c r="G438" i="3"/>
  <c r="A439" i="3"/>
  <c r="G439" i="3"/>
  <c r="A440" i="3"/>
  <c r="G440" i="3"/>
  <c r="A441" i="3"/>
  <c r="G441" i="3"/>
  <c r="A442" i="3"/>
  <c r="G442" i="3"/>
  <c r="A443" i="3"/>
  <c r="G443" i="3"/>
  <c r="A444" i="3"/>
  <c r="G444" i="3"/>
  <c r="A445" i="3"/>
  <c r="G445" i="3"/>
  <c r="A447" i="3"/>
  <c r="G447" i="3"/>
  <c r="A448" i="3"/>
  <c r="G448" i="3"/>
  <c r="A449" i="3"/>
  <c r="G449" i="3"/>
  <c r="A450" i="3"/>
  <c r="G450" i="3"/>
  <c r="A451" i="3"/>
  <c r="G451" i="3"/>
  <c r="A452" i="3"/>
  <c r="G452" i="3"/>
  <c r="A453" i="3"/>
  <c r="G453" i="3"/>
  <c r="A455" i="3"/>
  <c r="E455" i="3"/>
  <c r="A457" i="3"/>
  <c r="E457" i="3"/>
  <c r="A458" i="3"/>
  <c r="E458" i="3"/>
  <c r="A459" i="3"/>
  <c r="E459" i="3"/>
  <c r="E460" i="3"/>
  <c r="G460" i="3"/>
  <c r="I461" i="3"/>
  <c r="A463" i="3"/>
  <c r="A464" i="3"/>
  <c r="G464" i="3"/>
  <c r="A465" i="3"/>
  <c r="G465" i="3"/>
  <c r="A466" i="3"/>
  <c r="G466" i="3"/>
  <c r="A467" i="3"/>
  <c r="G467" i="3"/>
  <c r="I468" i="3"/>
  <c r="A470" i="3"/>
  <c r="D470" i="3"/>
  <c r="I470" i="3"/>
  <c r="K470" i="3"/>
  <c r="A472" i="3"/>
  <c r="A473" i="3"/>
  <c r="G473" i="3"/>
  <c r="A474" i="3"/>
  <c r="G474" i="3"/>
  <c r="A475" i="3"/>
  <c r="G475" i="3"/>
  <c r="A476" i="3"/>
  <c r="K476" i="3"/>
  <c r="A478" i="3"/>
  <c r="D478" i="3"/>
  <c r="K478" i="3"/>
  <c r="M478" i="3"/>
  <c r="A480" i="3"/>
  <c r="A481" i="3"/>
  <c r="G481" i="3"/>
  <c r="A482" i="3"/>
  <c r="G482" i="3"/>
  <c r="A483" i="3"/>
  <c r="G483" i="3"/>
  <c r="A484" i="3"/>
  <c r="G484" i="3"/>
  <c r="A485" i="3"/>
  <c r="M485" i="3"/>
  <c r="D487" i="3"/>
  <c r="M487" i="3"/>
</calcChain>
</file>

<file path=xl/sharedStrings.xml><?xml version="1.0" encoding="utf-8"?>
<sst xmlns="http://schemas.openxmlformats.org/spreadsheetml/2006/main" count="1070" uniqueCount="600">
  <si>
    <t>TRANSWESTERN PIPELINE GROUP (Including Co. 92)</t>
  </si>
  <si>
    <t>BACKUP FOR BALANCE SHEET AND CASH FLOW STATEMENT</t>
  </si>
  <si>
    <t>2001 ACTUAL / ESTIMATE</t>
  </si>
  <si>
    <t>(Thousands of Dollars)</t>
  </si>
  <si>
    <t>ACTUAL</t>
  </si>
  <si>
    <t>PRE</t>
  </si>
  <si>
    <t xml:space="preserve">BALANCE </t>
  </si>
  <si>
    <t>ACT.</t>
  </si>
  <si>
    <t>3rd CE</t>
  </si>
  <si>
    <t>TOTAL</t>
  </si>
  <si>
    <t>JULY</t>
  </si>
  <si>
    <t>ESTIMATED</t>
  </si>
  <si>
    <t>12/31/00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</si>
  <si>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</si>
  <si>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</si>
  <si>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</si>
  <si>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</si>
  <si>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</si>
  <si>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</si>
  <si>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</si>
  <si>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</si>
  <si>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</si>
  <si>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</si>
  <si>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</si>
  <si>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</si>
  <si>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Y-T-D</t>
  </si>
  <si>
    <t>R.M.</t>
  </si>
  <si>
    <t>Cash / Temporary Cash Investments - Beg. Bal.</t>
  </si>
  <si>
    <t xml:space="preserve">   Actual / Estimate Adjustment</t>
  </si>
  <si>
    <t>Cash / Temporary Cash Investments - End. Bal.</t>
  </si>
  <si>
    <t xml:space="preserve">      Change</t>
  </si>
  <si>
    <t>Accounts Receivable - Beg. Balance</t>
  </si>
  <si>
    <t xml:space="preserve">   Previous Month Subtotal</t>
  </si>
  <si>
    <t xml:space="preserve">   Fuel Sales (Assumed Net Over Retainage)</t>
  </si>
  <si>
    <t>(L)</t>
  </si>
  <si>
    <t xml:space="preserve">   Transportion Revenue </t>
  </si>
  <si>
    <t xml:space="preserve">   ET&amp;S "Stretch" Revenue</t>
  </si>
  <si>
    <t xml:space="preserve">   Other Revenue</t>
  </si>
  <si>
    <t xml:space="preserve">   Rate Case Impact (Higher Rates)</t>
  </si>
  <si>
    <t xml:space="preserve">      Subtotal - Revenue</t>
  </si>
  <si>
    <t xml:space="preserve">   Other</t>
  </si>
  <si>
    <t xml:space="preserve">   Assigned receivables Sale (Reclass to A/P 3/01)</t>
  </si>
  <si>
    <t>Accounts Receivable - End. Balance</t>
  </si>
  <si>
    <t>Asset Price Risk Management (Current) - Beg. Balance</t>
  </si>
  <si>
    <t xml:space="preserve">   Other Speculative (Reclass from NonCur. 4/01)</t>
  </si>
  <si>
    <t>Asset Price Risk Management (Current) - End. Balance</t>
  </si>
  <si>
    <t>Prepayments - Beg. Balance</t>
  </si>
  <si>
    <t xml:space="preserve">   DOT Users Fees - 2001(Expensed in 2000)</t>
  </si>
  <si>
    <t xml:space="preserve">         - 2002</t>
  </si>
  <si>
    <t xml:space="preserve">   Gas Purchases</t>
  </si>
  <si>
    <t>Prepayments - End. Balance</t>
  </si>
  <si>
    <t>Materials &amp; Supplies - Beg. Balance</t>
  </si>
  <si>
    <t>Materials &amp; Supplies - End. Balance</t>
  </si>
  <si>
    <t>Exchange Gas Receivable - Beg. Balance</t>
  </si>
  <si>
    <t>Exchange Gas Receivable - End. Balance</t>
  </si>
  <si>
    <t>Regulatory Assets (Current) - Beg. Balance.</t>
  </si>
  <si>
    <t xml:space="preserve">   Accumulated Reserve Adjustment (Refunction.)</t>
  </si>
  <si>
    <t xml:space="preserve">   AFUDC Gross-Up </t>
  </si>
  <si>
    <t xml:space="preserve">   South Georgia</t>
  </si>
  <si>
    <t xml:space="preserve">   Unamortized Debt Expense.</t>
  </si>
  <si>
    <t xml:space="preserve">   Rate Case Costs (Reg Com. Exp.)</t>
  </si>
  <si>
    <t xml:space="preserve">   ACA - Payments</t>
  </si>
  <si>
    <t xml:space="preserve">           - Amortization</t>
  </si>
  <si>
    <t xml:space="preserve">   PGAR </t>
  </si>
  <si>
    <t xml:space="preserve">   Severance &amp; Relocation</t>
  </si>
  <si>
    <t xml:space="preserve">   TCR 2 </t>
  </si>
  <si>
    <t xml:space="preserve">      TCR Preferred Interest</t>
  </si>
  <si>
    <t xml:space="preserve">   Santa Fe</t>
  </si>
  <si>
    <t xml:space="preserve">   Pipe Recoating</t>
  </si>
  <si>
    <t xml:space="preserve">   Mini Settle. (Reclass from Reg Assets) - Sunrise</t>
  </si>
  <si>
    <t xml:space="preserve">                    - Uncollectible A/R</t>
  </si>
  <si>
    <t xml:space="preserve">                    - FERC Audit Adjustment</t>
  </si>
  <si>
    <t xml:space="preserve">                    - TCR C</t>
  </si>
  <si>
    <t xml:space="preserve">                    - PGAR</t>
  </si>
  <si>
    <t xml:space="preserve">                    - Monsanto</t>
  </si>
  <si>
    <t xml:space="preserve">                    - JJCC</t>
  </si>
  <si>
    <t xml:space="preserve">                    - Extraordinary Environmental Costs</t>
  </si>
  <si>
    <t>Regulatory Assets (Current) - End. Balance.</t>
  </si>
  <si>
    <t>Other Current Assets - Beg. Balance</t>
  </si>
  <si>
    <t xml:space="preserve">   System Balancing Gas </t>
  </si>
  <si>
    <t xml:space="preserve">   Variable Pay Accrual</t>
  </si>
  <si>
    <t>Other Current Assets - End. Balance</t>
  </si>
  <si>
    <t>Pipeline Partnerships - Beg. Balance</t>
  </si>
  <si>
    <t xml:space="preserve">   Partnership Income / Loss</t>
  </si>
  <si>
    <t xml:space="preserve">   Partnership Distribution</t>
  </si>
  <si>
    <t>Pipeline Partnerships - End. Balance</t>
  </si>
  <si>
    <t>Investments &amp; Other Assets - Beg. Balance</t>
  </si>
  <si>
    <t>Investments &amp; Other Assets - End. Balance</t>
  </si>
  <si>
    <t>Plant - Beg. Balance</t>
  </si>
  <si>
    <t xml:space="preserve">   Capital Expend. (Rudy) - Additions to Property</t>
  </si>
  <si>
    <t xml:space="preserve">         - Other CAPEX (Gas Reclass to Finished Plant)</t>
  </si>
  <si>
    <t xml:space="preserve">         - Yr. End Accrual Activity / Add. O&amp;M Capitalization</t>
  </si>
  <si>
    <t xml:space="preserve">         - Laguna (Nov.) &amp; Navajo (May) ROW Settlements</t>
  </si>
  <si>
    <t xml:space="preserve">   AFUDC</t>
  </si>
  <si>
    <t xml:space="preserve">   Asset Sales - Net Plant (KN Energy #1)</t>
  </si>
  <si>
    <t xml:space="preserve">                      - Net Plant (KN Energy #2)</t>
  </si>
  <si>
    <t xml:space="preserve">   Plant / Reserve Adjustments</t>
  </si>
  <si>
    <t xml:space="preserve">   Linepack Revaluation vs. Other CAPEX (3/98 Forward)</t>
  </si>
  <si>
    <r>
      <t xml:space="preserve">   Retirements at Cost </t>
    </r>
    <r>
      <rPr>
        <sz val="10"/>
        <color indexed="10"/>
        <rFont val="Arial"/>
        <family val="2"/>
      </rPr>
      <t>(Was 12/00 Compressors)</t>
    </r>
  </si>
  <si>
    <t>Plant - End. Balance</t>
  </si>
  <si>
    <t>Accumulated Depreciation - Beg. Balance</t>
  </si>
  <si>
    <t xml:space="preserve">   Depreciation Expense</t>
  </si>
  <si>
    <t xml:space="preserve">   Plant Amortization</t>
  </si>
  <si>
    <t xml:space="preserve">   Removals </t>
  </si>
  <si>
    <t xml:space="preserve">   Salvage </t>
  </si>
  <si>
    <t xml:space="preserve">   Rate Case Adjustment</t>
  </si>
  <si>
    <t xml:space="preserve">   Pipe Recoating / Accumulated Reserve Adjustment</t>
  </si>
  <si>
    <t xml:space="preserve">   Asset Sales </t>
  </si>
  <si>
    <t xml:space="preserve">   Retirement of Reserves / Non-Utility Depreciation</t>
  </si>
  <si>
    <t>Accumulated Depreciation - End. Balance</t>
  </si>
  <si>
    <t>Deferred Contract Reform. Costs (NonCur.) - Beg. Balance</t>
  </si>
  <si>
    <t>Deferred Contract Reform. Costs (NonCur.) - End. Balance</t>
  </si>
  <si>
    <t>Asset Price Risk Management (Noncurrent) - Beg. Balance</t>
  </si>
  <si>
    <t xml:space="preserve">   Other Comprehensive Income</t>
  </si>
  <si>
    <t xml:space="preserve">   Other Speculative (Reclass to Current 4/01)</t>
  </si>
  <si>
    <t>Asset Price Risk Management (Noncurrent) - End. Balance</t>
  </si>
  <si>
    <t>MONTHLY</t>
  </si>
  <si>
    <t>Regulatory Assets (Noncurrent) - Beg. Balance</t>
  </si>
  <si>
    <t>END. BAL.</t>
  </si>
  <si>
    <t xml:space="preserve">   Accumulated Reserve Adjust. (Refunction.) - Principal / Other</t>
  </si>
  <si>
    <t xml:space="preserve">          - Amortization</t>
  </si>
  <si>
    <t xml:space="preserve">   AFUDC - Gross-Up </t>
  </si>
  <si>
    <t xml:space="preserve">   South Georgia - Principal / Other</t>
  </si>
  <si>
    <t xml:space="preserve">   Sunrise - Principal / Other</t>
  </si>
  <si>
    <t xml:space="preserve">   Uncollectible A/R - Principal / Other (Reclass from Cur. 7/01)</t>
  </si>
  <si>
    <t xml:space="preserve">   FERC Audit Adjustment - Principal / Other</t>
  </si>
  <si>
    <t xml:space="preserve">   TCR C - Principal / Other</t>
  </si>
  <si>
    <t xml:space="preserve">   PGAR - Principal / Other</t>
  </si>
  <si>
    <t xml:space="preserve">   Monsanto Litigation - Principal / Other</t>
  </si>
  <si>
    <t xml:space="preserve">   JJCC Litigation - Principal / Other</t>
  </si>
  <si>
    <t xml:space="preserve">   Extraordinary Environmental - Principal / Other</t>
  </si>
  <si>
    <t xml:space="preserve">   Pipe Recoating - Principal / Other</t>
  </si>
  <si>
    <t xml:space="preserve">                          - Amortization (Reg. Amort.)</t>
  </si>
  <si>
    <t xml:space="preserve">   Regulatory Commission Expense (Reg. Amort.)</t>
  </si>
  <si>
    <t xml:space="preserve">          - Reclass to Current (5/99)</t>
  </si>
  <si>
    <t xml:space="preserve">   Y2K Costs Deferrals (Reclass from Def. Charges 7/00)</t>
  </si>
  <si>
    <t xml:space="preserve">   TCR 2 - Other Costs </t>
  </si>
  <si>
    <t xml:space="preserve">             - Amortization</t>
  </si>
  <si>
    <t xml:space="preserve">   TCR Interest - Principal</t>
  </si>
  <si>
    <t xml:space="preserve">                   - Surcharge Tracker</t>
  </si>
  <si>
    <t xml:space="preserve">   Severance / Relocation - Principal</t>
  </si>
  <si>
    <t xml:space="preserve">      Funds Flow Management (Final Plan)</t>
  </si>
  <si>
    <t xml:space="preserve">      Funds Flow Management (2nd CE)</t>
  </si>
  <si>
    <t xml:space="preserve">      Funds Flow Management (3rd Qtr. Forecast)</t>
  </si>
  <si>
    <t>Regulatory Assets (Noncurrent) - End. Balance</t>
  </si>
  <si>
    <t>Deferred Charges - Beg. Balance</t>
  </si>
  <si>
    <t xml:space="preserve">   Amortized Loss on Reacquired Debt</t>
  </si>
  <si>
    <t xml:space="preserve">   Non Construc.WIP (Incl. Temp. Holding) - Normal</t>
  </si>
  <si>
    <t xml:space="preserve">          - Y2K Cost Deferrals (Reclass to Reg. Assets 7/00)</t>
  </si>
  <si>
    <t xml:space="preserve">          - Navajo ROW</t>
  </si>
  <si>
    <t xml:space="preserve">   Unamortized Debt Expense</t>
  </si>
  <si>
    <t xml:space="preserve">   Operation Information Costs</t>
  </si>
  <si>
    <t xml:space="preserve">   Santa Fe Amortization</t>
  </si>
  <si>
    <t xml:space="preserve">   Unidentified "Stretch" (Non Cash)</t>
  </si>
  <si>
    <t xml:space="preserve">   Quarterly Actual vs. Flash Variance (Hyperion Adjust.)</t>
  </si>
  <si>
    <t>Deferred Charges - End. Balance</t>
  </si>
  <si>
    <t>TOTAL ASSETS</t>
  </si>
  <si>
    <t xml:space="preserve">      Net Change</t>
  </si>
  <si>
    <t>Accounts Payable (Assoc. / Other) - Beg. Bal.</t>
  </si>
  <si>
    <t xml:space="preserve">   Gas Purchased &amp; Produced</t>
  </si>
  <si>
    <t>(UL)</t>
  </si>
  <si>
    <t xml:space="preserve">   Liquids Fuel &amp; Shrinkage </t>
  </si>
  <si>
    <t xml:space="preserve">   Transport Fuel &amp; Shrinkage </t>
  </si>
  <si>
    <t xml:space="preserve">   Miscellaneous</t>
  </si>
  <si>
    <t xml:space="preserve">      Subtotal</t>
  </si>
  <si>
    <t xml:space="preserve">   Year End Accrual</t>
  </si>
  <si>
    <t xml:space="preserve">   Assigned receivables Sale (Reclass From A/R 3/01)</t>
  </si>
  <si>
    <t xml:space="preserve">   Associated Companies (Interco.)</t>
  </si>
  <si>
    <t xml:space="preserve">   Long Term Debt (Current $27.0 - $3.850 Due 11/1 Each Year)</t>
  </si>
  <si>
    <t>Accounts Payable (Assoc. / Other) - End. Bal.</t>
  </si>
  <si>
    <t>Accounts Payable (Corporate &amp; CAFCO) - Beg. Bal.</t>
  </si>
  <si>
    <t xml:space="preserve">   Corporate Payable (Acct. 1460)</t>
  </si>
  <si>
    <t xml:space="preserve">   CAFCO Payable (Acct. 1420)</t>
  </si>
  <si>
    <t>(O)</t>
  </si>
  <si>
    <t xml:space="preserve">   Actual / Estimate Adjustment (CAFCO ?)</t>
  </si>
  <si>
    <t>Accounts Payable (Corporate &amp; CAFCO) - End. Bal.</t>
  </si>
  <si>
    <t>Accounts Payable (Other) - Beg. Bal.</t>
  </si>
  <si>
    <t xml:space="preserve">   Current Month Activity   </t>
  </si>
  <si>
    <t xml:space="preserve">   Actual / Estimate Adjustment </t>
  </si>
  <si>
    <t>Accounts Payable (Other) - End. Bal.</t>
  </si>
  <si>
    <t>Liability Price Risk Management (Current)- Beg. Balance</t>
  </si>
  <si>
    <t xml:space="preserve">   Other Comprehensive Loss (Reclass from NonCurrent 4/01)</t>
  </si>
  <si>
    <t xml:space="preserve">   Other Compre. Loss (Reclass from NonCurrent Assets 6/01)</t>
  </si>
  <si>
    <t>Exchange Gas Payable - Beg. Balance</t>
  </si>
  <si>
    <t>Exchange Gas Payable - End. Balance</t>
  </si>
  <si>
    <t>Accrued Taxes - Beg. Balance</t>
  </si>
  <si>
    <t xml:space="preserve">   Taxes Other than Income</t>
  </si>
  <si>
    <t xml:space="preserve">   Property Tax Payments  (Acct. 2360-200)</t>
  </si>
  <si>
    <t xml:space="preserve">   Misc. Tax. Pay. (Acct. 2360-100/300/999 &amp; 2410-100)</t>
  </si>
  <si>
    <t xml:space="preserve">   Payroll Tax Payments</t>
  </si>
  <si>
    <t xml:space="preserve">      Net Adjustments</t>
  </si>
  <si>
    <t xml:space="preserve">   Income Tax (w/o Capital Cost) Exp.  (Per P/L)</t>
  </si>
  <si>
    <t xml:space="preserve">   Current Payable</t>
  </si>
  <si>
    <t xml:space="preserve">   Tax Payment  (Input Actual)</t>
  </si>
  <si>
    <t xml:space="preserve">      Accrual Amount</t>
  </si>
  <si>
    <t xml:space="preserve">   Total Changes</t>
  </si>
  <si>
    <t xml:space="preserve">   Previous Month Balance - YTD</t>
  </si>
  <si>
    <t>Accrued Taxes - End. Balance</t>
  </si>
  <si>
    <t>Deferred Taxes (Current) - Beg. Balance</t>
  </si>
  <si>
    <t xml:space="preserve">   Current Month Activity (Earnings Model Def. Taxes)</t>
  </si>
  <si>
    <t xml:space="preserve">   Tax Department Adjustment</t>
  </si>
  <si>
    <t>Deferred Taxes (Current) - End. Balance</t>
  </si>
  <si>
    <t>Deferred Taxes (Noncurrent) - Beg. Balance</t>
  </si>
  <si>
    <t xml:space="preserve">   Price Risk Liab. (1/01-3/01 $14.0 MM) Tax Adj. 3/01 Forward</t>
  </si>
  <si>
    <t>Deferred Taxes (Noncurrent) - End. Balance</t>
  </si>
  <si>
    <t>Accrued Interest - Beg. Balance</t>
  </si>
  <si>
    <t xml:space="preserve">   Long-Term Debt  (External &amp; Internal (4/1/01) Forward)</t>
  </si>
  <si>
    <t xml:space="preserve">   Interest Payments on Long Term Debt</t>
  </si>
  <si>
    <t>Accrued Interest - End. Balance</t>
  </si>
  <si>
    <t>Other Current Liabilities - Beg. Balance</t>
  </si>
  <si>
    <t xml:space="preserve">   Reserve Issues - Other</t>
  </si>
  <si>
    <t xml:space="preserve">        - Deferred Interest Income (Starting in 1997)</t>
  </si>
  <si>
    <t xml:space="preserve">        - Other (Earning Management)</t>
  </si>
  <si>
    <t xml:space="preserve">        - Negotiated Rates / SoCal Issue </t>
  </si>
  <si>
    <t xml:space="preserve">        - Misc. (2/01 Grynberg Legal, 3/01 Fuel Issue)</t>
  </si>
  <si>
    <t xml:space="preserve">   Net Payroll Clearing / Bonuses</t>
  </si>
  <si>
    <t xml:space="preserve">   Variable Pay (Reclass 3/99) / Bonus / PBA Accrual ???</t>
  </si>
  <si>
    <t xml:space="preserve">   Earnest Money</t>
  </si>
  <si>
    <t xml:space="preserve">   Other </t>
  </si>
  <si>
    <t xml:space="preserve">   Unclaimed Vouchers</t>
  </si>
  <si>
    <t>Other Current Liabilities - End. Balance</t>
  </si>
  <si>
    <t>Regulatory Liabilities (Current) - Beg. Balance</t>
  </si>
  <si>
    <t>Regulatory Liabilities (Noncurrent) - Beg. Balance</t>
  </si>
  <si>
    <t>Regulatory Liabilities (Noncurrent) - End. Balance</t>
  </si>
  <si>
    <t>Other Deferred Credits - Beg. Balance</t>
  </si>
  <si>
    <t xml:space="preserve">   Unamortized Gain on Reacquired Debt</t>
  </si>
  <si>
    <t xml:space="preserve">   PG&amp;E ($430) and UAF ($244) Accruals</t>
  </si>
  <si>
    <t xml:space="preserve">   Provision for Rate Refund</t>
  </si>
  <si>
    <t xml:space="preserve">   Misc. (Acct. 2530-999-9999)</t>
  </si>
  <si>
    <t xml:space="preserve">   Gallup Issue</t>
  </si>
  <si>
    <t>Other Deferred Credits - End. Balance</t>
  </si>
  <si>
    <t>Liability Price Risk Management (Noncurrent)- Beg. Balance</t>
  </si>
  <si>
    <t xml:space="preserve">   Other Comprehensive Loss</t>
  </si>
  <si>
    <t xml:space="preserve">      Reclass to Current (4/01)</t>
  </si>
  <si>
    <t>Liability Price Risk Management (Noncurrent)- End. Balance</t>
  </si>
  <si>
    <t>Payable / (Receivable) From Corporate - Beg. Balance</t>
  </si>
  <si>
    <t xml:space="preserve">   Increase / (Decrease) in Intercompany Cash</t>
  </si>
  <si>
    <t xml:space="preserve">   Payable / Receivable - Enron Corporate Payable</t>
  </si>
  <si>
    <t xml:space="preserve">                                  - Enron Corporate CAFCO</t>
  </si>
  <si>
    <t xml:space="preserve">   Dividends to Corporate</t>
  </si>
  <si>
    <t xml:space="preserve">   Debt Discount Component</t>
  </si>
  <si>
    <t xml:space="preserve">   Corporate Beginning Balance Adjustment</t>
  </si>
  <si>
    <t>Payable / (Receivable) From Corporate - End. Balance</t>
  </si>
  <si>
    <t>Long Term Debt - Beg. Balance</t>
  </si>
  <si>
    <t xml:space="preserve">   Principal - Internal</t>
  </si>
  <si>
    <t xml:space="preserve">                - $150.0 MM @ 7.40% Due 4/1/01 (Corp.)</t>
  </si>
  <si>
    <t xml:space="preserve">                - $23.0 MM @ 9.10% Due 5/1/00</t>
  </si>
  <si>
    <t xml:space="preserve">                - $27.0 MM (Less Current Portion) @ 9.20%</t>
  </si>
  <si>
    <t xml:space="preserve">   Debt Discount</t>
  </si>
  <si>
    <t>Long Term Debt - End. Balance</t>
  </si>
  <si>
    <t>Capitalization - Beg. Balance</t>
  </si>
  <si>
    <t xml:space="preserve">   Net Income Before Capital Costs-w/o Asset Sales</t>
  </si>
  <si>
    <t xml:space="preserve">         - Net Gain / (Loss) on Asset Sales (External)</t>
  </si>
  <si>
    <t xml:space="preserve">         - Net Gain / (Loss) on Asset Sales (Assoc. Co.)</t>
  </si>
  <si>
    <t xml:space="preserve">   FASB 133 - Comprehensive Income / (Loss)</t>
  </si>
  <si>
    <t xml:space="preserve">                   - Tax Adjustment (1/01-4/01)</t>
  </si>
  <si>
    <t>Capitalization - End. Balance</t>
  </si>
  <si>
    <t>TOTAL LIABILITIES &amp; STOCKHOLDERS EQUITY</t>
  </si>
  <si>
    <t>Check # - Cumulative</t>
  </si>
  <si>
    <t xml:space="preserve">             - Current Month</t>
  </si>
  <si>
    <t>\P</t>
  </si>
  <si>
    <t>:PlbtTITLE1~qqrsASSET1~g</t>
  </si>
  <si>
    <t>:PrsASSET2~g</t>
  </si>
  <si>
    <t>:PrsASSET3~g</t>
  </si>
  <si>
    <t>:PrsASSET4~g</t>
  </si>
  <si>
    <t>:PrsASSET5~g</t>
  </si>
  <si>
    <t>:PrsLIAB1~g</t>
  </si>
  <si>
    <t>:PrsLIAB2~g</t>
  </si>
  <si>
    <t>:PrsLIAB3~g</t>
  </si>
  <si>
    <t>:PrsLIAB4~g</t>
  </si>
  <si>
    <t>FAIR VALUE COMPANY (Co. 92)</t>
  </si>
  <si>
    <t xml:space="preserve">TRANSWESTERN PIPELINE COMPANY </t>
  </si>
  <si>
    <t>BALANCE SHEET</t>
  </si>
  <si>
    <t xml:space="preserve">PRINT: </t>
  </si>
  <si>
    <t>CURRENT ASSETS</t>
  </si>
  <si>
    <t>1</t>
  </si>
  <si>
    <t xml:space="preserve">   Cash &amp; Temporary Cash Investments</t>
  </si>
  <si>
    <t>2</t>
  </si>
  <si>
    <t xml:space="preserve">   Accounts Receivable</t>
  </si>
  <si>
    <t>I</t>
  </si>
  <si>
    <t xml:space="preserve">   Enron Corporate - Receivable (Acct. 1466)</t>
  </si>
  <si>
    <t xml:space="preserve">                           - Payable (Acct. 1460)</t>
  </si>
  <si>
    <t>3</t>
  </si>
  <si>
    <t xml:space="preserve">   Asset Price Risk Management</t>
  </si>
  <si>
    <t xml:space="preserve">   Materials and Supplies</t>
  </si>
  <si>
    <t>4</t>
  </si>
  <si>
    <t xml:space="preserve">   Exchange Gas Receivable</t>
  </si>
  <si>
    <t xml:space="preserve">   (Over) / Under Recovered Gas Cost</t>
  </si>
  <si>
    <t xml:space="preserve">   Prepayments</t>
  </si>
  <si>
    <t>8</t>
  </si>
  <si>
    <t xml:space="preserve">   Regulatory Assets</t>
  </si>
  <si>
    <t xml:space="preserve">      Total Current Assets</t>
  </si>
  <si>
    <t>INVESTMENTS AND OTHER ASSETS</t>
  </si>
  <si>
    <t>5</t>
  </si>
  <si>
    <t xml:space="preserve">   Pipeline Partnerships</t>
  </si>
  <si>
    <t>9</t>
  </si>
  <si>
    <t xml:space="preserve">      Total Investments &amp; Other Assets</t>
  </si>
  <si>
    <t>PLANT</t>
  </si>
  <si>
    <t xml:space="preserve">   Accumulated Depreciation</t>
  </si>
  <si>
    <t>6</t>
  </si>
  <si>
    <t xml:space="preserve">      Net Plant</t>
  </si>
  <si>
    <t>DEFERRED CHARGES</t>
  </si>
  <si>
    <t xml:space="preserve">   Deferred Contract Reformation Costs </t>
  </si>
  <si>
    <t>7</t>
  </si>
  <si>
    <t xml:space="preserve">   Other Regulatory Assets</t>
  </si>
  <si>
    <t xml:space="preserve">      Total Deferred Charges</t>
  </si>
  <si>
    <t xml:space="preserve">            TOTAL ASSETS</t>
  </si>
  <si>
    <t>CURRENT LIABILITIES</t>
  </si>
  <si>
    <t>A</t>
  </si>
  <si>
    <t xml:space="preserve">   Accounts Payable - Assoc. Companies / Trade</t>
  </si>
  <si>
    <t xml:space="preserve">                               - Other</t>
  </si>
  <si>
    <t>B</t>
  </si>
  <si>
    <t xml:space="preserve">   Liability Price Risk Management</t>
  </si>
  <si>
    <t xml:space="preserve">   Exchange Gas Payable</t>
  </si>
  <si>
    <t xml:space="preserve">   Accrued Taxes</t>
  </si>
  <si>
    <t>C</t>
  </si>
  <si>
    <t xml:space="preserve">   Deferred Income Taxes - Current</t>
  </si>
  <si>
    <t xml:space="preserve">   Accrued Interest</t>
  </si>
  <si>
    <t>F</t>
  </si>
  <si>
    <t xml:space="preserve">   Regulatory Liabilities</t>
  </si>
  <si>
    <t>H</t>
  </si>
  <si>
    <t xml:space="preserve">      Total Current Liabilities</t>
  </si>
  <si>
    <t>DEFERRED CREDITS AND OTHER LIABILITIES</t>
  </si>
  <si>
    <t>D</t>
  </si>
  <si>
    <t xml:space="preserve">   Deferred Income Taxes</t>
  </si>
  <si>
    <t>G</t>
  </si>
  <si>
    <t xml:space="preserve">   Other Regulatory Liabilities</t>
  </si>
  <si>
    <t xml:space="preserve">      Total Deferred Credits &amp; Other Liabilities</t>
  </si>
  <si>
    <t xml:space="preserve">DEBT </t>
  </si>
  <si>
    <t xml:space="preserve">   Payable from Corporate</t>
  </si>
  <si>
    <t>J</t>
  </si>
  <si>
    <t xml:space="preserve">   Long-term Debt - External</t>
  </si>
  <si>
    <t xml:space="preserve">                          - Assoc. Companies</t>
  </si>
  <si>
    <t xml:space="preserve">      Total Debt</t>
  </si>
  <si>
    <t>EQUITY</t>
  </si>
  <si>
    <t xml:space="preserve">   Common Stock</t>
  </si>
  <si>
    <t xml:space="preserve">   Paid-in Capital</t>
  </si>
  <si>
    <t xml:space="preserve">   Accum. Other Comprehensive Income / (Loss)</t>
  </si>
  <si>
    <t xml:space="preserve">   Retained Earnings</t>
  </si>
  <si>
    <t>K</t>
  </si>
  <si>
    <t xml:space="preserve">      Total Equity</t>
  </si>
  <si>
    <t xml:space="preserve">            TOTAL LIABILITIES &amp; EQUITY</t>
  </si>
  <si>
    <t xml:space="preserve">      CHECK #</t>
  </si>
  <si>
    <t>PRINT: RONCEMO</t>
  </si>
  <si>
    <t>AVERAGE NET CAPITAL EMPLOYED</t>
  </si>
  <si>
    <t>PRINT: RONCEMO93</t>
  </si>
  <si>
    <t xml:space="preserve">  AVERAGE NET CAPITAL EMPLOYED</t>
  </si>
  <si>
    <t>ROLLING</t>
  </si>
  <si>
    <t>AVERAGE</t>
  </si>
  <si>
    <t>JUNE</t>
  </si>
  <si>
    <t>1993</t>
  </si>
  <si>
    <t>ACT./EST.</t>
  </si>
  <si>
    <t>1992</t>
  </si>
  <si>
    <t xml:space="preserve"> ACT./EST.</t>
  </si>
  <si>
    <t>NET CAPITAL EMPLOYED</t>
  </si>
  <si>
    <t xml:space="preserve">   ASSETS</t>
  </si>
  <si>
    <t xml:space="preserve">       Cash</t>
  </si>
  <si>
    <t xml:space="preserve">       Accounts Receivable</t>
  </si>
  <si>
    <t xml:space="preserve">       Short-Term Receivable - Corporate</t>
  </si>
  <si>
    <t xml:space="preserve">       Inventories</t>
  </si>
  <si>
    <t xml:space="preserve">       Prepaid &amp; Other Assets</t>
  </si>
  <si>
    <t xml:space="preserve">       Property - Net</t>
  </si>
  <si>
    <t xml:space="preserve">       Other Tangible Assets</t>
  </si>
  <si>
    <t xml:space="preserve">       Intangible Assets</t>
  </si>
  <si>
    <t xml:space="preserve">          Total Assets</t>
  </si>
  <si>
    <t xml:space="preserve">   LESS:</t>
  </si>
  <si>
    <t xml:space="preserve">   INTEREST FREE LIABILITIES</t>
  </si>
  <si>
    <t xml:space="preserve">       Accounts Payable</t>
  </si>
  <si>
    <t xml:space="preserve">       Accrued Liabilities</t>
  </si>
  <si>
    <t xml:space="preserve">       Current Tax Liabilities</t>
  </si>
  <si>
    <t xml:space="preserve">       Deferred Tax Liabilities</t>
  </si>
  <si>
    <t xml:space="preserve">       Other Liabilities</t>
  </si>
  <si>
    <t xml:space="preserve">          Total Interest Free Liabilities</t>
  </si>
  <si>
    <t xml:space="preserve">   SOURCES OF NET CAPITAL EMPLOYED</t>
  </si>
  <si>
    <t xml:space="preserve">       Short-Term Payable - Corporate</t>
  </si>
  <si>
    <t xml:space="preserve">       Short-Term payable (rec.) - Corporate</t>
  </si>
  <si>
    <t xml:space="preserve">       Long-Term Payable - Corporate</t>
  </si>
  <si>
    <t xml:space="preserve">       Long-Term payable - Corporate</t>
  </si>
  <si>
    <t xml:space="preserve">       Third Party Debt</t>
  </si>
  <si>
    <t xml:space="preserve">          Total Debt</t>
  </si>
  <si>
    <t xml:space="preserve">          Total Equity</t>
  </si>
  <si>
    <t>TOTAL NET CAPITAL EMPLOYED</t>
  </si>
  <si>
    <t>TOTAL NET INCOME (BEFORE CAPITAL COSTS)</t>
  </si>
  <si>
    <t>RONCE</t>
  </si>
  <si>
    <t>PRINT: CORPBS</t>
  </si>
  <si>
    <t>BALANCE SHEET ANALYSIS</t>
  </si>
  <si>
    <t>PRINT: CORPBS93</t>
  </si>
  <si>
    <t xml:space="preserve">         BALANCE SHEET ANALYSIS</t>
  </si>
  <si>
    <t>ASSETS</t>
  </si>
  <si>
    <t xml:space="preserve">    Cash</t>
  </si>
  <si>
    <t xml:space="preserve">    Accounts Receivable</t>
  </si>
  <si>
    <t xml:space="preserve">    Receivable from Corporate</t>
  </si>
  <si>
    <t xml:space="preserve">    Materials &amp; Supplies</t>
  </si>
  <si>
    <t xml:space="preserve">    Prepaid &amp; Other Assets</t>
  </si>
  <si>
    <t xml:space="preserve">    Investments</t>
  </si>
  <si>
    <t xml:space="preserve">    Property - Net</t>
  </si>
  <si>
    <t xml:space="preserve">    Development Costs</t>
  </si>
  <si>
    <t xml:space="preserve">    Deferred Regulatory Assets</t>
  </si>
  <si>
    <t xml:space="preserve">    Deferred Contract Reformation Costs</t>
  </si>
  <si>
    <t xml:space="preserve">    Other Tangible Assets</t>
  </si>
  <si>
    <t xml:space="preserve">    Other Intangible Assets</t>
  </si>
  <si>
    <t xml:space="preserve">         Total Assets</t>
  </si>
  <si>
    <t>LIABILITIES</t>
  </si>
  <si>
    <t xml:space="preserve">    Accounts Payable</t>
  </si>
  <si>
    <t xml:space="preserve">    Accrued Liabilities</t>
  </si>
  <si>
    <t xml:space="preserve">    Bill in Excess of Costs</t>
  </si>
  <si>
    <t xml:space="preserve">    Current Tax Liabilities</t>
  </si>
  <si>
    <t xml:space="preserve">    Deferred Tax Liabilities</t>
  </si>
  <si>
    <t xml:space="preserve">    Deferred Construction Profits / Performance Bonus</t>
  </si>
  <si>
    <t>E</t>
  </si>
  <si>
    <t xml:space="preserve">    Deferred PAGUS Revenue</t>
  </si>
  <si>
    <t xml:space="preserve">    Deferred TCR Revenue</t>
  </si>
  <si>
    <t xml:space="preserve">    Deferred GSR / PGA Revenue</t>
  </si>
  <si>
    <t xml:space="preserve">    Other Regulatory Liabilities</t>
  </si>
  <si>
    <t xml:space="preserve">    Other Liabilities</t>
  </si>
  <si>
    <t xml:space="preserve">         Total Liabilities </t>
  </si>
  <si>
    <t>CAPITAL</t>
  </si>
  <si>
    <t xml:space="preserve">    Payable from Corporate</t>
  </si>
  <si>
    <t xml:space="preserve">    Payable / (Receivable) from Corporate</t>
  </si>
  <si>
    <t xml:space="preserve">    Long-term Debt - External</t>
  </si>
  <si>
    <t xml:space="preserve">    Capitalization</t>
  </si>
  <si>
    <t xml:space="preserve">         Total Capital</t>
  </si>
  <si>
    <t xml:space="preserve">    Total Liabilities and Capital</t>
  </si>
  <si>
    <t xml:space="preserve">\P </t>
  </si>
  <si>
    <t>:PlbtTITLE1~qqrsMOASSET~g</t>
  </si>
  <si>
    <t>:PrsMOLIAB~g</t>
  </si>
  <si>
    <t>\R</t>
  </si>
  <si>
    <t>:PlbtTITLE2~qqrs93ASSET~g</t>
  </si>
  <si>
    <t>:Prs93LIAB~g</t>
  </si>
  <si>
    <t>PRINT: PRINT</t>
  </si>
  <si>
    <t>CASH FLOW STATEMENT</t>
  </si>
  <si>
    <t>PRINT: COMPARE</t>
  </si>
  <si>
    <t>PLAN</t>
  </si>
  <si>
    <t>SEPT.</t>
  </si>
  <si>
    <t>ACT./EST. vs. PLAN</t>
  </si>
  <si>
    <t>2nd C.E.</t>
  </si>
  <si>
    <t>Sept. YTD</t>
  </si>
  <si>
    <t>ANNUAL</t>
  </si>
  <si>
    <t>Variance</t>
  </si>
  <si>
    <t>CASH FLOW FROM OPERATING ACTIVITIES</t>
  </si>
  <si>
    <t xml:space="preserve">   Net Income </t>
  </si>
  <si>
    <t xml:space="preserve">   Items not affecting Working Capital:</t>
  </si>
  <si>
    <t xml:space="preserve">      Depreciation and Amortization</t>
  </si>
  <si>
    <t xml:space="preserve">      Regulatory Amortization - TCR</t>
  </si>
  <si>
    <t xml:space="preserve">      Deferred Income Taxes - Both Current and Noncurrent</t>
  </si>
  <si>
    <t xml:space="preserve">   Working Capital Changes:</t>
  </si>
  <si>
    <t xml:space="preserve">      Accounts and Notes Receivable</t>
  </si>
  <si>
    <t xml:space="preserve">      Inventories (Materials &amp; Supplies)</t>
  </si>
  <si>
    <t xml:space="preserve">      Accounts Payable - Assoc. Companies / Trade</t>
  </si>
  <si>
    <t xml:space="preserve">                    - Other</t>
  </si>
  <si>
    <t xml:space="preserve">      Exchange Gas - Receivable</t>
  </si>
  <si>
    <t xml:space="preserve">                    - Payable</t>
  </si>
  <si>
    <t xml:space="preserve">      Prepayments</t>
  </si>
  <si>
    <t xml:space="preserve">      Accrued Interest - Third Party</t>
  </si>
  <si>
    <t xml:space="preserve">      Accrued Taxes, Other Than Income</t>
  </si>
  <si>
    <t xml:space="preserve">      Other Current Assets or Liabilities (W/O Reserve Activity)</t>
  </si>
  <si>
    <t xml:space="preserve">   Price Risk Management Activities (Net)</t>
  </si>
  <si>
    <t xml:space="preserve">   Equity Earnings</t>
  </si>
  <si>
    <t xml:space="preserve">   Equity / Partnership Distributions</t>
  </si>
  <si>
    <t xml:space="preserve">   Net (Gain) / Loss on Sale of Assets</t>
  </si>
  <si>
    <t xml:space="preserve">   Other Regulatory Assets / Liabilities</t>
  </si>
  <si>
    <t xml:space="preserve">   Other (Incl. All Capital Costs &amp; Current Reserve Activity)</t>
  </si>
  <si>
    <t xml:space="preserve">      Cash Provided by Operating Activities</t>
  </si>
  <si>
    <t>CASH FLOW FROM INVESTING ACTIVITIES</t>
  </si>
  <si>
    <t xml:space="preserve">   Proceeds from Sale of Investments</t>
  </si>
  <si>
    <t xml:space="preserve">   Additions to Property </t>
  </si>
  <si>
    <t xml:space="preserve">   Other Capital Expenditures</t>
  </si>
  <si>
    <t xml:space="preserve">   Other Investments</t>
  </si>
  <si>
    <t xml:space="preserve">   Other (Net Salvage &amp; Removal)</t>
  </si>
  <si>
    <t xml:space="preserve">      Cash Provided by (Used in) Investing Activities</t>
  </si>
  <si>
    <t xml:space="preserve">            Net Cash Flow Before Corporate Adjustments</t>
  </si>
  <si>
    <t>OTHER ITEMS AFFECTING INTERCO. (CORP.) BALANCE</t>
  </si>
  <si>
    <t xml:space="preserve">   Dividends Transferred to Corporate</t>
  </si>
  <si>
    <t xml:space="preserve">   Inc. / (Dec.) in Long-Term Debt  (External)</t>
  </si>
  <si>
    <t xml:space="preserve">   Inc. / (Dec.) in Sale of Receivables</t>
  </si>
  <si>
    <t xml:space="preserve">      Total Items Affecting Intercompany (Corp.) Balance</t>
  </si>
  <si>
    <t>INCREASE / (DECREASE) IN INTERCOMPANY CASH</t>
  </si>
  <si>
    <t xml:space="preserve">      Change in Other Obligations</t>
  </si>
  <si>
    <t>INCREASE / (DECREASE) IN TOTAL OBLIGATIONS</t>
  </si>
  <si>
    <t>PRINT: CORPCASH</t>
  </si>
  <si>
    <t>TOTAL OBLIGATIONS</t>
  </si>
  <si>
    <t>PRINT: CORPSUM</t>
  </si>
  <si>
    <t>Cash Flow From Operations</t>
  </si>
  <si>
    <t xml:space="preserve">      Net Income After Financing Costs</t>
  </si>
  <si>
    <t xml:space="preserve">      Depreciation, Depletion, and Amortization</t>
  </si>
  <si>
    <t xml:space="preserve">      Amortization of Contract Reformation Costs</t>
  </si>
  <si>
    <t xml:space="preserve">      Deferred Revenue</t>
  </si>
  <si>
    <t xml:space="preserve">      Unrealized (Gain) / Loss on Price Risk Mgmt Activities</t>
  </si>
  <si>
    <t xml:space="preserve">      Oil &amp; Gas Exploration Expenses</t>
  </si>
  <si>
    <t xml:space="preserve">            Total Cash Flow From Operations</t>
  </si>
  <si>
    <t>Working Capital Changes</t>
  </si>
  <si>
    <t xml:space="preserve">      Accrued Income Taxes</t>
  </si>
  <si>
    <t xml:space="preserve">      Tax Refunds / Payments</t>
  </si>
  <si>
    <t xml:space="preserve">      Others, Net </t>
  </si>
  <si>
    <t>Equity Earnings</t>
  </si>
  <si>
    <t>Equity / Partnership Distributions</t>
  </si>
  <si>
    <t>Proceeds from Sale of Investments</t>
  </si>
  <si>
    <t>Capital Expenditures (Excluding Interco. Transactions)</t>
  </si>
  <si>
    <t>Equity Investments</t>
  </si>
  <si>
    <t xml:space="preserve">Others, Net </t>
  </si>
  <si>
    <t>Net Cash Flow</t>
  </si>
  <si>
    <t>Other Items Affecting Interco. Cash Balance with Corporate</t>
  </si>
  <si>
    <t xml:space="preserve">      Third Party Debt Increase / (Decrease)</t>
  </si>
  <si>
    <t xml:space="preserve">      Dividends Paid to Corporate</t>
  </si>
  <si>
    <t xml:space="preserve">      Dividends Paid to Outside Parties / Other</t>
  </si>
  <si>
    <t xml:space="preserve">      Restricted / Retained Cash</t>
  </si>
  <si>
    <t xml:space="preserve">Increase / (Decrease) in Cash Balance with Corporate </t>
  </si>
  <si>
    <t>Change in Other Obligations</t>
  </si>
  <si>
    <t>Increase / (Decrease) in Total Obligations</t>
  </si>
  <si>
    <t xml:space="preserve">         Total Working Capital Changes</t>
  </si>
  <si>
    <t>PRINT: FUNDSMO</t>
  </si>
  <si>
    <t>FUNDS FLOW STATEMENT</t>
  </si>
  <si>
    <t>PRINT: FUNDSUM</t>
  </si>
  <si>
    <t xml:space="preserve">   Items not affecting Cash:</t>
  </si>
  <si>
    <t xml:space="preserve">      Deferred Income Taxes</t>
  </si>
  <si>
    <t xml:space="preserve">      Net (Gain) / Loss on Sale of Assets</t>
  </si>
  <si>
    <t xml:space="preserve">            Total Funds Flow From Operations</t>
  </si>
  <si>
    <t xml:space="preserve">      Accounts Receivable (Including Exchange Gas Rec.)</t>
  </si>
  <si>
    <t xml:space="preserve">      Accounts Payable &amp; Other (Including Exchange Gas Pay.)</t>
  </si>
  <si>
    <t xml:space="preserve">      Other (Including Inventory and Prepayments)</t>
  </si>
  <si>
    <t xml:space="preserve">            Total Working Capital Changes</t>
  </si>
  <si>
    <t>TOTAL CASH FLOW FROM OPERATING ACTIVITIES</t>
  </si>
  <si>
    <t>NET CASH FLOW</t>
  </si>
  <si>
    <t>PRINT: OTHERMO</t>
  </si>
  <si>
    <t>FUNDS FLOW STATEMENT - " OTHER "</t>
  </si>
  <si>
    <t>PRINT: OTHERSUM</t>
  </si>
  <si>
    <t xml:space="preserve"> " OTHER "</t>
  </si>
  <si>
    <t xml:space="preserve">   Change in Other Regulatory Assets</t>
  </si>
  <si>
    <t xml:space="preserve">         "     "      "           "        Liabilities</t>
  </si>
  <si>
    <t xml:space="preserve">      Net Change in Regulatory Assets / Liabilities</t>
  </si>
  <si>
    <t xml:space="preserve">   Other Items (Cash Flow Model)</t>
  </si>
  <si>
    <t xml:space="preserve">      Change in Cash / Temporary Cash Investments</t>
  </si>
  <si>
    <t xml:space="preserve">      Change in Investments &amp; Other Assets</t>
  </si>
  <si>
    <t xml:space="preserve">      Change in Deferred Charges</t>
  </si>
  <si>
    <t xml:space="preserve">      Change in Deferred Credits </t>
  </si>
  <si>
    <t xml:space="preserve">      Gross Plant</t>
  </si>
  <si>
    <t xml:space="preserve">          Reserve Adjustments </t>
  </si>
  <si>
    <t xml:space="preserve">          Linepack Revaluation vs. Other CAPEX (3/98 Forward)</t>
  </si>
  <si>
    <t xml:space="preserve">          Retirements at Cost</t>
  </si>
  <si>
    <t xml:space="preserve">      Accumulated Depreciation</t>
  </si>
  <si>
    <t xml:space="preserve">          Reserve Adjustments / AFUDC</t>
  </si>
  <si>
    <t xml:space="preserve">          Retirements at Cost </t>
  </si>
  <si>
    <t xml:space="preserve">      Other</t>
  </si>
  <si>
    <t xml:space="preserve">         Subtotal (Cash Flow Model)</t>
  </si>
  <si>
    <t xml:space="preserve">   Other Tie Out Items (Financial Reporting)</t>
  </si>
  <si>
    <t xml:space="preserve">      FASB 133 - Comprehensive Income / (Loss) Tax Adjustment</t>
  </si>
  <si>
    <t xml:space="preserve">      Deferred Tax Offset Adjustment on Price Risk Liability (1/01-3/01)</t>
  </si>
  <si>
    <t xml:space="preserve">      Property Summary - GR / IR Clearing</t>
  </si>
  <si>
    <t xml:space="preserve">      Gain on Asset Sales (Offset Items)</t>
  </si>
  <si>
    <t xml:space="preserve">      Gross Asset Sales Proceeds (Offset Items)</t>
  </si>
  <si>
    <t xml:space="preserve">      Total Current Liability Reserve Activity</t>
  </si>
  <si>
    <t xml:space="preserve">         Other ?? (Grynberg Legal Reserve Adjustment)</t>
  </si>
  <si>
    <t xml:space="preserve">      All Capital Costs (Net of Tax)</t>
  </si>
  <si>
    <t xml:space="preserve">      Hyperion Adjust. / Reversal (DD&amp;A and Deferred Taxes)</t>
  </si>
  <si>
    <t xml:space="preserve">      Others, net</t>
  </si>
  <si>
    <t xml:space="preserve">         Subtotal (Financial Reporting)</t>
  </si>
  <si>
    <t xml:space="preserve">      Total Other Items</t>
  </si>
  <si>
    <t>TOTAL " OTHER "</t>
  </si>
  <si>
    <t>PRINT:  PAGE1</t>
  </si>
  <si>
    <t xml:space="preserve">   " LINKED ITEMS FROM BACKUP FILE "</t>
  </si>
  <si>
    <t>ORIGINAL</t>
  </si>
  <si>
    <t>OTHER</t>
  </si>
  <si>
    <t>ADPRP</t>
  </si>
  <si>
    <t>OTCAPEX</t>
  </si>
  <si>
    <t>PROCD</t>
  </si>
  <si>
    <t>WASH</t>
  </si>
  <si>
    <t>DEPR.</t>
  </si>
  <si>
    <t>OTINV</t>
  </si>
  <si>
    <t>TCR</t>
  </si>
  <si>
    <t>Other Current Liabilities</t>
  </si>
  <si>
    <t xml:space="preserve">      Total Other Current Liability Reserve Issues</t>
  </si>
  <si>
    <t>O-REG</t>
  </si>
  <si>
    <t>=</t>
  </si>
  <si>
    <t>PRINT:  VARPLAN</t>
  </si>
  <si>
    <t>(CORPORATE ACCRUAL)</t>
  </si>
  <si>
    <t>NET</t>
  </si>
  <si>
    <t xml:space="preserve"> BEFORE</t>
  </si>
  <si>
    <t xml:space="preserve"> AFTER</t>
  </si>
  <si>
    <t>CASH</t>
  </si>
  <si>
    <t>1995 ORIGINAL OPERATING PLAN</t>
  </si>
  <si>
    <t>CASH FLOW FROM OPERATIONS</t>
  </si>
  <si>
    <t>WORKING CAPITAL &amp; OTHER CHANGES</t>
  </si>
  <si>
    <t xml:space="preserve">      - Other</t>
  </si>
  <si>
    <t xml:space="preserve">      - Severance (Involuntary / Voluntary) </t>
  </si>
  <si>
    <t xml:space="preserve">      - Unamortized Debt Expense</t>
  </si>
  <si>
    <t xml:space="preserve">      - Other Deferred Charges (Actual Adjust.)</t>
  </si>
  <si>
    <t xml:space="preserve">      - Other Deferred Credits (Actual Adjust.)</t>
  </si>
  <si>
    <t xml:space="preserve">      - Miscellaneous</t>
  </si>
  <si>
    <t xml:space="preserve">            Cash Provided by (Used in) Operating Activities</t>
  </si>
  <si>
    <t>PRINT:  VARCE</t>
  </si>
  <si>
    <t>1994 THIRD CURRENT ESTIMATE or ACTUAL</t>
  </si>
  <si>
    <t>(3rd C.E. Inv. to Plant Trans. $48.2 MM)</t>
  </si>
  <si>
    <t xml:space="preserve">      - FAS 109 Adjustment (1993)</t>
  </si>
  <si>
    <t xml:space="preserve">      - IMP Noncurrent Deferred Tax Adjustment</t>
  </si>
  <si>
    <t xml:space="preserve">      - Misc. ('93-IRS Audit $-4.1, Nonrec. Adv. $-4.0, FAS 96 Pres. Val. $-2.4)</t>
  </si>
  <si>
    <t>('93-IMP Trans. $60.1, Inv. to Plant $55.7 MM)</t>
  </si>
  <si>
    <t xml:space="preserve">            Cash Provided by (Used in) Investing Activities</t>
  </si>
  <si>
    <t>\L</t>
  </si>
  <si>
    <t>:PlbtTITLE1~qqrsPAGE1~g</t>
  </si>
  <si>
    <t>:PrsPAGE2~g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</si>
</sst>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164" formatCode="dd\-mmm\-yy_)"/>
    <numFmt numFmtId="165" formatCode="mm/dd/yy_)"/>
    <numFmt numFmtId="166" formatCode="hh:mm\ AM/PM_)"/>
    <numFmt numFmtId="167" formatCode="0.0%"/>
    <numFmt numFmtId="168" formatCode="General_)"/>
    <numFmt numFmtId="169" formatCode="#,##0.0_);\(#,##0.0\)"/>
  </numFmts>
  <fonts count="32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 val="double"/>
      <sz val="10"/>
      <name val="Arial"/>
      <family val="2"/>
    </font>
    <font>
      <b/>
      <sz val="6"/>
      <name val="Arial"/>
      <family val="2"/>
    </font>
    <font>
      <b/>
      <sz val="8"/>
      <name val="Arial"/>
    </font>
    <font>
      <b/>
      <sz val="10"/>
      <color indexed="12"/>
      <name val="Arial"/>
    </font>
    <font>
      <sz val="10"/>
      <color indexed="12"/>
      <name val="Arial"/>
    </font>
    <font>
      <sz val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u/>
      <sz val="10"/>
      <color indexed="14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8" fontId="3" fillId="0" borderId="0"/>
    <xf numFmtId="168" fontId="3" fillId="0" borderId="0"/>
  </cellStyleXfs>
  <cellXfs count="227">
    <xf numFmtId="0" fontId="0" fillId="0" borderId="0" xfId="0"/>
    <xf numFmtId="168" fontId="3" fillId="0" borderId="0" xfId="2"/>
    <xf numFmtId="168" fontId="3" fillId="0" borderId="0" xfId="2" applyAlignment="1">
      <alignment horizontal="left"/>
    </xf>
    <xf numFmtId="168" fontId="3" fillId="0" borderId="0" xfId="3"/>
    <xf numFmtId="168" fontId="3" fillId="0" borderId="0" xfId="3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/>
    <xf numFmtId="0" fontId="5" fillId="0" borderId="0" xfId="1" applyFont="1" applyAlignment="1">
      <alignment horizontal="left"/>
    </xf>
    <xf numFmtId="0" fontId="6" fillId="0" borderId="0" xfId="1" applyFont="1"/>
    <xf numFmtId="164" fontId="4" fillId="0" borderId="0" xfId="1" applyNumberFormat="1" applyFont="1" applyProtection="1"/>
    <xf numFmtId="166" fontId="4" fillId="0" borderId="0" xfId="1" applyNumberFormat="1" applyFont="1" applyProtection="1"/>
    <xf numFmtId="0" fontId="5" fillId="0" borderId="0" xfId="1" applyFont="1" applyProtection="1">
      <protection locked="0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37" fontId="6" fillId="0" borderId="0" xfId="1" applyNumberFormat="1" applyFont="1" applyProtection="1"/>
    <xf numFmtId="0" fontId="6" fillId="0" borderId="0" xfId="1" applyFont="1" applyAlignment="1">
      <alignment horizontal="left"/>
    </xf>
    <xf numFmtId="37" fontId="8" fillId="0" borderId="0" xfId="1" applyNumberFormat="1" applyFont="1" applyProtection="1"/>
    <xf numFmtId="37" fontId="9" fillId="0" borderId="0" xfId="1" applyNumberFormat="1" applyFont="1" applyProtection="1">
      <protection locked="0"/>
    </xf>
    <xf numFmtId="0" fontId="6" fillId="0" borderId="0" xfId="1" applyFont="1" applyAlignment="1">
      <alignment horizontal="center"/>
    </xf>
    <xf numFmtId="0" fontId="9" fillId="0" borderId="0" xfId="1" applyFont="1" applyProtection="1">
      <protection locked="0"/>
    </xf>
    <xf numFmtId="37" fontId="10" fillId="0" borderId="0" xfId="1" applyNumberFormat="1" applyFont="1" applyProtection="1"/>
    <xf numFmtId="168" fontId="4" fillId="0" borderId="0" xfId="3" applyFont="1" applyAlignment="1">
      <alignment horizontal="left"/>
    </xf>
    <xf numFmtId="15" fontId="4" fillId="0" borderId="0" xfId="1" applyNumberFormat="1" applyFont="1" applyAlignment="1">
      <alignment horizontal="left"/>
    </xf>
    <xf numFmtId="18" fontId="4" fillId="0" borderId="0" xfId="1" applyNumberFormat="1" applyFont="1" applyAlignment="1">
      <alignment horizontal="left"/>
    </xf>
    <xf numFmtId="0" fontId="11" fillId="0" borderId="0" xfId="1" applyFont="1" applyAlignment="1" applyProtection="1">
      <alignment horizontal="center"/>
      <protection locked="0"/>
    </xf>
    <xf numFmtId="37" fontId="13" fillId="0" borderId="0" xfId="1" applyNumberFormat="1" applyFont="1" applyProtection="1">
      <protection locked="0"/>
    </xf>
    <xf numFmtId="0" fontId="5" fillId="0" borderId="0" xfId="1" quotePrefix="1" applyFont="1" applyAlignment="1">
      <alignment horizontal="left"/>
    </xf>
    <xf numFmtId="0" fontId="6" fillId="0" borderId="0" xfId="1" quotePrefix="1" applyFont="1" applyAlignment="1">
      <alignment horizontal="left"/>
    </xf>
    <xf numFmtId="37" fontId="9" fillId="0" borderId="0" xfId="1" applyNumberFormat="1" applyFont="1" applyProtection="1"/>
    <xf numFmtId="0" fontId="14" fillId="0" borderId="0" xfId="1" quotePrefix="1" applyFont="1" applyAlignment="1">
      <alignment horizontal="left"/>
    </xf>
    <xf numFmtId="168" fontId="5" fillId="0" borderId="0" xfId="2" applyFont="1"/>
    <xf numFmtId="168" fontId="5" fillId="0" borderId="0" xfId="2" applyFont="1" applyAlignment="1">
      <alignment horizontal="left"/>
    </xf>
    <xf numFmtId="164" fontId="4" fillId="0" borderId="0" xfId="2" applyNumberFormat="1" applyFont="1" applyProtection="1"/>
    <xf numFmtId="168" fontId="6" fillId="0" borderId="0" xfId="2" applyFont="1"/>
    <xf numFmtId="168" fontId="4" fillId="0" borderId="0" xfId="2" applyFont="1" applyAlignment="1">
      <alignment horizontal="left"/>
    </xf>
    <xf numFmtId="165" fontId="6" fillId="0" borderId="0" xfId="2" applyNumberFormat="1" applyFont="1" applyProtection="1"/>
    <xf numFmtId="165" fontId="4" fillId="0" borderId="0" xfId="2" applyNumberFormat="1" applyFont="1" applyAlignment="1" applyProtection="1">
      <alignment horizontal="left"/>
    </xf>
    <xf numFmtId="166" fontId="4" fillId="0" borderId="0" xfId="2" applyNumberFormat="1" applyFont="1" applyProtection="1"/>
    <xf numFmtId="166" fontId="6" fillId="0" borderId="0" xfId="2" applyNumberFormat="1" applyFont="1" applyProtection="1"/>
    <xf numFmtId="166" fontId="5" fillId="0" borderId="0" xfId="2" applyNumberFormat="1" applyFont="1" applyProtection="1"/>
    <xf numFmtId="168" fontId="5" fillId="0" borderId="0" xfId="2" applyFont="1" applyAlignment="1" applyProtection="1">
      <alignment horizontal="left"/>
      <protection locked="0"/>
    </xf>
    <xf numFmtId="168" fontId="5" fillId="0" borderId="0" xfId="2" applyFont="1" applyProtection="1">
      <protection locked="0"/>
    </xf>
    <xf numFmtId="168" fontId="5" fillId="0" borderId="0" xfId="2" applyFont="1" applyAlignment="1" applyProtection="1">
      <alignment horizontal="center"/>
      <protection locked="0"/>
    </xf>
    <xf numFmtId="168" fontId="5" fillId="0" borderId="0" xfId="2" applyFont="1" applyAlignment="1">
      <alignment horizontal="center"/>
    </xf>
    <xf numFmtId="168" fontId="7" fillId="0" borderId="0" xfId="2" applyFont="1" applyAlignment="1" applyProtection="1">
      <alignment horizontal="center"/>
      <protection locked="0"/>
    </xf>
    <xf numFmtId="168" fontId="7" fillId="0" borderId="0" xfId="2" applyFont="1" applyAlignment="1">
      <alignment horizontal="center"/>
    </xf>
    <xf numFmtId="37" fontId="6" fillId="0" borderId="0" xfId="2" applyNumberFormat="1" applyFont="1" applyProtection="1"/>
    <xf numFmtId="168" fontId="6" fillId="0" borderId="0" xfId="2" applyFont="1" applyAlignment="1">
      <alignment horizontal="center"/>
    </xf>
    <xf numFmtId="168" fontId="6" fillId="0" borderId="0" xfId="2" applyFont="1" applyAlignment="1">
      <alignment horizontal="left"/>
    </xf>
    <xf numFmtId="37" fontId="9" fillId="0" borderId="0" xfId="2" applyNumberFormat="1" applyFont="1" applyProtection="1">
      <protection locked="0"/>
    </xf>
    <xf numFmtId="37" fontId="8" fillId="0" borderId="0" xfId="2" applyNumberFormat="1" applyFont="1" applyProtection="1"/>
    <xf numFmtId="37" fontId="8" fillId="0" borderId="0" xfId="2" applyNumberFormat="1" applyFont="1" applyProtection="1">
      <protection locked="0"/>
    </xf>
    <xf numFmtId="37" fontId="10" fillId="0" borderId="0" xfId="2" applyNumberFormat="1" applyFont="1" applyProtection="1"/>
    <xf numFmtId="167" fontId="6" fillId="0" borderId="0" xfId="2" applyNumberFormat="1" applyFont="1" applyProtection="1"/>
    <xf numFmtId="168" fontId="7" fillId="0" borderId="0" xfId="2" applyFont="1"/>
    <xf numFmtId="168" fontId="12" fillId="0" borderId="0" xfId="2" applyFont="1" applyAlignment="1" applyProtection="1">
      <alignment horizontal="center"/>
      <protection locked="0"/>
    </xf>
    <xf numFmtId="168" fontId="11" fillId="0" borderId="0" xfId="2" applyFont="1" applyAlignment="1" applyProtection="1">
      <alignment horizontal="center"/>
      <protection locked="0"/>
    </xf>
    <xf numFmtId="168" fontId="11" fillId="0" borderId="0" xfId="2" applyFont="1" applyProtection="1">
      <protection locked="0"/>
    </xf>
    <xf numFmtId="168" fontId="6" fillId="0" borderId="0" xfId="2" quotePrefix="1" applyFont="1" applyAlignment="1">
      <alignment horizontal="left"/>
    </xf>
    <xf numFmtId="165" fontId="14" fillId="0" borderId="0" xfId="2" applyNumberFormat="1" applyFont="1" applyAlignment="1" applyProtection="1">
      <alignment horizontal="left"/>
    </xf>
    <xf numFmtId="168" fontId="11" fillId="0" borderId="0" xfId="2" applyFont="1"/>
    <xf numFmtId="168" fontId="9" fillId="0" borderId="0" xfId="2" applyFont="1"/>
    <xf numFmtId="168" fontId="14" fillId="0" borderId="0" xfId="3" quotePrefix="1" applyFont="1" applyAlignment="1">
      <alignment horizontal="left"/>
    </xf>
    <xf numFmtId="168" fontId="5" fillId="0" borderId="0" xfId="3" applyFont="1"/>
    <xf numFmtId="168" fontId="5" fillId="0" borderId="0" xfId="3" applyFont="1" applyAlignment="1">
      <alignment horizontal="left"/>
    </xf>
    <xf numFmtId="164" fontId="4" fillId="0" borderId="0" xfId="3" applyNumberFormat="1" applyFont="1" applyProtection="1"/>
    <xf numFmtId="168" fontId="6" fillId="0" borderId="0" xfId="3" applyFont="1"/>
    <xf numFmtId="168" fontId="4" fillId="0" borderId="0" xfId="3" applyFont="1"/>
    <xf numFmtId="165" fontId="5" fillId="0" borderId="0" xfId="3" applyNumberFormat="1" applyFont="1" applyProtection="1"/>
    <xf numFmtId="168" fontId="14" fillId="0" borderId="0" xfId="3" applyFont="1" applyAlignment="1">
      <alignment horizontal="left"/>
    </xf>
    <xf numFmtId="166" fontId="4" fillId="0" borderId="0" xfId="3" applyNumberFormat="1" applyFont="1" applyProtection="1"/>
    <xf numFmtId="166" fontId="5" fillId="0" borderId="0" xfId="3" applyNumberFormat="1" applyFont="1" applyProtection="1"/>
    <xf numFmtId="168" fontId="5" fillId="0" borderId="0" xfId="3" applyFont="1" applyProtection="1">
      <protection locked="0"/>
    </xf>
    <xf numFmtId="168" fontId="5" fillId="0" borderId="0" xfId="3" applyFont="1" applyAlignment="1" applyProtection="1">
      <alignment horizontal="center"/>
      <protection locked="0"/>
    </xf>
    <xf numFmtId="168" fontId="5" fillId="0" borderId="0" xfId="3" applyFont="1" applyAlignment="1">
      <alignment horizontal="center"/>
    </xf>
    <xf numFmtId="168" fontId="5" fillId="0" borderId="1" xfId="3" applyFont="1" applyBorder="1" applyAlignment="1">
      <alignment horizontal="centerContinuous"/>
    </xf>
    <xf numFmtId="168" fontId="7" fillId="0" borderId="0" xfId="3" applyFont="1" applyAlignment="1">
      <alignment horizontal="center"/>
    </xf>
    <xf numFmtId="168" fontId="7" fillId="0" borderId="0" xfId="3" applyFont="1" applyAlignment="1" applyProtection="1">
      <alignment horizontal="center"/>
      <protection locked="0"/>
    </xf>
    <xf numFmtId="37" fontId="6" fillId="0" borderId="0" xfId="3" applyNumberFormat="1" applyFont="1" applyProtection="1"/>
    <xf numFmtId="37" fontId="9" fillId="0" borderId="0" xfId="3" applyNumberFormat="1" applyFont="1" applyProtection="1">
      <protection locked="0"/>
    </xf>
    <xf numFmtId="168" fontId="6" fillId="0" borderId="0" xfId="3" applyFont="1" applyAlignment="1">
      <alignment horizontal="left"/>
    </xf>
    <xf numFmtId="168" fontId="9" fillId="0" borderId="0" xfId="3" applyFont="1" applyProtection="1">
      <protection locked="0"/>
    </xf>
    <xf numFmtId="37" fontId="8" fillId="0" borderId="0" xfId="3" applyNumberFormat="1" applyFont="1" applyProtection="1">
      <protection locked="0"/>
    </xf>
    <xf numFmtId="37" fontId="8" fillId="0" borderId="0" xfId="3" applyNumberFormat="1" applyFont="1" applyProtection="1"/>
    <xf numFmtId="168" fontId="8" fillId="0" borderId="0" xfId="3" applyFont="1"/>
    <xf numFmtId="37" fontId="15" fillId="0" borderId="0" xfId="3" applyNumberFormat="1" applyFont="1" applyProtection="1"/>
    <xf numFmtId="37" fontId="5" fillId="0" borderId="0" xfId="3" applyNumberFormat="1" applyFont="1" applyProtection="1"/>
    <xf numFmtId="168" fontId="6" fillId="0" borderId="0" xfId="3" applyFont="1" applyAlignment="1">
      <alignment horizontal="fill"/>
    </xf>
    <xf numFmtId="164" fontId="16" fillId="0" borderId="0" xfId="3" applyNumberFormat="1" applyFont="1" applyProtection="1"/>
    <xf numFmtId="166" fontId="16" fillId="0" borderId="0" xfId="3" applyNumberFormat="1" applyFont="1" applyProtection="1"/>
    <xf numFmtId="5" fontId="6" fillId="0" borderId="0" xfId="3" applyNumberFormat="1" applyFont="1" applyProtection="1"/>
    <xf numFmtId="169" fontId="6" fillId="0" borderId="0" xfId="3" applyNumberFormat="1" applyFont="1" applyProtection="1"/>
    <xf numFmtId="5" fontId="10" fillId="0" borderId="0" xfId="3" applyNumberFormat="1" applyFont="1" applyProtection="1"/>
    <xf numFmtId="169" fontId="6" fillId="0" borderId="0" xfId="3" applyNumberFormat="1" applyFont="1" applyAlignment="1" applyProtection="1">
      <alignment horizontal="left"/>
    </xf>
    <xf numFmtId="168" fontId="9" fillId="0" borderId="0" xfId="3" applyFont="1" applyAlignment="1" applyProtection="1">
      <alignment horizontal="left"/>
      <protection locked="0"/>
    </xf>
    <xf numFmtId="169" fontId="9" fillId="0" borderId="0" xfId="3" applyNumberFormat="1" applyFont="1" applyAlignment="1" applyProtection="1">
      <alignment horizontal="left"/>
      <protection locked="0"/>
    </xf>
    <xf numFmtId="168" fontId="11" fillId="0" borderId="0" xfId="3" applyFont="1"/>
    <xf numFmtId="168" fontId="9" fillId="0" borderId="0" xfId="3" applyFont="1"/>
    <xf numFmtId="168" fontId="11" fillId="0" borderId="0" xfId="3" applyFont="1" applyAlignment="1" applyProtection="1">
      <alignment horizontal="center"/>
      <protection locked="0"/>
    </xf>
    <xf numFmtId="168" fontId="12" fillId="0" borderId="0" xfId="3" applyFont="1" applyAlignment="1" applyProtection="1">
      <alignment horizontal="center"/>
      <protection locked="0"/>
    </xf>
    <xf numFmtId="168" fontId="11" fillId="0" borderId="1" xfId="3" applyFont="1" applyBorder="1" applyAlignment="1">
      <alignment horizontal="centerContinuous"/>
    </xf>
    <xf numFmtId="37" fontId="13" fillId="0" borderId="0" xfId="3" applyNumberFormat="1" applyFont="1" applyProtection="1">
      <protection locked="0"/>
    </xf>
    <xf numFmtId="37" fontId="1" fillId="0" borderId="0" xfId="3" applyNumberFormat="1" applyFont="1" applyProtection="1"/>
    <xf numFmtId="168" fontId="9" fillId="0" borderId="0" xfId="3" applyFont="1" applyAlignment="1">
      <alignment horizontal="left"/>
    </xf>
    <xf numFmtId="168" fontId="9" fillId="0" borderId="0" xfId="3" applyFont="1" applyAlignment="1">
      <alignment horizontal="center"/>
    </xf>
    <xf numFmtId="168" fontId="5" fillId="0" borderId="0" xfId="3" applyFont="1" applyAlignment="1">
      <alignment horizontal="centerContinuous"/>
    </xf>
    <xf numFmtId="168" fontId="5" fillId="0" borderId="2" xfId="3" applyFont="1" applyBorder="1" applyAlignment="1" applyProtection="1">
      <alignment horizontal="centerContinuous"/>
      <protection locked="0"/>
    </xf>
    <xf numFmtId="168" fontId="17" fillId="0" borderId="0" xfId="3" applyFont="1"/>
    <xf numFmtId="168" fontId="1" fillId="0" borderId="0" xfId="3" applyFont="1"/>
    <xf numFmtId="168" fontId="11" fillId="0" borderId="0" xfId="3" applyFont="1" applyAlignment="1">
      <alignment horizontal="left"/>
    </xf>
    <xf numFmtId="168" fontId="11" fillId="0" borderId="0" xfId="3" quotePrefix="1" applyFont="1" applyAlignment="1">
      <alignment horizontal="left"/>
    </xf>
    <xf numFmtId="168" fontId="1" fillId="0" borderId="0" xfId="3" applyFont="1" applyAlignment="1">
      <alignment horizontal="center"/>
    </xf>
    <xf numFmtId="168" fontId="9" fillId="0" borderId="0" xfId="3" quotePrefix="1" applyFont="1" applyAlignment="1">
      <alignment horizontal="left"/>
    </xf>
    <xf numFmtId="168" fontId="12" fillId="0" borderId="0" xfId="3" applyFont="1" applyAlignment="1">
      <alignment horizontal="center"/>
    </xf>
    <xf numFmtId="37" fontId="6" fillId="0" borderId="0" xfId="3" applyNumberFormat="1" applyFont="1"/>
    <xf numFmtId="168" fontId="0" fillId="0" borderId="0" xfId="0" applyNumberFormat="1"/>
    <xf numFmtId="37" fontId="8" fillId="0" borderId="0" xfId="3" applyNumberFormat="1" applyFont="1"/>
    <xf numFmtId="37" fontId="6" fillId="0" borderId="0" xfId="0" applyNumberFormat="1" applyFont="1"/>
    <xf numFmtId="168" fontId="18" fillId="0" borderId="0" xfId="3" quotePrefix="1" applyFont="1" applyAlignment="1">
      <alignment horizontal="left"/>
    </xf>
    <xf numFmtId="168" fontId="19" fillId="0" borderId="0" xfId="3" quotePrefix="1" applyFont="1" applyAlignment="1">
      <alignment horizontal="left"/>
    </xf>
    <xf numFmtId="168" fontId="18" fillId="0" borderId="0" xfId="3" applyFont="1"/>
    <xf numFmtId="168" fontId="1" fillId="0" borderId="2" xfId="3" applyFont="1" applyBorder="1" applyAlignment="1">
      <alignment horizontal="centerContinuous"/>
    </xf>
    <xf numFmtId="168" fontId="2" fillId="0" borderId="0" xfId="3" applyFont="1"/>
    <xf numFmtId="37" fontId="15" fillId="0" borderId="0" xfId="3" applyNumberFormat="1" applyFont="1"/>
    <xf numFmtId="168" fontId="12" fillId="0" borderId="0" xfId="3" quotePrefix="1" applyFont="1" applyAlignment="1">
      <alignment horizontal="center"/>
    </xf>
    <xf numFmtId="0" fontId="12" fillId="0" borderId="0" xfId="1" quotePrefix="1" applyFont="1" applyAlignment="1" applyProtection="1">
      <alignment horizontal="center"/>
      <protection locked="0"/>
    </xf>
    <xf numFmtId="168" fontId="12" fillId="0" borderId="0" xfId="2" quotePrefix="1" applyFont="1" applyAlignment="1" applyProtection="1">
      <alignment horizontal="center"/>
      <protection locked="0"/>
    </xf>
    <xf numFmtId="168" fontId="11" fillId="0" borderId="0" xfId="2" applyFont="1" applyAlignment="1">
      <alignment horizontal="center"/>
    </xf>
    <xf numFmtId="168" fontId="7" fillId="0" borderId="0" xfId="3" quotePrefix="1" applyFont="1" applyAlignment="1">
      <alignment horizontal="center"/>
    </xf>
    <xf numFmtId="168" fontId="5" fillId="0" borderId="0" xfId="3" quotePrefix="1" applyFont="1" applyAlignment="1">
      <alignment horizontal="center"/>
    </xf>
    <xf numFmtId="168" fontId="20" fillId="0" borderId="0" xfId="3" applyFont="1" applyAlignment="1"/>
    <xf numFmtId="168" fontId="1" fillId="0" borderId="0" xfId="3" applyFont="1" applyAlignment="1"/>
    <xf numFmtId="168" fontId="6" fillId="0" borderId="0" xfId="3" applyFont="1" applyAlignment="1"/>
    <xf numFmtId="168" fontId="12" fillId="0" borderId="0" xfId="3" quotePrefix="1" applyFont="1" applyAlignment="1"/>
    <xf numFmtId="168" fontId="7" fillId="0" borderId="0" xfId="3" applyFont="1"/>
    <xf numFmtId="168" fontId="9" fillId="0" borderId="0" xfId="3" quotePrefix="1" applyFont="1" applyAlignment="1"/>
    <xf numFmtId="37" fontId="6" fillId="0" borderId="0" xfId="3" applyNumberFormat="1" applyFont="1" applyAlignment="1"/>
    <xf numFmtId="37" fontId="8" fillId="0" borderId="0" xfId="3" applyNumberFormat="1" applyFont="1" applyAlignment="1"/>
    <xf numFmtId="168" fontId="8" fillId="0" borderId="0" xfId="3" applyFont="1" applyAlignment="1">
      <alignment horizontal="fill"/>
    </xf>
    <xf numFmtId="168" fontId="18" fillId="0" borderId="0" xfId="3" quotePrefix="1" applyFont="1" applyAlignment="1"/>
    <xf numFmtId="168" fontId="9" fillId="0" borderId="0" xfId="3" applyFont="1" applyAlignment="1"/>
    <xf numFmtId="0" fontId="9" fillId="0" borderId="0" xfId="0" quotePrefix="1" applyFont="1" applyAlignment="1"/>
    <xf numFmtId="0" fontId="9" fillId="0" borderId="0" xfId="0" applyFont="1" applyAlignment="1"/>
    <xf numFmtId="37" fontId="6" fillId="0" borderId="0" xfId="3" applyNumberFormat="1" applyFont="1" applyAlignment="1">
      <alignment horizontal="fill"/>
    </xf>
    <xf numFmtId="37" fontId="9" fillId="0" borderId="0" xfId="3" applyNumberFormat="1" applyFont="1" applyAlignment="1"/>
    <xf numFmtId="168" fontId="18" fillId="0" borderId="0" xfId="3" applyFont="1" applyAlignment="1"/>
    <xf numFmtId="37" fontId="15" fillId="0" borderId="0" xfId="3" applyNumberFormat="1" applyFont="1" applyAlignment="1"/>
    <xf numFmtId="168" fontId="2" fillId="0" borderId="0" xfId="3" applyFont="1" applyAlignment="1"/>
    <xf numFmtId="49" fontId="11" fillId="0" borderId="1" xfId="3" applyNumberFormat="1" applyFont="1" applyBorder="1" applyAlignment="1">
      <alignment horizontal="centerContinuous"/>
    </xf>
    <xf numFmtId="37" fontId="21" fillId="0" borderId="0" xfId="3" applyNumberFormat="1" applyFont="1" applyProtection="1"/>
    <xf numFmtId="0" fontId="11" fillId="0" borderId="0" xfId="1" applyFont="1"/>
    <xf numFmtId="0" fontId="11" fillId="0" borderId="0" xfId="1" applyFont="1" applyAlignment="1">
      <alignment horizontal="center"/>
    </xf>
    <xf numFmtId="37" fontId="2" fillId="0" borderId="0" xfId="3" applyNumberFormat="1" applyFont="1"/>
    <xf numFmtId="37" fontId="21" fillId="0" borderId="0" xfId="1" applyNumberFormat="1" applyFont="1" applyProtection="1"/>
    <xf numFmtId="49" fontId="11" fillId="0" borderId="1" xfId="3" applyNumberFormat="1" applyFont="1" applyBorder="1" applyAlignment="1" applyProtection="1">
      <alignment horizontal="centerContinuous"/>
      <protection locked="0"/>
    </xf>
    <xf numFmtId="37" fontId="9" fillId="0" borderId="0" xfId="1" applyNumberFormat="1" applyFont="1"/>
    <xf numFmtId="37" fontId="21" fillId="0" borderId="0" xfId="2" applyNumberFormat="1" applyFont="1" applyProtection="1"/>
    <xf numFmtId="37" fontId="21" fillId="0" borderId="0" xfId="2" applyNumberFormat="1" applyFont="1" applyProtection="1">
      <protection locked="0"/>
    </xf>
    <xf numFmtId="168" fontId="9" fillId="0" borderId="0" xfId="3" quotePrefix="1" applyFont="1" applyAlignment="1">
      <alignment horizontal="center"/>
    </xf>
    <xf numFmtId="37" fontId="22" fillId="0" borderId="0" xfId="3" applyNumberFormat="1" applyFont="1" applyProtection="1">
      <protection locked="0"/>
    </xf>
    <xf numFmtId="37" fontId="22" fillId="0" borderId="0" xfId="3" applyNumberFormat="1" applyFont="1" applyAlignment="1"/>
    <xf numFmtId="37" fontId="22" fillId="0" borderId="0" xfId="1" applyNumberFormat="1" applyFont="1" applyProtection="1"/>
    <xf numFmtId="0" fontId="6" fillId="0" borderId="0" xfId="1" quotePrefix="1" applyFont="1" applyAlignment="1">
      <alignment horizontal="center"/>
    </xf>
    <xf numFmtId="37" fontId="6" fillId="0" borderId="0" xfId="3" applyNumberFormat="1" applyFont="1" applyProtection="1">
      <protection locked="0"/>
    </xf>
    <xf numFmtId="0" fontId="11" fillId="0" borderId="0" xfId="1" quotePrefix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12" fillId="0" borderId="0" xfId="1" applyFont="1" applyAlignment="1">
      <alignment horizontal="center"/>
    </xf>
    <xf numFmtId="168" fontId="23" fillId="0" borderId="0" xfId="2" quotePrefix="1" applyFont="1" applyAlignment="1">
      <alignment horizontal="left"/>
    </xf>
    <xf numFmtId="168" fontId="24" fillId="0" borderId="0" xfId="2" quotePrefix="1" applyFont="1" applyAlignment="1">
      <alignment horizontal="centerContinuous"/>
    </xf>
    <xf numFmtId="168" fontId="5" fillId="0" borderId="0" xfId="2" applyFont="1" applyAlignment="1">
      <alignment horizontal="centerContinuous"/>
    </xf>
    <xf numFmtId="168" fontId="11" fillId="0" borderId="0" xfId="2" quotePrefix="1" applyFont="1" applyAlignment="1">
      <alignment horizontal="centerContinuous"/>
    </xf>
    <xf numFmtId="168" fontId="24" fillId="0" borderId="0" xfId="2" applyFont="1" applyAlignment="1" applyProtection="1">
      <alignment horizontal="center"/>
      <protection locked="0"/>
    </xf>
    <xf numFmtId="168" fontId="25" fillId="0" borderId="0" xfId="2" applyFont="1" applyAlignment="1" applyProtection="1">
      <alignment horizontal="center"/>
      <protection locked="0"/>
    </xf>
    <xf numFmtId="168" fontId="25" fillId="0" borderId="0" xfId="2" quotePrefix="1" applyFont="1" applyAlignment="1" applyProtection="1">
      <alignment horizontal="center"/>
      <protection locked="0"/>
    </xf>
    <xf numFmtId="168" fontId="11" fillId="0" borderId="0" xfId="2" quotePrefix="1" applyFont="1" applyAlignment="1" applyProtection="1">
      <alignment horizontal="centerContinuous"/>
      <protection locked="0"/>
    </xf>
    <xf numFmtId="37" fontId="13" fillId="0" borderId="0" xfId="2" applyNumberFormat="1" applyFont="1" applyProtection="1">
      <protection locked="0"/>
    </xf>
    <xf numFmtId="168" fontId="23" fillId="0" borderId="0" xfId="3" quotePrefix="1" applyFont="1" applyAlignment="1">
      <alignment horizontal="left"/>
    </xf>
    <xf numFmtId="168" fontId="24" fillId="0" borderId="0" xfId="3" applyFont="1" applyAlignment="1" applyProtection="1">
      <alignment horizontal="center"/>
      <protection locked="0"/>
    </xf>
    <xf numFmtId="168" fontId="25" fillId="0" borderId="0" xfId="3" applyFont="1" applyAlignment="1" applyProtection="1">
      <alignment horizontal="center"/>
      <protection locked="0"/>
    </xf>
    <xf numFmtId="168" fontId="24" fillId="0" borderId="0" xfId="3" quotePrefix="1" applyFont="1" applyAlignment="1">
      <alignment horizontal="centerContinuous"/>
    </xf>
    <xf numFmtId="168" fontId="11" fillId="0" borderId="0" xfId="3" quotePrefix="1" applyFont="1" applyAlignment="1">
      <alignment horizontal="centerContinuous"/>
    </xf>
    <xf numFmtId="168" fontId="11" fillId="0" borderId="0" xfId="3" quotePrefix="1" applyFont="1" applyAlignment="1" applyProtection="1">
      <alignment horizontal="centerContinuous"/>
      <protection locked="0"/>
    </xf>
    <xf numFmtId="168" fontId="1" fillId="0" borderId="0" xfId="3" applyFont="1" applyAlignment="1">
      <alignment horizontal="centerContinuous"/>
    </xf>
    <xf numFmtId="168" fontId="6" fillId="0" borderId="0" xfId="3" applyFont="1" applyAlignment="1">
      <alignment horizontal="centerContinuous"/>
    </xf>
    <xf numFmtId="37" fontId="21" fillId="0" borderId="0" xfId="3" applyNumberFormat="1" applyFont="1" applyAlignment="1"/>
    <xf numFmtId="0" fontId="11" fillId="0" borderId="0" xfId="0" applyFont="1" applyAlignment="1">
      <alignment horizontal="center"/>
    </xf>
    <xf numFmtId="168" fontId="11" fillId="0" borderId="0" xfId="3" applyFont="1" applyAlignment="1">
      <alignment horizontal="centerContinuous"/>
    </xf>
    <xf numFmtId="49" fontId="11" fillId="0" borderId="0" xfId="3" applyNumberFormat="1" applyFont="1" applyBorder="1" applyAlignment="1" applyProtection="1">
      <alignment horizontal="centerContinuous"/>
      <protection locked="0"/>
    </xf>
    <xf numFmtId="49" fontId="11" fillId="0" borderId="0" xfId="3" applyNumberFormat="1" applyFont="1" applyBorder="1" applyAlignment="1">
      <alignment horizontal="centerContinuous"/>
    </xf>
    <xf numFmtId="168" fontId="5" fillId="0" borderId="0" xfId="3" applyFont="1" applyBorder="1" applyAlignment="1" applyProtection="1">
      <alignment horizontal="centerContinuous"/>
      <protection locked="0"/>
    </xf>
    <xf numFmtId="168" fontId="1" fillId="0" borderId="0" xfId="3" applyFont="1" applyBorder="1" applyAlignment="1">
      <alignment horizontal="centerContinuous"/>
    </xf>
    <xf numFmtId="49" fontId="12" fillId="0" borderId="0" xfId="3" applyNumberFormat="1" applyFont="1" applyBorder="1" applyAlignment="1" applyProtection="1">
      <alignment horizontal="centerContinuous"/>
      <protection locked="0"/>
    </xf>
    <xf numFmtId="0" fontId="1" fillId="0" borderId="0" xfId="0" applyFont="1" applyAlignment="1">
      <alignment horizontal="center"/>
    </xf>
    <xf numFmtId="37" fontId="26" fillId="0" borderId="0" xfId="1" applyNumberFormat="1" applyFont="1" applyProtection="1">
      <protection locked="0"/>
    </xf>
    <xf numFmtId="37" fontId="26" fillId="0" borderId="0" xfId="3" applyNumberFormat="1" applyFont="1" applyProtection="1"/>
    <xf numFmtId="37" fontId="26" fillId="0" borderId="0" xfId="3" applyNumberFormat="1" applyFont="1" applyAlignment="1"/>
    <xf numFmtId="49" fontId="11" fillId="0" borderId="0" xfId="1" applyNumberFormat="1" applyFont="1" applyAlignment="1" applyProtection="1">
      <alignment horizontal="center"/>
      <protection locked="0"/>
    </xf>
    <xf numFmtId="49" fontId="11" fillId="0" borderId="0" xfId="1" applyNumberFormat="1" applyFont="1" applyAlignment="1" applyProtection="1">
      <alignment horizontal="centerContinuous"/>
      <protection locked="0"/>
    </xf>
    <xf numFmtId="37" fontId="26" fillId="0" borderId="0" xfId="1" applyNumberFormat="1" applyFont="1" applyProtection="1"/>
    <xf numFmtId="0" fontId="0" fillId="0" borderId="0" xfId="0" applyAlignment="1">
      <alignment horizontal="centerContinuous"/>
    </xf>
    <xf numFmtId="0" fontId="9" fillId="0" borderId="0" xfId="1" quotePrefix="1" applyFont="1" applyAlignment="1">
      <alignment horizontal="left"/>
    </xf>
    <xf numFmtId="0" fontId="11" fillId="0" borderId="0" xfId="1" applyFont="1" applyAlignment="1">
      <alignment horizontal="centerContinuous"/>
    </xf>
    <xf numFmtId="37" fontId="28" fillId="0" borderId="0" xfId="3" applyNumberFormat="1" applyFont="1" applyProtection="1">
      <protection locked="0"/>
    </xf>
    <xf numFmtId="165" fontId="14" fillId="0" borderId="0" xfId="2" quotePrefix="1" applyNumberFormat="1" applyFont="1" applyAlignment="1" applyProtection="1">
      <alignment horizontal="left"/>
    </xf>
    <xf numFmtId="37" fontId="26" fillId="0" borderId="0" xfId="2" applyNumberFormat="1" applyFont="1" applyProtection="1">
      <protection locked="0"/>
    </xf>
    <xf numFmtId="37" fontId="6" fillId="0" borderId="0" xfId="2" applyNumberFormat="1" applyFont="1" applyProtection="1">
      <protection locked="0"/>
    </xf>
    <xf numFmtId="168" fontId="6" fillId="0" borderId="0" xfId="2" applyFont="1" applyAlignment="1">
      <alignment horizontal="centerContinuous"/>
    </xf>
    <xf numFmtId="49" fontId="12" fillId="0" borderId="0" xfId="2" applyNumberFormat="1" applyFont="1" applyAlignment="1">
      <alignment horizontal="center"/>
    </xf>
    <xf numFmtId="37" fontId="27" fillId="0" borderId="0" xfId="2" applyNumberFormat="1" applyFont="1" applyProtection="1">
      <protection locked="0"/>
    </xf>
    <xf numFmtId="49" fontId="11" fillId="0" borderId="0" xfId="3" applyNumberFormat="1" applyFont="1" applyAlignment="1" applyProtection="1">
      <alignment horizontal="center"/>
      <protection locked="0"/>
    </xf>
    <xf numFmtId="37" fontId="13" fillId="0" borderId="0" xfId="3" applyNumberFormat="1" applyFont="1" applyAlignment="1"/>
    <xf numFmtId="37" fontId="29" fillId="0" borderId="0" xfId="1" applyNumberFormat="1" applyFont="1" applyProtection="1">
      <protection locked="0"/>
    </xf>
    <xf numFmtId="37" fontId="30" fillId="0" borderId="0" xfId="3" applyNumberFormat="1" applyFont="1" applyProtection="1">
      <protection locked="0"/>
    </xf>
    <xf numFmtId="37" fontId="13" fillId="0" borderId="0" xfId="1" applyNumberFormat="1" applyFont="1" applyProtection="1"/>
    <xf numFmtId="37" fontId="6" fillId="0" borderId="0" xfId="1" applyNumberFormat="1" applyFont="1" applyProtection="1">
      <protection locked="0"/>
    </xf>
    <xf numFmtId="37" fontId="9" fillId="0" borderId="0" xfId="3" applyNumberFormat="1" applyFont="1" applyProtection="1"/>
    <xf numFmtId="37" fontId="7" fillId="0" borderId="0" xfId="3" applyNumberFormat="1" applyFont="1" applyAlignment="1"/>
    <xf numFmtId="37" fontId="7" fillId="0" borderId="0" xfId="3" applyNumberFormat="1" applyFont="1"/>
    <xf numFmtId="37" fontId="27" fillId="0" borderId="0" xfId="1" applyNumberFormat="1" applyFont="1" applyProtection="1">
      <protection locked="0"/>
    </xf>
    <xf numFmtId="37" fontId="9" fillId="0" borderId="0" xfId="2" applyNumberFormat="1" applyFont="1" applyProtection="1"/>
    <xf numFmtId="37" fontId="29" fillId="0" borderId="0" xfId="3" applyNumberFormat="1" applyFont="1" applyProtection="1"/>
    <xf numFmtId="168" fontId="11" fillId="0" borderId="0" xfId="3" quotePrefix="1" applyFont="1" applyAlignment="1" applyProtection="1">
      <alignment horizontal="center"/>
      <protection locked="0"/>
    </xf>
    <xf numFmtId="37" fontId="31" fillId="0" borderId="0" xfId="3" applyNumberFormat="1" applyFont="1" applyProtection="1"/>
    <xf numFmtId="0" fontId="11" fillId="0" borderId="0" xfId="1" quotePrefix="1" applyFont="1" applyAlignment="1" applyProtection="1">
      <alignment horizontal="center"/>
      <protection locked="0"/>
    </xf>
    <xf numFmtId="37" fontId="30" fillId="0" borderId="0" xfId="1" applyNumberFormat="1" applyFont="1" applyProtection="1">
      <protection locked="0"/>
    </xf>
    <xf numFmtId="37" fontId="27" fillId="0" borderId="0" xfId="3" applyNumberFormat="1" applyFont="1" applyProtection="1">
      <protection locked="0"/>
    </xf>
  </cellXfs>
  <cellStyles count="4">
    <cellStyle name="Normal" xfId="0" builtinId="0"/>
    <cellStyle name="Normal_BACKUP" xfId="1"/>
    <cellStyle name="Normal_BALSHEET" xfId="2"/>
    <cellStyle name="Normal_CASHFLOW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609600</xdr:colOff>
          <xdr:row>4</xdr:row>
          <xdr:rowOff>0</xdr:rowOff>
        </xdr:from>
        <xdr:to>
          <xdr:col>0</xdr:col>
          <xdr:colOff>1714500</xdr:colOff>
          <xdr:row>7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Backup Pages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899160</xdr:colOff>
          <xdr:row>3</xdr:row>
          <xdr:rowOff>7620</xdr:rowOff>
        </xdr:from>
        <xdr:to>
          <xdr:col>1</xdr:col>
          <xdr:colOff>1958340</xdr:colOff>
          <xdr:row>6</xdr:row>
          <xdr:rowOff>83820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Balance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1516380</xdr:colOff>
          <xdr:row>2</xdr:row>
          <xdr:rowOff>106680</xdr:rowOff>
        </xdr:from>
        <xdr:to>
          <xdr:col>1</xdr:col>
          <xdr:colOff>76200</xdr:colOff>
          <xdr:row>6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MTW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</sheetNames>
    <sheetDataSet>
      <sheetData sheetId="0">
        <row r="4">
          <cell r="B4">
            <v>37152.435682986114</v>
          </cell>
        </row>
        <row r="5">
          <cell r="B5">
            <v>37152.435682986114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4888</v>
          </cell>
          <cell r="E9">
            <v>4666</v>
          </cell>
          <cell r="F9">
            <v>1896</v>
          </cell>
          <cell r="G9">
            <v>-10663</v>
          </cell>
          <cell r="H9">
            <v>327</v>
          </cell>
          <cell r="I9">
            <v>-372</v>
          </cell>
          <cell r="J9">
            <v>-1196</v>
          </cell>
          <cell r="K9">
            <v>-506</v>
          </cell>
          <cell r="L9">
            <v>2952</v>
          </cell>
          <cell r="M9">
            <v>2747</v>
          </cell>
          <cell r="N9">
            <v>2825</v>
          </cell>
          <cell r="O9">
            <v>2576</v>
          </cell>
        </row>
        <row r="10">
          <cell r="D10">
            <v>13915</v>
          </cell>
          <cell r="E10">
            <v>18344</v>
          </cell>
          <cell r="F10">
            <v>18106</v>
          </cell>
          <cell r="G10">
            <v>14923</v>
          </cell>
          <cell r="H10">
            <v>16340</v>
          </cell>
          <cell r="I10">
            <v>14618</v>
          </cell>
          <cell r="J10">
            <v>14274</v>
          </cell>
          <cell r="K10">
            <v>13605</v>
          </cell>
          <cell r="L10">
            <v>13080</v>
          </cell>
          <cell r="M10">
            <v>13252</v>
          </cell>
          <cell r="N10">
            <v>12325</v>
          </cell>
          <cell r="O10">
            <v>13169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7">
          <cell r="D17">
            <v>-30</v>
          </cell>
          <cell r="E17">
            <v>-30</v>
          </cell>
          <cell r="F17">
            <v>-31</v>
          </cell>
          <cell r="G17">
            <v>-30</v>
          </cell>
          <cell r="H17">
            <v>-30</v>
          </cell>
          <cell r="I17">
            <v>-30</v>
          </cell>
          <cell r="J17">
            <v>-30</v>
          </cell>
          <cell r="K17">
            <v>-30</v>
          </cell>
          <cell r="L17">
            <v>-30</v>
          </cell>
          <cell r="M17">
            <v>-30</v>
          </cell>
          <cell r="N17">
            <v>-30</v>
          </cell>
          <cell r="O17">
            <v>-30</v>
          </cell>
        </row>
        <row r="18">
          <cell r="D18">
            <v>-42</v>
          </cell>
          <cell r="E18">
            <v>-42</v>
          </cell>
          <cell r="F18">
            <v>-42</v>
          </cell>
          <cell r="G18">
            <v>-42</v>
          </cell>
          <cell r="H18">
            <v>-42</v>
          </cell>
          <cell r="I18">
            <v>-42</v>
          </cell>
          <cell r="J18">
            <v>-42</v>
          </cell>
          <cell r="K18">
            <v>-43</v>
          </cell>
          <cell r="L18">
            <v>-42</v>
          </cell>
          <cell r="M18">
            <v>-43</v>
          </cell>
          <cell r="N18">
            <v>-43</v>
          </cell>
          <cell r="O18">
            <v>-43</v>
          </cell>
        </row>
        <row r="19">
          <cell r="D19">
            <v>-10</v>
          </cell>
          <cell r="E19">
            <v>-10</v>
          </cell>
          <cell r="F19">
            <v>-10</v>
          </cell>
          <cell r="G19">
            <v>-10</v>
          </cell>
          <cell r="H19">
            <v>-10</v>
          </cell>
          <cell r="I19">
            <v>-10</v>
          </cell>
          <cell r="J19">
            <v>-10</v>
          </cell>
          <cell r="K19">
            <v>-10</v>
          </cell>
          <cell r="L19">
            <v>-11</v>
          </cell>
          <cell r="M19">
            <v>-10</v>
          </cell>
          <cell r="N19">
            <v>-11</v>
          </cell>
          <cell r="O19">
            <v>-10</v>
          </cell>
        </row>
        <row r="20">
          <cell r="D20">
            <v>-31</v>
          </cell>
          <cell r="E20">
            <v>-31</v>
          </cell>
          <cell r="F20">
            <v>-31</v>
          </cell>
          <cell r="G20">
            <v>-31</v>
          </cell>
          <cell r="H20">
            <v>-31</v>
          </cell>
          <cell r="I20">
            <v>-31</v>
          </cell>
          <cell r="J20">
            <v>-31</v>
          </cell>
          <cell r="K20">
            <v>-32</v>
          </cell>
          <cell r="L20">
            <v>-31</v>
          </cell>
          <cell r="M20">
            <v>-32</v>
          </cell>
          <cell r="N20">
            <v>-31</v>
          </cell>
          <cell r="O20">
            <v>-32</v>
          </cell>
        </row>
        <row r="21">
          <cell r="D21">
            <v>-45</v>
          </cell>
          <cell r="E21">
            <v>-45</v>
          </cell>
          <cell r="F21">
            <v>-45</v>
          </cell>
          <cell r="G21">
            <v>-45</v>
          </cell>
          <cell r="H21">
            <v>-45</v>
          </cell>
          <cell r="I21">
            <v>-45</v>
          </cell>
          <cell r="J21">
            <v>-45</v>
          </cell>
          <cell r="K21">
            <v>-45</v>
          </cell>
          <cell r="L21">
            <v>-45</v>
          </cell>
          <cell r="M21">
            <v>-45</v>
          </cell>
          <cell r="N21">
            <v>-44</v>
          </cell>
          <cell r="O21">
            <v>-45</v>
          </cell>
        </row>
        <row r="22">
          <cell r="D22">
            <v>-53</v>
          </cell>
          <cell r="E22">
            <v>-53</v>
          </cell>
          <cell r="F22">
            <v>-53</v>
          </cell>
          <cell r="G22">
            <v>-53</v>
          </cell>
          <cell r="H22">
            <v>-53</v>
          </cell>
          <cell r="I22">
            <v>-53</v>
          </cell>
          <cell r="J22">
            <v>-53</v>
          </cell>
          <cell r="K22">
            <v>-52</v>
          </cell>
          <cell r="L22">
            <v>-53</v>
          </cell>
          <cell r="M22">
            <v>-53</v>
          </cell>
          <cell r="N22">
            <v>-52</v>
          </cell>
          <cell r="O22">
            <v>-53</v>
          </cell>
        </row>
        <row r="23">
          <cell r="D23">
            <v>-11</v>
          </cell>
          <cell r="E23">
            <v>-11</v>
          </cell>
          <cell r="F23">
            <v>-11</v>
          </cell>
          <cell r="G23">
            <v>-11</v>
          </cell>
          <cell r="H23">
            <v>-11</v>
          </cell>
          <cell r="I23">
            <v>-11</v>
          </cell>
          <cell r="J23">
            <v>-11</v>
          </cell>
          <cell r="K23">
            <v>-11</v>
          </cell>
          <cell r="L23">
            <v>-10</v>
          </cell>
          <cell r="M23">
            <v>-11</v>
          </cell>
          <cell r="N23">
            <v>-11</v>
          </cell>
          <cell r="O23">
            <v>-10</v>
          </cell>
        </row>
        <row r="24">
          <cell r="D24">
            <v>-7</v>
          </cell>
          <cell r="E24">
            <v>-7</v>
          </cell>
          <cell r="F24">
            <v>-7</v>
          </cell>
          <cell r="G24">
            <v>-7</v>
          </cell>
          <cell r="H24">
            <v>-7</v>
          </cell>
          <cell r="I24">
            <v>-7</v>
          </cell>
          <cell r="J24">
            <v>-7</v>
          </cell>
          <cell r="K24">
            <v>-7</v>
          </cell>
          <cell r="L24">
            <v>-7</v>
          </cell>
          <cell r="M24">
            <v>-7</v>
          </cell>
          <cell r="N24">
            <v>-7</v>
          </cell>
          <cell r="O24">
            <v>-7</v>
          </cell>
        </row>
        <row r="25">
          <cell r="D25">
            <v>-10</v>
          </cell>
          <cell r="E25">
            <v>-10</v>
          </cell>
          <cell r="F25">
            <v>-10</v>
          </cell>
          <cell r="G25">
            <v>-10</v>
          </cell>
          <cell r="H25">
            <v>-10</v>
          </cell>
          <cell r="I25">
            <v>-10</v>
          </cell>
          <cell r="J25">
            <v>-10</v>
          </cell>
          <cell r="K25">
            <v>-10</v>
          </cell>
          <cell r="L25">
            <v>-10</v>
          </cell>
          <cell r="M25">
            <v>-10</v>
          </cell>
          <cell r="N25">
            <v>-10</v>
          </cell>
          <cell r="O25">
            <v>-10</v>
          </cell>
        </row>
        <row r="26">
          <cell r="D26">
            <v>-97</v>
          </cell>
          <cell r="E26">
            <v>-97</v>
          </cell>
          <cell r="F26">
            <v>-678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-109</v>
          </cell>
          <cell r="N26">
            <v>-109</v>
          </cell>
          <cell r="O26">
            <v>-109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1308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-107</v>
          </cell>
          <cell r="E28">
            <v>-108</v>
          </cell>
          <cell r="F28">
            <v>-107</v>
          </cell>
          <cell r="G28">
            <v>-107</v>
          </cell>
          <cell r="H28">
            <v>-107</v>
          </cell>
          <cell r="I28">
            <v>-107</v>
          </cell>
          <cell r="J28">
            <v>-107</v>
          </cell>
          <cell r="K28">
            <v>-107</v>
          </cell>
          <cell r="L28">
            <v>-107</v>
          </cell>
          <cell r="M28">
            <v>-107</v>
          </cell>
          <cell r="N28">
            <v>-107</v>
          </cell>
          <cell r="O28">
            <v>-107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-4</v>
          </cell>
          <cell r="E30">
            <v>-4</v>
          </cell>
          <cell r="F30">
            <v>-4</v>
          </cell>
          <cell r="G30">
            <v>-4</v>
          </cell>
          <cell r="H30">
            <v>-4</v>
          </cell>
          <cell r="I30">
            <v>-4</v>
          </cell>
          <cell r="J30">
            <v>-4</v>
          </cell>
          <cell r="K30">
            <v>-4</v>
          </cell>
          <cell r="L30">
            <v>-4</v>
          </cell>
          <cell r="M30">
            <v>-4</v>
          </cell>
          <cell r="N30">
            <v>-4</v>
          </cell>
          <cell r="O30">
            <v>-4</v>
          </cell>
        </row>
        <row r="31">
          <cell r="D31">
            <v>-50</v>
          </cell>
          <cell r="E31">
            <v>-50</v>
          </cell>
          <cell r="F31">
            <v>-50</v>
          </cell>
          <cell r="G31">
            <v>-50</v>
          </cell>
          <cell r="H31">
            <v>-50</v>
          </cell>
          <cell r="I31">
            <v>-50</v>
          </cell>
          <cell r="J31">
            <v>-50</v>
          </cell>
          <cell r="K31">
            <v>-50</v>
          </cell>
          <cell r="L31">
            <v>-50</v>
          </cell>
          <cell r="M31">
            <v>-50</v>
          </cell>
          <cell r="N31">
            <v>-50</v>
          </cell>
          <cell r="O31">
            <v>-50</v>
          </cell>
        </row>
        <row r="32">
          <cell r="D32">
            <v>-17</v>
          </cell>
          <cell r="E32">
            <v>17</v>
          </cell>
          <cell r="F32">
            <v>-52</v>
          </cell>
          <cell r="G32">
            <v>-17</v>
          </cell>
          <cell r="H32">
            <v>-17</v>
          </cell>
          <cell r="I32">
            <v>-18</v>
          </cell>
          <cell r="J32">
            <v>-17</v>
          </cell>
          <cell r="K32">
            <v>-18</v>
          </cell>
          <cell r="L32">
            <v>-17</v>
          </cell>
          <cell r="M32">
            <v>-17</v>
          </cell>
          <cell r="N32">
            <v>-18</v>
          </cell>
          <cell r="O32">
            <v>-18</v>
          </cell>
        </row>
        <row r="33">
          <cell r="D33">
            <v>-7</v>
          </cell>
          <cell r="E33">
            <v>-7</v>
          </cell>
          <cell r="F33">
            <v>-7</v>
          </cell>
          <cell r="G33">
            <v>-7</v>
          </cell>
          <cell r="H33">
            <v>-7</v>
          </cell>
          <cell r="I33">
            <v>-7</v>
          </cell>
          <cell r="J33">
            <v>-7</v>
          </cell>
          <cell r="K33">
            <v>-8</v>
          </cell>
          <cell r="L33">
            <v>-7</v>
          </cell>
          <cell r="M33">
            <v>-8</v>
          </cell>
          <cell r="N33">
            <v>-7</v>
          </cell>
          <cell r="O33">
            <v>-8</v>
          </cell>
        </row>
        <row r="34">
          <cell r="D34">
            <v>-38</v>
          </cell>
          <cell r="E34">
            <v>-38</v>
          </cell>
          <cell r="F34">
            <v>-38</v>
          </cell>
          <cell r="G34">
            <v>-38</v>
          </cell>
          <cell r="H34">
            <v>-38</v>
          </cell>
          <cell r="I34">
            <v>-38</v>
          </cell>
          <cell r="J34">
            <v>-38</v>
          </cell>
          <cell r="K34">
            <v>-38</v>
          </cell>
          <cell r="L34">
            <v>-38</v>
          </cell>
          <cell r="M34">
            <v>-38</v>
          </cell>
          <cell r="N34">
            <v>-38</v>
          </cell>
          <cell r="O34">
            <v>-37</v>
          </cell>
        </row>
        <row r="37">
          <cell r="D37">
            <v>1027</v>
          </cell>
          <cell r="E37">
            <v>993</v>
          </cell>
          <cell r="F37">
            <v>1037</v>
          </cell>
          <cell r="G37">
            <v>1049</v>
          </cell>
          <cell r="H37">
            <v>1006</v>
          </cell>
          <cell r="I37">
            <v>1116</v>
          </cell>
          <cell r="J37">
            <v>1054</v>
          </cell>
          <cell r="K37">
            <v>1056</v>
          </cell>
          <cell r="L37">
            <v>1106</v>
          </cell>
          <cell r="M37">
            <v>1206</v>
          </cell>
          <cell r="N37">
            <v>1306</v>
          </cell>
          <cell r="O37">
            <v>1356</v>
          </cell>
        </row>
        <row r="38">
          <cell r="D38">
            <v>-594</v>
          </cell>
          <cell r="E38">
            <v>-594</v>
          </cell>
          <cell r="F38">
            <v>-594</v>
          </cell>
          <cell r="G38">
            <v>-594</v>
          </cell>
          <cell r="H38">
            <v>-594</v>
          </cell>
          <cell r="I38">
            <v>-594</v>
          </cell>
          <cell r="J38">
            <v>-594</v>
          </cell>
          <cell r="K38">
            <v>-594</v>
          </cell>
          <cell r="L38">
            <v>-594</v>
          </cell>
          <cell r="M38">
            <v>-594</v>
          </cell>
          <cell r="N38">
            <v>-594</v>
          </cell>
          <cell r="O38">
            <v>-594</v>
          </cell>
        </row>
        <row r="40">
          <cell r="D40">
            <v>-130</v>
          </cell>
          <cell r="E40">
            <v>-178</v>
          </cell>
          <cell r="F40">
            <v>-90</v>
          </cell>
          <cell r="G40">
            <v>-84</v>
          </cell>
          <cell r="H40">
            <v>-89</v>
          </cell>
          <cell r="I40">
            <v>-88</v>
          </cell>
          <cell r="J40">
            <v>-80</v>
          </cell>
          <cell r="K40">
            <v>-76</v>
          </cell>
          <cell r="L40">
            <v>-94</v>
          </cell>
          <cell r="M40">
            <v>-92</v>
          </cell>
          <cell r="N40">
            <v>-92</v>
          </cell>
          <cell r="O40">
            <v>-92</v>
          </cell>
        </row>
        <row r="41">
          <cell r="D41">
            <v>956</v>
          </cell>
          <cell r="E41">
            <v>1007</v>
          </cell>
          <cell r="F41">
            <v>914</v>
          </cell>
          <cell r="G41">
            <v>909</v>
          </cell>
          <cell r="H41">
            <v>913</v>
          </cell>
          <cell r="I41">
            <v>917</v>
          </cell>
          <cell r="J41">
            <v>905</v>
          </cell>
          <cell r="K41">
            <v>901</v>
          </cell>
          <cell r="L41">
            <v>919</v>
          </cell>
          <cell r="M41">
            <v>917</v>
          </cell>
          <cell r="N41">
            <v>917</v>
          </cell>
          <cell r="O41">
            <v>917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D46">
            <v>0</v>
          </cell>
          <cell r="E46">
            <v>0</v>
          </cell>
          <cell r="F46">
            <v>11540</v>
          </cell>
          <cell r="G46">
            <v>415</v>
          </cell>
          <cell r="H46">
            <v>0</v>
          </cell>
          <cell r="I46">
            <v>325</v>
          </cell>
          <cell r="J46">
            <v>8</v>
          </cell>
          <cell r="K46">
            <v>244</v>
          </cell>
          <cell r="L46">
            <v>-244</v>
          </cell>
          <cell r="M46">
            <v>0</v>
          </cell>
          <cell r="N46">
            <v>0</v>
          </cell>
          <cell r="O46">
            <v>161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51">
          <cell r="D51">
            <v>-3944</v>
          </cell>
          <cell r="E51">
            <v>-5194</v>
          </cell>
          <cell r="F51">
            <v>-6678</v>
          </cell>
          <cell r="G51">
            <v>-4247</v>
          </cell>
          <cell r="H51">
            <v>-4424</v>
          </cell>
          <cell r="I51">
            <v>-3863</v>
          </cell>
          <cell r="J51">
            <v>-4002</v>
          </cell>
          <cell r="K51">
            <v>-3862</v>
          </cell>
          <cell r="L51">
            <v>-3285</v>
          </cell>
          <cell r="M51">
            <v>-420</v>
          </cell>
          <cell r="N51">
            <v>-4103</v>
          </cell>
          <cell r="O51">
            <v>-3723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150</v>
          </cell>
          <cell r="E53">
            <v>92</v>
          </cell>
          <cell r="F53">
            <v>-4693</v>
          </cell>
          <cell r="G53">
            <v>802</v>
          </cell>
          <cell r="H53">
            <v>259</v>
          </cell>
          <cell r="I53">
            <v>6</v>
          </cell>
          <cell r="J53">
            <v>256</v>
          </cell>
          <cell r="K53">
            <v>100</v>
          </cell>
          <cell r="L53">
            <v>747</v>
          </cell>
          <cell r="M53">
            <v>3257</v>
          </cell>
          <cell r="N53">
            <v>-753</v>
          </cell>
          <cell r="O53">
            <v>-60</v>
          </cell>
        </row>
        <row r="55">
          <cell r="D55">
            <v>4269</v>
          </cell>
          <cell r="E55">
            <v>5462</v>
          </cell>
          <cell r="F55">
            <v>2160</v>
          </cell>
          <cell r="G55">
            <v>5223</v>
          </cell>
          <cell r="H55">
            <v>4858</v>
          </cell>
          <cell r="I55">
            <v>4043</v>
          </cell>
          <cell r="J55">
            <v>4434</v>
          </cell>
          <cell r="K55">
            <v>4137</v>
          </cell>
          <cell r="L55">
            <v>4207</v>
          </cell>
          <cell r="M55">
            <v>3852</v>
          </cell>
          <cell r="N55">
            <v>3525</v>
          </cell>
          <cell r="O55">
            <v>3838</v>
          </cell>
        </row>
        <row r="56">
          <cell r="D56">
            <v>6658</v>
          </cell>
          <cell r="E56">
            <v>8540</v>
          </cell>
          <cell r="F56">
            <v>3341</v>
          </cell>
          <cell r="G56">
            <v>8154</v>
          </cell>
          <cell r="H56">
            <v>7578</v>
          </cell>
          <cell r="I56">
            <v>6296</v>
          </cell>
          <cell r="J56">
            <v>6915</v>
          </cell>
          <cell r="K56">
            <v>6452</v>
          </cell>
          <cell r="L56">
            <v>6558</v>
          </cell>
          <cell r="M56">
            <v>5998</v>
          </cell>
          <cell r="N56">
            <v>5486</v>
          </cell>
          <cell r="O56">
            <v>5977</v>
          </cell>
        </row>
        <row r="58">
          <cell r="D58">
            <v>7</v>
          </cell>
          <cell r="E58">
            <v>7</v>
          </cell>
          <cell r="F58">
            <v>5</v>
          </cell>
          <cell r="G58">
            <v>5</v>
          </cell>
          <cell r="H58">
            <v>4</v>
          </cell>
          <cell r="I58">
            <v>7</v>
          </cell>
          <cell r="J58">
            <v>23</v>
          </cell>
          <cell r="K58">
            <v>21</v>
          </cell>
          <cell r="L58">
            <v>8</v>
          </cell>
          <cell r="M58">
            <v>5</v>
          </cell>
          <cell r="N58">
            <v>8</v>
          </cell>
          <cell r="O58">
            <v>8</v>
          </cell>
        </row>
        <row r="59">
          <cell r="D59">
            <v>-7</v>
          </cell>
          <cell r="E59">
            <v>-7</v>
          </cell>
          <cell r="F59">
            <v>-7</v>
          </cell>
          <cell r="G59">
            <v>-8</v>
          </cell>
          <cell r="H59">
            <v>-7</v>
          </cell>
          <cell r="I59">
            <v>-7</v>
          </cell>
          <cell r="J59">
            <v>-7</v>
          </cell>
          <cell r="K59">
            <v>-7</v>
          </cell>
          <cell r="L59">
            <v>-7</v>
          </cell>
          <cell r="M59">
            <v>-7</v>
          </cell>
          <cell r="N59">
            <v>-7</v>
          </cell>
          <cell r="O59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W530"/>
  <sheetViews>
    <sheetView showGridLines="0" tabSelected="1"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10.6640625" defaultRowHeight="13.2" x14ac:dyDescent="0.25"/>
  <cols>
    <col min="1" max="1" width="50.6640625" style="8" customWidth="1"/>
    <col min="2" max="2" width="3.6640625" style="8" customWidth="1"/>
    <col min="3" max="17" width="10.6640625" style="8"/>
    <col min="18" max="18" width="11.5546875" style="8" customWidth="1"/>
    <col min="19" max="16384" width="10.6640625" style="8"/>
  </cols>
  <sheetData>
    <row r="1" spans="1:18" x14ac:dyDescent="0.25">
      <c r="A1" s="29" t="str">
        <f ca="1">CELL("FILENAME")</f>
        <v>P:\Finance\2001CE\[TW3rdCECF.xls]BACKUP</v>
      </c>
      <c r="B1" s="6"/>
      <c r="C1" s="6"/>
      <c r="D1" s="6"/>
      <c r="E1" s="6"/>
      <c r="F1"/>
      <c r="G1" s="202" t="s">
        <v>0</v>
      </c>
      <c r="H1" s="165"/>
      <c r="I1" s="166"/>
      <c r="J1" s="166"/>
      <c r="K1" s="6"/>
      <c r="L1" s="6"/>
      <c r="M1" s="6"/>
      <c r="N1" s="6"/>
      <c r="O1" s="6"/>
      <c r="P1" s="6"/>
      <c r="Q1" s="6"/>
      <c r="R1" s="9">
        <f ca="1">NOW()</f>
        <v>37197.64694421296</v>
      </c>
    </row>
    <row r="2" spans="1:18" x14ac:dyDescent="0.25">
      <c r="A2" s="5"/>
      <c r="B2" s="6"/>
      <c r="C2" s="6"/>
      <c r="D2" s="6"/>
      <c r="E2" s="6"/>
      <c r="F2"/>
      <c r="G2" s="164" t="s">
        <v>1</v>
      </c>
      <c r="H2" s="166"/>
      <c r="I2" s="166"/>
      <c r="J2" s="166"/>
      <c r="K2" s="6"/>
      <c r="L2" s="6"/>
      <c r="M2" s="6"/>
      <c r="N2" s="6"/>
      <c r="O2" s="6"/>
      <c r="P2" s="6"/>
      <c r="Q2" s="6"/>
      <c r="R2" s="10">
        <f ca="1">NOW()</f>
        <v>37197.64694421296</v>
      </c>
    </row>
    <row r="3" spans="1:18" x14ac:dyDescent="0.25">
      <c r="A3" s="22">
        <f>[1]Source!$B$4</f>
        <v>37152.435682986114</v>
      </c>
      <c r="B3" s="6"/>
      <c r="C3" s="6"/>
      <c r="D3" s="6"/>
      <c r="E3" s="6"/>
      <c r="F3"/>
      <c r="G3" s="198" t="s">
        <v>2</v>
      </c>
      <c r="H3" s="166"/>
      <c r="I3" s="166"/>
      <c r="J3" s="166"/>
      <c r="K3" s="6"/>
      <c r="L3" s="6"/>
      <c r="M3" s="6"/>
      <c r="N3" s="6"/>
      <c r="O3" s="6"/>
      <c r="P3" s="6"/>
      <c r="Q3" s="6"/>
      <c r="R3" s="6"/>
    </row>
    <row r="4" spans="1:18" x14ac:dyDescent="0.25">
      <c r="A4" s="23">
        <f>[1]Source!$B$5</f>
        <v>37152.435682986114</v>
      </c>
      <c r="B4" s="6"/>
      <c r="C4" s="11"/>
      <c r="D4" s="6"/>
      <c r="E4" s="6"/>
      <c r="F4"/>
      <c r="G4" s="164" t="s">
        <v>3</v>
      </c>
      <c r="H4" s="166"/>
      <c r="I4" s="166"/>
      <c r="J4" s="166"/>
      <c r="K4" s="6"/>
      <c r="L4" s="6"/>
      <c r="M4" s="6"/>
      <c r="N4" s="6"/>
      <c r="O4" s="6"/>
      <c r="P4" s="6"/>
      <c r="Q4" s="6"/>
      <c r="R4" s="6"/>
    </row>
    <row r="5" spans="1:18" x14ac:dyDescent="0.25">
      <c r="A5" s="6"/>
      <c r="B5" s="6"/>
      <c r="C5" s="19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6"/>
      <c r="B6" s="6"/>
      <c r="C6" s="197" t="s">
        <v>4</v>
      </c>
      <c r="D6" s="24"/>
      <c r="E6" s="186"/>
      <c r="F6" s="186"/>
      <c r="G6"/>
      <c r="H6"/>
      <c r="I6" s="186"/>
      <c r="J6" s="193"/>
      <c r="K6" s="151" t="s">
        <v>5</v>
      </c>
      <c r="L6" s="150"/>
      <c r="M6" s="150"/>
      <c r="N6" s="150"/>
      <c r="O6" s="150"/>
      <c r="P6" s="6"/>
      <c r="Q6" s="6"/>
      <c r="R6" s="6"/>
    </row>
    <row r="7" spans="1:18" x14ac:dyDescent="0.25">
      <c r="A7" s="6"/>
      <c r="B7" s="6"/>
      <c r="C7" s="151" t="s">
        <v>6</v>
      </c>
      <c r="D7" s="24" t="s">
        <v>7</v>
      </c>
      <c r="E7" s="24" t="s">
        <v>7</v>
      </c>
      <c r="F7" s="24" t="s">
        <v>7</v>
      </c>
      <c r="G7" s="24" t="s">
        <v>7</v>
      </c>
      <c r="H7" s="24" t="s">
        <v>7</v>
      </c>
      <c r="I7" s="24" t="s">
        <v>7</v>
      </c>
      <c r="J7" s="24" t="s">
        <v>7</v>
      </c>
      <c r="K7" s="24" t="s">
        <v>7</v>
      </c>
      <c r="L7" s="197" t="s">
        <v>8</v>
      </c>
      <c r="M7" s="197" t="s">
        <v>8</v>
      </c>
      <c r="N7" s="197" t="s">
        <v>8</v>
      </c>
      <c r="O7" s="197" t="s">
        <v>8</v>
      </c>
      <c r="P7" s="151" t="s">
        <v>9</v>
      </c>
      <c r="Q7" s="224" t="s">
        <v>10</v>
      </c>
      <c r="R7" s="151" t="s">
        <v>11</v>
      </c>
    </row>
    <row r="8" spans="1:18" x14ac:dyDescent="0.25">
      <c r="A8" s="6"/>
      <c r="B8" s="6"/>
      <c r="C8" s="125" t="s">
        <v>12</v>
      </c>
      <c r="D8" s="167" t="s">
        <v>13</v>
      </c>
      <c r="E8" s="167" t="s">
        <v>14</v>
      </c>
      <c r="F8" s="167" t="s">
        <v>15</v>
      </c>
      <c r="G8" s="167" t="s">
        <v>16</v>
      </c>
      <c r="H8" s="167" t="s">
        <v>17</v>
      </c>
      <c r="I8" s="167" t="s">
        <v>18</v>
      </c>
      <c r="J8" s="167" t="s">
        <v>19</v>
      </c>
      <c r="K8" s="167" t="s">
        <v>20</v>
      </c>
      <c r="L8" s="167" t="s">
        <v>21</v>
      </c>
      <c r="M8" s="167" t="s">
        <v>22</v>
      </c>
      <c r="N8" s="167" t="s">
        <v>23</v>
      </c>
      <c r="O8" s="167" t="s">
        <v>24</v>
      </c>
      <c r="P8" s="125">
        <v>2001</v>
      </c>
      <c r="Q8" s="167" t="s">
        <v>25</v>
      </c>
      <c r="R8" s="167" t="s">
        <v>26</v>
      </c>
    </row>
    <row r="9" spans="1:18" ht="6" customHeight="1" x14ac:dyDescent="0.25"/>
    <row r="10" spans="1:18" x14ac:dyDescent="0.25">
      <c r="A10" s="26" t="s">
        <v>27</v>
      </c>
      <c r="C10" s="14"/>
      <c r="D10" s="14">
        <f t="shared" ref="D10:O10" si="0">C13</f>
        <v>4</v>
      </c>
      <c r="E10" s="14">
        <f t="shared" si="0"/>
        <v>4</v>
      </c>
      <c r="F10" s="14">
        <f t="shared" si="0"/>
        <v>4</v>
      </c>
      <c r="G10" s="14">
        <f t="shared" si="0"/>
        <v>4</v>
      </c>
      <c r="H10" s="14">
        <f t="shared" si="0"/>
        <v>4</v>
      </c>
      <c r="I10" s="14">
        <f t="shared" si="0"/>
        <v>4</v>
      </c>
      <c r="J10" s="14">
        <f t="shared" si="0"/>
        <v>4</v>
      </c>
      <c r="K10" s="14">
        <f t="shared" si="0"/>
        <v>3</v>
      </c>
      <c r="L10" s="14">
        <f t="shared" si="0"/>
        <v>3</v>
      </c>
      <c r="M10" s="14">
        <f t="shared" si="0"/>
        <v>3</v>
      </c>
      <c r="N10" s="14">
        <f t="shared" si="0"/>
        <v>3</v>
      </c>
      <c r="O10" s="14">
        <f t="shared" si="0"/>
        <v>3</v>
      </c>
      <c r="P10" s="14"/>
      <c r="Q10" s="14"/>
      <c r="R10" s="14"/>
    </row>
    <row r="11" spans="1:18" x14ac:dyDescent="0.25">
      <c r="A11" s="27" t="s">
        <v>28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-1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6">
        <f>SUM(D11:O11)</f>
        <v>-1</v>
      </c>
      <c r="Q11" s="25">
        <f>SUM(D11:J11)</f>
        <v>-1</v>
      </c>
      <c r="R11" s="16">
        <f>P11-Q11</f>
        <v>0</v>
      </c>
    </row>
    <row r="12" spans="1:18" ht="3.9" customHeight="1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8" x14ac:dyDescent="0.25">
      <c r="A13" s="26" t="s">
        <v>29</v>
      </c>
      <c r="C13" s="17">
        <v>4</v>
      </c>
      <c r="D13" s="14">
        <f t="shared" ref="D13:O13" si="1">D10+D11</f>
        <v>4</v>
      </c>
      <c r="E13" s="14">
        <f t="shared" si="1"/>
        <v>4</v>
      </c>
      <c r="F13" s="14">
        <f t="shared" si="1"/>
        <v>4</v>
      </c>
      <c r="G13" s="14">
        <f t="shared" si="1"/>
        <v>4</v>
      </c>
      <c r="H13" s="14">
        <f t="shared" si="1"/>
        <v>4</v>
      </c>
      <c r="I13" s="14">
        <f t="shared" si="1"/>
        <v>4</v>
      </c>
      <c r="J13" s="14">
        <f t="shared" si="1"/>
        <v>3</v>
      </c>
      <c r="K13" s="14">
        <f t="shared" si="1"/>
        <v>3</v>
      </c>
      <c r="L13" s="14">
        <f t="shared" si="1"/>
        <v>3</v>
      </c>
      <c r="M13" s="14">
        <f t="shared" si="1"/>
        <v>3</v>
      </c>
      <c r="N13" s="14">
        <f t="shared" si="1"/>
        <v>3</v>
      </c>
      <c r="O13" s="14">
        <f t="shared" si="1"/>
        <v>3</v>
      </c>
      <c r="P13" s="14"/>
      <c r="Q13" s="14"/>
      <c r="R13" s="14"/>
    </row>
    <row r="14" spans="1:18" ht="3.9" customHeight="1" x14ac:dyDescent="0.25"/>
    <row r="15" spans="1:18" x14ac:dyDescent="0.25">
      <c r="A15" s="27" t="s">
        <v>30</v>
      </c>
      <c r="C15" s="14"/>
      <c r="D15" s="14">
        <f t="shared" ref="D15:O15" si="2">D13-C13</f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-1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>SUM(D15:O15)</f>
        <v>-1</v>
      </c>
      <c r="Q15" s="14">
        <f>Q11</f>
        <v>-1</v>
      </c>
      <c r="R15" s="14">
        <f>P15-Q15</f>
        <v>0</v>
      </c>
    </row>
    <row r="17" spans="1:18" x14ac:dyDescent="0.25">
      <c r="A17" s="26" t="s">
        <v>31</v>
      </c>
      <c r="C17" s="194">
        <f>17067+2238</f>
        <v>19305</v>
      </c>
      <c r="D17" s="14">
        <f t="shared" ref="D17:O17" si="3">C34</f>
        <v>7581</v>
      </c>
      <c r="E17" s="14">
        <f t="shared" si="3"/>
        <v>6648</v>
      </c>
      <c r="F17" s="14">
        <f t="shared" si="3"/>
        <v>7120</v>
      </c>
      <c r="G17" s="14">
        <f t="shared" si="3"/>
        <v>21572</v>
      </c>
      <c r="H17" s="14">
        <f t="shared" si="3"/>
        <v>17146</v>
      </c>
      <c r="I17" s="14">
        <f t="shared" si="3"/>
        <v>19651</v>
      </c>
      <c r="J17" s="14">
        <f t="shared" si="3"/>
        <v>8677</v>
      </c>
      <c r="K17" s="14">
        <f t="shared" si="3"/>
        <v>20275</v>
      </c>
      <c r="L17" s="14">
        <f t="shared" si="3"/>
        <v>20296</v>
      </c>
      <c r="M17" s="14">
        <f t="shared" si="3"/>
        <v>23229</v>
      </c>
      <c r="N17" s="14">
        <f t="shared" si="3"/>
        <v>23196</v>
      </c>
      <c r="O17" s="14">
        <f t="shared" si="3"/>
        <v>22347</v>
      </c>
      <c r="P17" s="14"/>
    </row>
    <row r="18" spans="1:18" x14ac:dyDescent="0.25">
      <c r="A18" s="27" t="s">
        <v>32</v>
      </c>
      <c r="C18" s="17">
        <v>-13286</v>
      </c>
      <c r="D18" s="14">
        <f t="shared" ref="D18:O18" si="4">-C27</f>
        <v>-14524</v>
      </c>
      <c r="E18" s="14">
        <f t="shared" si="4"/>
        <v>-18803</v>
      </c>
      <c r="F18" s="14">
        <f t="shared" si="4"/>
        <v>-23010</v>
      </c>
      <c r="G18" s="14">
        <f t="shared" si="4"/>
        <v>-20002</v>
      </c>
      <c r="H18" s="14">
        <f t="shared" si="4"/>
        <v>-26001</v>
      </c>
      <c r="I18" s="14">
        <f t="shared" si="4"/>
        <v>-16667</v>
      </c>
      <c r="J18" s="14">
        <f t="shared" si="4"/>
        <v>-14246</v>
      </c>
      <c r="K18" s="14">
        <f t="shared" si="4"/>
        <v>-13078</v>
      </c>
      <c r="L18" s="14">
        <f t="shared" si="4"/>
        <v>-13099</v>
      </c>
      <c r="M18" s="14">
        <f t="shared" si="4"/>
        <v>-16032</v>
      </c>
      <c r="N18" s="14">
        <f t="shared" si="4"/>
        <v>-15999</v>
      </c>
      <c r="O18" s="14">
        <f t="shared" si="4"/>
        <v>-15150</v>
      </c>
      <c r="P18" s="14">
        <f>SUM(D18:O18)</f>
        <v>-206611</v>
      </c>
      <c r="Q18" s="14"/>
      <c r="R18" s="14"/>
    </row>
    <row r="19" spans="1:18" ht="8.1" customHeight="1" x14ac:dyDescent="0.25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8" x14ac:dyDescent="0.25">
      <c r="A20" s="27" t="s">
        <v>33</v>
      </c>
      <c r="B20" s="18" t="s">
        <v>34</v>
      </c>
      <c r="C20" s="17">
        <v>615</v>
      </c>
      <c r="D20" s="153">
        <f>[1]Source!D9</f>
        <v>4888</v>
      </c>
      <c r="E20" s="153">
        <f>[1]Source!E9</f>
        <v>4666</v>
      </c>
      <c r="F20" s="153">
        <f>[1]Source!F9</f>
        <v>1896</v>
      </c>
      <c r="G20" s="199">
        <f>[1]Source!G9+21741</f>
        <v>11078</v>
      </c>
      <c r="H20" s="153">
        <f>[1]Source!H9</f>
        <v>327</v>
      </c>
      <c r="I20" s="153">
        <f>[1]Source!I9</f>
        <v>-372</v>
      </c>
      <c r="J20" s="153">
        <f>[1]Source!J9</f>
        <v>-1196</v>
      </c>
      <c r="K20" s="153">
        <f>[1]Source!K9</f>
        <v>-506</v>
      </c>
      <c r="L20" s="153">
        <f>[1]Source!L9</f>
        <v>2952</v>
      </c>
      <c r="M20" s="153">
        <f>[1]Source!M9</f>
        <v>2747</v>
      </c>
      <c r="N20" s="153">
        <f>[1]Source!N9</f>
        <v>2825</v>
      </c>
      <c r="O20" s="153">
        <f>[1]Source!O9</f>
        <v>2576</v>
      </c>
      <c r="P20" s="14">
        <f t="shared" ref="P20:P25" si="5">SUM(D20:O20)</f>
        <v>31881</v>
      </c>
      <c r="Q20" s="17">
        <f t="shared" ref="Q20:Q25" si="6">SUM(D20:J20)</f>
        <v>21287</v>
      </c>
      <c r="R20" s="14">
        <f t="shared" ref="R20:R25" si="7">P20-Q20</f>
        <v>10594</v>
      </c>
    </row>
    <row r="21" spans="1:18" x14ac:dyDescent="0.25">
      <c r="A21" s="27" t="s">
        <v>35</v>
      </c>
      <c r="B21" s="18" t="s">
        <v>34</v>
      </c>
      <c r="C21" s="17">
        <v>13909</v>
      </c>
      <c r="D21" s="153">
        <f>[1]Source!D10</f>
        <v>13915</v>
      </c>
      <c r="E21" s="153">
        <f>[1]Source!E10</f>
        <v>18344</v>
      </c>
      <c r="F21" s="153">
        <f>[1]Source!F10</f>
        <v>18106</v>
      </c>
      <c r="G21" s="153">
        <f>[1]Source!G10</f>
        <v>14923</v>
      </c>
      <c r="H21" s="153">
        <f>[1]Source!H10</f>
        <v>16340</v>
      </c>
      <c r="I21" s="153">
        <f>[1]Source!I10</f>
        <v>14618</v>
      </c>
      <c r="J21" s="153">
        <f>[1]Source!J10</f>
        <v>14274</v>
      </c>
      <c r="K21" s="153">
        <f>[1]Source!K10</f>
        <v>13605</v>
      </c>
      <c r="L21" s="153">
        <f>[1]Source!L10</f>
        <v>13080</v>
      </c>
      <c r="M21" s="153">
        <f>[1]Source!M10</f>
        <v>13252</v>
      </c>
      <c r="N21" s="153">
        <f>[1]Source!N10</f>
        <v>12325</v>
      </c>
      <c r="O21" s="153">
        <f>[1]Source!O10</f>
        <v>13169</v>
      </c>
      <c r="P21" s="14">
        <f t="shared" si="5"/>
        <v>175951</v>
      </c>
      <c r="Q21" s="17">
        <f t="shared" si="6"/>
        <v>110520</v>
      </c>
      <c r="R21" s="14">
        <f t="shared" si="7"/>
        <v>65431</v>
      </c>
    </row>
    <row r="22" spans="1:18" x14ac:dyDescent="0.25">
      <c r="A22" s="27" t="s">
        <v>36</v>
      </c>
      <c r="B22" s="18" t="s">
        <v>34</v>
      </c>
      <c r="C22" s="17">
        <v>0</v>
      </c>
      <c r="D22" s="153">
        <f>[1]Source!D11</f>
        <v>0</v>
      </c>
      <c r="E22" s="153">
        <f>[1]Source!E11</f>
        <v>0</v>
      </c>
      <c r="F22" s="153">
        <f>[1]Source!F11</f>
        <v>0</v>
      </c>
      <c r="G22" s="153">
        <f>[1]Source!G11</f>
        <v>0</v>
      </c>
      <c r="H22" s="153">
        <f>[1]Source!H11</f>
        <v>0</v>
      </c>
      <c r="I22" s="153">
        <f>[1]Source!I11</f>
        <v>0</v>
      </c>
      <c r="J22" s="153">
        <f>[1]Source!J11</f>
        <v>0</v>
      </c>
      <c r="K22" s="153">
        <f>[1]Source!K11</f>
        <v>0</v>
      </c>
      <c r="L22" s="153">
        <f>[1]Source!L11</f>
        <v>0</v>
      </c>
      <c r="M22" s="153">
        <f>[1]Source!M11</f>
        <v>0</v>
      </c>
      <c r="N22" s="153">
        <f>[1]Source!N11</f>
        <v>0</v>
      </c>
      <c r="O22" s="153">
        <f>[1]Source!O11</f>
        <v>0</v>
      </c>
      <c r="P22" s="14">
        <f t="shared" si="5"/>
        <v>0</v>
      </c>
      <c r="Q22" s="17">
        <f t="shared" si="6"/>
        <v>0</v>
      </c>
      <c r="R22" s="14">
        <f t="shared" si="7"/>
        <v>0</v>
      </c>
    </row>
    <row r="23" spans="1:18" x14ac:dyDescent="0.25">
      <c r="A23" s="27" t="s">
        <v>37</v>
      </c>
      <c r="B23" s="18" t="s">
        <v>34</v>
      </c>
      <c r="C23" s="17">
        <v>0</v>
      </c>
      <c r="D23" s="153">
        <f>[1]Source!D12</f>
        <v>0</v>
      </c>
      <c r="E23" s="153">
        <f>[1]Source!E12</f>
        <v>0</v>
      </c>
      <c r="F23" s="153">
        <f>[1]Source!F12</f>
        <v>0</v>
      </c>
      <c r="G23" s="153">
        <f>[1]Source!G12</f>
        <v>0</v>
      </c>
      <c r="H23" s="153">
        <f>[1]Source!H12</f>
        <v>0</v>
      </c>
      <c r="I23" s="153">
        <f>[1]Source!I12</f>
        <v>0</v>
      </c>
      <c r="J23" s="153">
        <f>[1]Source!J12</f>
        <v>0</v>
      </c>
      <c r="K23" s="153">
        <f>[1]Source!K12</f>
        <v>0</v>
      </c>
      <c r="L23" s="153">
        <f>[1]Source!L12</f>
        <v>0</v>
      </c>
      <c r="M23" s="153">
        <f>[1]Source!M12</f>
        <v>0</v>
      </c>
      <c r="N23" s="153">
        <f>[1]Source!N12</f>
        <v>0</v>
      </c>
      <c r="O23" s="153">
        <f>[1]Source!O12</f>
        <v>0</v>
      </c>
      <c r="P23" s="14">
        <f t="shared" si="5"/>
        <v>0</v>
      </c>
      <c r="Q23" s="17">
        <f t="shared" si="6"/>
        <v>0</v>
      </c>
      <c r="R23" s="14">
        <f t="shared" si="7"/>
        <v>0</v>
      </c>
    </row>
    <row r="24" spans="1:18" x14ac:dyDescent="0.25">
      <c r="A24" s="27" t="s">
        <v>38</v>
      </c>
      <c r="B24" s="18" t="s">
        <v>34</v>
      </c>
      <c r="C24" s="17">
        <v>0</v>
      </c>
      <c r="D24" s="153">
        <f>[1]Source!D8</f>
        <v>0</v>
      </c>
      <c r="E24" s="153">
        <f>[1]Source!E8</f>
        <v>0</v>
      </c>
      <c r="F24" s="153">
        <f>[1]Source!F8</f>
        <v>0</v>
      </c>
      <c r="G24" s="153">
        <f>[1]Source!G8</f>
        <v>0</v>
      </c>
      <c r="H24" s="153">
        <f>[1]Source!H8</f>
        <v>0</v>
      </c>
      <c r="I24" s="153">
        <f>[1]Source!I8</f>
        <v>0</v>
      </c>
      <c r="J24" s="153">
        <f>[1]Source!J8</f>
        <v>0</v>
      </c>
      <c r="K24" s="153">
        <f>[1]Source!K8</f>
        <v>0</v>
      </c>
      <c r="L24" s="153">
        <f>[1]Source!L8</f>
        <v>0</v>
      </c>
      <c r="M24" s="153">
        <f>[1]Source!M8</f>
        <v>0</v>
      </c>
      <c r="N24" s="153">
        <f>[1]Source!N8</f>
        <v>0</v>
      </c>
      <c r="O24" s="153">
        <f>[1]Source!O8</f>
        <v>0</v>
      </c>
      <c r="P24" s="14">
        <f t="shared" si="5"/>
        <v>0</v>
      </c>
      <c r="Q24" s="17">
        <f t="shared" si="6"/>
        <v>0</v>
      </c>
      <c r="R24" s="14">
        <f t="shared" si="7"/>
        <v>0</v>
      </c>
    </row>
    <row r="25" spans="1:18" x14ac:dyDescent="0.25">
      <c r="A25" s="27" t="s">
        <v>28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16">
        <f t="shared" si="5"/>
        <v>0</v>
      </c>
      <c r="Q25" s="25">
        <f t="shared" si="6"/>
        <v>0</v>
      </c>
      <c r="R25" s="16">
        <f t="shared" si="7"/>
        <v>0</v>
      </c>
    </row>
    <row r="26" spans="1:18" ht="3.9" customHeight="1" x14ac:dyDescent="0.25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5">
      <c r="A27" s="27" t="s">
        <v>39</v>
      </c>
      <c r="C27" s="14">
        <f t="shared" ref="C27:Q27" si="8">SUM(C20:C26)</f>
        <v>14524</v>
      </c>
      <c r="D27" s="14">
        <f t="shared" si="8"/>
        <v>18803</v>
      </c>
      <c r="E27" s="14">
        <f t="shared" si="8"/>
        <v>23010</v>
      </c>
      <c r="F27" s="14">
        <f t="shared" si="8"/>
        <v>20002</v>
      </c>
      <c r="G27" s="14">
        <f t="shared" si="8"/>
        <v>26001</v>
      </c>
      <c r="H27" s="14">
        <f t="shared" si="8"/>
        <v>16667</v>
      </c>
      <c r="I27" s="14">
        <f t="shared" si="8"/>
        <v>14246</v>
      </c>
      <c r="J27" s="14">
        <f t="shared" si="8"/>
        <v>13078</v>
      </c>
      <c r="K27" s="14">
        <f t="shared" si="8"/>
        <v>13099</v>
      </c>
      <c r="L27" s="14">
        <f t="shared" si="8"/>
        <v>16032</v>
      </c>
      <c r="M27" s="14">
        <f t="shared" si="8"/>
        <v>15999</v>
      </c>
      <c r="N27" s="14">
        <f t="shared" si="8"/>
        <v>15150</v>
      </c>
      <c r="O27" s="14">
        <f t="shared" si="8"/>
        <v>15745</v>
      </c>
      <c r="P27" s="14">
        <f t="shared" si="8"/>
        <v>207832</v>
      </c>
      <c r="Q27" s="14">
        <f t="shared" si="8"/>
        <v>131807</v>
      </c>
      <c r="R27" s="14">
        <f>P27-Q27</f>
        <v>76025</v>
      </c>
    </row>
    <row r="28" spans="1:18" ht="6" customHeight="1" x14ac:dyDescent="0.25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5">
      <c r="A29" s="27" t="s">
        <v>40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4">
        <f>SUM(D29:O29)</f>
        <v>0</v>
      </c>
      <c r="Q29" s="17">
        <f>SUM(D29:J29)</f>
        <v>0</v>
      </c>
      <c r="R29" s="14">
        <f>P29-Q29</f>
        <v>0</v>
      </c>
    </row>
    <row r="30" spans="1:18" x14ac:dyDescent="0.25">
      <c r="A30" s="27" t="s">
        <v>40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4">
        <f>SUM(D30:O30)</f>
        <v>0</v>
      </c>
      <c r="Q30" s="17">
        <f>SUM(D30:J30)</f>
        <v>0</v>
      </c>
      <c r="R30" s="14">
        <f>P30-Q30</f>
        <v>0</v>
      </c>
    </row>
    <row r="31" spans="1:18" x14ac:dyDescent="0.25">
      <c r="A31" s="27" t="s">
        <v>41</v>
      </c>
      <c r="C31" s="17">
        <v>-12962</v>
      </c>
      <c r="D31" s="17">
        <v>0</v>
      </c>
      <c r="E31" s="17">
        <v>0</v>
      </c>
      <c r="F31" s="17">
        <v>12962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4">
        <f>SUM(D31:O31)</f>
        <v>12962</v>
      </c>
      <c r="Q31" s="17">
        <f>SUM(D31:J31)</f>
        <v>12962</v>
      </c>
      <c r="R31" s="14">
        <f>P31-Q31</f>
        <v>0</v>
      </c>
    </row>
    <row r="32" spans="1:18" x14ac:dyDescent="0.25">
      <c r="A32" s="27" t="s">
        <v>40</v>
      </c>
      <c r="C32" s="25">
        <v>0</v>
      </c>
      <c r="D32" s="25">
        <v>-5212</v>
      </c>
      <c r="E32" s="25">
        <v>-3735</v>
      </c>
      <c r="F32" s="25">
        <v>4498</v>
      </c>
      <c r="G32" s="25">
        <v>-10425</v>
      </c>
      <c r="H32" s="25">
        <v>11839</v>
      </c>
      <c r="I32" s="25">
        <v>-8553</v>
      </c>
      <c r="J32" s="25">
        <v>12766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16">
        <f>SUM(D32:O32)</f>
        <v>1178</v>
      </c>
      <c r="Q32" s="25">
        <f>SUM(D32:J32)</f>
        <v>1178</v>
      </c>
      <c r="R32" s="16">
        <f>P32-Q32</f>
        <v>0</v>
      </c>
    </row>
    <row r="33" spans="1:18" ht="3.9" customHeight="1" x14ac:dyDescent="0.2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25">
      <c r="A34" s="26" t="s">
        <v>42</v>
      </c>
      <c r="C34" s="14">
        <f t="shared" ref="C34:O34" si="9">C17+C18+C27+SUM(C29:C32)</f>
        <v>7581</v>
      </c>
      <c r="D34" s="14">
        <f t="shared" si="9"/>
        <v>6648</v>
      </c>
      <c r="E34" s="14">
        <f t="shared" si="9"/>
        <v>7120</v>
      </c>
      <c r="F34" s="14">
        <f t="shared" si="9"/>
        <v>21572</v>
      </c>
      <c r="G34" s="14">
        <f t="shared" si="9"/>
        <v>17146</v>
      </c>
      <c r="H34" s="14">
        <f t="shared" si="9"/>
        <v>19651</v>
      </c>
      <c r="I34" s="14">
        <f t="shared" si="9"/>
        <v>8677</v>
      </c>
      <c r="J34" s="14">
        <f t="shared" si="9"/>
        <v>20275</v>
      </c>
      <c r="K34" s="14">
        <f t="shared" si="9"/>
        <v>20296</v>
      </c>
      <c r="L34" s="14">
        <f t="shared" si="9"/>
        <v>23229</v>
      </c>
      <c r="M34" s="14">
        <f t="shared" si="9"/>
        <v>23196</v>
      </c>
      <c r="N34" s="14">
        <f t="shared" si="9"/>
        <v>22347</v>
      </c>
      <c r="O34" s="14">
        <f t="shared" si="9"/>
        <v>22942</v>
      </c>
      <c r="P34" s="14"/>
    </row>
    <row r="35" spans="1:18" ht="3.9" customHeight="1" x14ac:dyDescent="0.25"/>
    <row r="36" spans="1:18" x14ac:dyDescent="0.25">
      <c r="A36" s="27" t="s">
        <v>30</v>
      </c>
      <c r="D36" s="14">
        <f t="shared" ref="D36:O36" si="10">D34-C34</f>
        <v>-933</v>
      </c>
      <c r="E36" s="14">
        <f t="shared" si="10"/>
        <v>472</v>
      </c>
      <c r="F36" s="14">
        <f t="shared" si="10"/>
        <v>14452</v>
      </c>
      <c r="G36" s="14">
        <f t="shared" si="10"/>
        <v>-4426</v>
      </c>
      <c r="H36" s="14">
        <f t="shared" si="10"/>
        <v>2505</v>
      </c>
      <c r="I36" s="14">
        <f t="shared" si="10"/>
        <v>-10974</v>
      </c>
      <c r="J36" s="14">
        <f t="shared" si="10"/>
        <v>11598</v>
      </c>
      <c r="K36" s="14">
        <f t="shared" si="10"/>
        <v>21</v>
      </c>
      <c r="L36" s="14">
        <f t="shared" si="10"/>
        <v>2933</v>
      </c>
      <c r="M36" s="14">
        <f t="shared" si="10"/>
        <v>-33</v>
      </c>
      <c r="N36" s="14">
        <f t="shared" si="10"/>
        <v>-849</v>
      </c>
      <c r="O36" s="14">
        <f t="shared" si="10"/>
        <v>595</v>
      </c>
      <c r="P36" s="14">
        <f>SUM(D36:O36)</f>
        <v>15361</v>
      </c>
      <c r="Q36" s="17">
        <f>SUM(D36:J36)</f>
        <v>12694</v>
      </c>
      <c r="R36" s="14">
        <f>P36-Q36</f>
        <v>2667</v>
      </c>
    </row>
    <row r="38" spans="1:18" x14ac:dyDescent="0.25">
      <c r="A38" s="26" t="s">
        <v>43</v>
      </c>
      <c r="C38" s="14"/>
      <c r="D38" s="14">
        <f t="shared" ref="D38:O38" si="11">C42</f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42</v>
      </c>
      <c r="I38" s="14">
        <f t="shared" si="11"/>
        <v>53</v>
      </c>
      <c r="J38" s="14">
        <f t="shared" si="11"/>
        <v>4541</v>
      </c>
      <c r="K38" s="14">
        <f t="shared" si="11"/>
        <v>5383</v>
      </c>
      <c r="L38" s="14">
        <f t="shared" si="11"/>
        <v>5383</v>
      </c>
      <c r="M38" s="14">
        <f t="shared" si="11"/>
        <v>5383</v>
      </c>
      <c r="N38" s="14">
        <f t="shared" si="11"/>
        <v>5383</v>
      </c>
      <c r="O38" s="14">
        <f t="shared" si="11"/>
        <v>5383</v>
      </c>
      <c r="P38" s="14"/>
    </row>
    <row r="39" spans="1:18" x14ac:dyDescent="0.25">
      <c r="A39" s="27" t="s">
        <v>44</v>
      </c>
      <c r="C39" s="17">
        <v>0</v>
      </c>
      <c r="D39" s="17">
        <v>0</v>
      </c>
      <c r="E39" s="17">
        <v>0</v>
      </c>
      <c r="F39" s="17">
        <v>0</v>
      </c>
      <c r="G39" s="17">
        <v>42</v>
      </c>
      <c r="H39" s="17">
        <v>11</v>
      </c>
      <c r="I39" s="17">
        <v>4488</v>
      </c>
      <c r="J39" s="17">
        <v>842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4">
        <f>SUM(D39:O39)</f>
        <v>5383</v>
      </c>
      <c r="Q39" s="17">
        <f>SUM(D39:J39)</f>
        <v>5383</v>
      </c>
      <c r="R39" s="14">
        <f>P39-Q39</f>
        <v>0</v>
      </c>
    </row>
    <row r="40" spans="1:18" x14ac:dyDescent="0.25">
      <c r="A40" s="27" t="s">
        <v>28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16">
        <f>SUM(D40:O40)</f>
        <v>0</v>
      </c>
      <c r="Q40" s="25">
        <f>SUM(D40:J40)</f>
        <v>0</v>
      </c>
      <c r="R40" s="16">
        <f>P40-Q40</f>
        <v>0</v>
      </c>
    </row>
    <row r="41" spans="1:18" ht="3.9" customHeight="1" x14ac:dyDescent="0.25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26" t="s">
        <v>45</v>
      </c>
      <c r="C42" s="14">
        <f t="shared" ref="C42:O42" si="12">SUM(C38:C41)</f>
        <v>0</v>
      </c>
      <c r="D42" s="14">
        <f t="shared" si="12"/>
        <v>0</v>
      </c>
      <c r="E42" s="14">
        <f t="shared" si="12"/>
        <v>0</v>
      </c>
      <c r="F42" s="14">
        <f t="shared" si="12"/>
        <v>0</v>
      </c>
      <c r="G42" s="14">
        <f t="shared" si="12"/>
        <v>42</v>
      </c>
      <c r="H42" s="14">
        <f t="shared" si="12"/>
        <v>53</v>
      </c>
      <c r="I42" s="14">
        <f t="shared" si="12"/>
        <v>4541</v>
      </c>
      <c r="J42" s="14">
        <f t="shared" si="12"/>
        <v>5383</v>
      </c>
      <c r="K42" s="14">
        <f t="shared" si="12"/>
        <v>5383</v>
      </c>
      <c r="L42" s="14">
        <f t="shared" si="12"/>
        <v>5383</v>
      </c>
      <c r="M42" s="14">
        <f t="shared" si="12"/>
        <v>5383</v>
      </c>
      <c r="N42" s="14">
        <f t="shared" si="12"/>
        <v>5383</v>
      </c>
      <c r="O42" s="14">
        <f t="shared" si="12"/>
        <v>5383</v>
      </c>
      <c r="P42" s="14"/>
    </row>
    <row r="43" spans="1:18" ht="3.9" customHeight="1" x14ac:dyDescent="0.25"/>
    <row r="44" spans="1:18" x14ac:dyDescent="0.25">
      <c r="A44" s="27" t="s">
        <v>30</v>
      </c>
      <c r="C44" s="14"/>
      <c r="D44" s="14">
        <f t="shared" ref="D44:O44" si="13">D42-C42</f>
        <v>0</v>
      </c>
      <c r="E44" s="14">
        <f t="shared" si="13"/>
        <v>0</v>
      </c>
      <c r="F44" s="14">
        <f t="shared" si="13"/>
        <v>0</v>
      </c>
      <c r="G44" s="14">
        <f t="shared" si="13"/>
        <v>42</v>
      </c>
      <c r="H44" s="14">
        <f t="shared" si="13"/>
        <v>11</v>
      </c>
      <c r="I44" s="14">
        <f t="shared" si="13"/>
        <v>4488</v>
      </c>
      <c r="J44" s="14">
        <f t="shared" si="13"/>
        <v>842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0</v>
      </c>
      <c r="O44" s="14">
        <f t="shared" si="13"/>
        <v>0</v>
      </c>
      <c r="P44" s="14">
        <f>SUM(D44:O44)</f>
        <v>5383</v>
      </c>
      <c r="Q44" s="14">
        <f>SUM(Q39:Q41)</f>
        <v>5383</v>
      </c>
      <c r="R44" s="14">
        <f>P44-Q44</f>
        <v>0</v>
      </c>
    </row>
    <row r="46" spans="1:18" x14ac:dyDescent="0.25">
      <c r="A46" s="26" t="s">
        <v>46</v>
      </c>
      <c r="C46" s="14"/>
      <c r="D46" s="14">
        <f t="shared" ref="D46:O46" si="14">C53</f>
        <v>6</v>
      </c>
      <c r="E46" s="14">
        <f t="shared" si="14"/>
        <v>5</v>
      </c>
      <c r="F46" s="14">
        <f t="shared" si="14"/>
        <v>4</v>
      </c>
      <c r="G46" s="14">
        <f t="shared" si="14"/>
        <v>3</v>
      </c>
      <c r="H46" s="14">
        <f t="shared" si="14"/>
        <v>3</v>
      </c>
      <c r="I46" s="14">
        <f t="shared" si="14"/>
        <v>2</v>
      </c>
      <c r="J46" s="14">
        <f t="shared" si="14"/>
        <v>1</v>
      </c>
      <c r="K46" s="14">
        <f t="shared" si="14"/>
        <v>0</v>
      </c>
      <c r="L46" s="14">
        <f t="shared" si="14"/>
        <v>0</v>
      </c>
      <c r="M46" s="14">
        <f t="shared" si="14"/>
        <v>0</v>
      </c>
      <c r="N46" s="14">
        <f t="shared" si="14"/>
        <v>0</v>
      </c>
      <c r="O46" s="14">
        <f t="shared" si="14"/>
        <v>0</v>
      </c>
      <c r="P46" s="14"/>
      <c r="Q46" s="14"/>
    </row>
    <row r="47" spans="1:18" x14ac:dyDescent="0.25">
      <c r="A47" s="27" t="s">
        <v>47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4">
        <f>SUM(D47:O47)</f>
        <v>0</v>
      </c>
      <c r="Q47" s="17">
        <f>SUM(D47:J47)</f>
        <v>0</v>
      </c>
      <c r="R47" s="14">
        <f>P47-Q47</f>
        <v>0</v>
      </c>
    </row>
    <row r="48" spans="1:18" x14ac:dyDescent="0.25">
      <c r="A48" s="27" t="s">
        <v>48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156</v>
      </c>
      <c r="P48" s="14">
        <f>SUM(D48:O48)</f>
        <v>156</v>
      </c>
      <c r="Q48" s="17">
        <f>SUM(D48:J48)</f>
        <v>0</v>
      </c>
      <c r="R48" s="14">
        <f>P48-Q48</f>
        <v>156</v>
      </c>
    </row>
    <row r="49" spans="1:18" x14ac:dyDescent="0.25">
      <c r="A49" s="27" t="s">
        <v>49</v>
      </c>
      <c r="C49" s="17">
        <v>6</v>
      </c>
      <c r="D49" s="17">
        <v>-1</v>
      </c>
      <c r="E49" s="17">
        <v>-1</v>
      </c>
      <c r="F49" s="17">
        <v>-1</v>
      </c>
      <c r="G49" s="17">
        <v>0</v>
      </c>
      <c r="H49" s="17">
        <v>-1</v>
      </c>
      <c r="I49" s="17">
        <v>-1</v>
      </c>
      <c r="J49" s="17">
        <v>-1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4">
        <f>SUM(D49:O49)</f>
        <v>-6</v>
      </c>
      <c r="Q49" s="17">
        <f>SUM(D49:J49)</f>
        <v>-6</v>
      </c>
      <c r="R49" s="14">
        <f>P49-Q49</f>
        <v>0</v>
      </c>
    </row>
    <row r="50" spans="1:18" x14ac:dyDescent="0.25">
      <c r="A50" s="27" t="s">
        <v>40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4">
        <f>SUM(D50:O50)</f>
        <v>0</v>
      </c>
      <c r="Q50" s="17">
        <f>SUM(D50:J50)</f>
        <v>0</v>
      </c>
      <c r="R50" s="14">
        <f>P50-Q50</f>
        <v>0</v>
      </c>
    </row>
    <row r="51" spans="1:18" x14ac:dyDescent="0.25">
      <c r="A51" s="27" t="s">
        <v>28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16">
        <f>SUM(D51:O51)</f>
        <v>0</v>
      </c>
      <c r="Q51" s="25">
        <f>SUM(D51:J51)</f>
        <v>0</v>
      </c>
      <c r="R51" s="16">
        <f>P51-Q51</f>
        <v>0</v>
      </c>
    </row>
    <row r="52" spans="1:18" ht="3.9" customHeight="1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25">
      <c r="A53" s="26" t="s">
        <v>50</v>
      </c>
      <c r="C53" s="14">
        <f>SUM(C47:C52)</f>
        <v>6</v>
      </c>
      <c r="D53" s="14">
        <f t="shared" ref="D53:O53" si="15">SUM(D46:D52)</f>
        <v>5</v>
      </c>
      <c r="E53" s="14">
        <f t="shared" si="15"/>
        <v>4</v>
      </c>
      <c r="F53" s="14">
        <f t="shared" si="15"/>
        <v>3</v>
      </c>
      <c r="G53" s="14">
        <f t="shared" si="15"/>
        <v>3</v>
      </c>
      <c r="H53" s="14">
        <f t="shared" si="15"/>
        <v>2</v>
      </c>
      <c r="I53" s="14">
        <f t="shared" si="15"/>
        <v>1</v>
      </c>
      <c r="J53" s="14">
        <f t="shared" si="15"/>
        <v>0</v>
      </c>
      <c r="K53" s="14">
        <f t="shared" si="15"/>
        <v>0</v>
      </c>
      <c r="L53" s="14">
        <f t="shared" si="15"/>
        <v>0</v>
      </c>
      <c r="M53" s="14">
        <f t="shared" si="15"/>
        <v>0</v>
      </c>
      <c r="N53" s="14">
        <f t="shared" si="15"/>
        <v>0</v>
      </c>
      <c r="O53" s="14">
        <f t="shared" si="15"/>
        <v>156</v>
      </c>
      <c r="P53" s="14"/>
      <c r="Q53" s="14"/>
    </row>
    <row r="54" spans="1:18" ht="3.9" customHeight="1" x14ac:dyDescent="0.25"/>
    <row r="55" spans="1:18" x14ac:dyDescent="0.25">
      <c r="A55" s="27" t="s">
        <v>30</v>
      </c>
      <c r="C55" s="14"/>
      <c r="D55" s="14">
        <f t="shared" ref="D55:O55" si="16">D53-C53</f>
        <v>-1</v>
      </c>
      <c r="E55" s="14">
        <f t="shared" si="16"/>
        <v>-1</v>
      </c>
      <c r="F55" s="14">
        <f t="shared" si="16"/>
        <v>-1</v>
      </c>
      <c r="G55" s="14">
        <f t="shared" si="16"/>
        <v>0</v>
      </c>
      <c r="H55" s="14">
        <f t="shared" si="16"/>
        <v>-1</v>
      </c>
      <c r="I55" s="14">
        <f t="shared" si="16"/>
        <v>-1</v>
      </c>
      <c r="J55" s="14">
        <f t="shared" si="16"/>
        <v>-1</v>
      </c>
      <c r="K55" s="14">
        <f t="shared" si="16"/>
        <v>0</v>
      </c>
      <c r="L55" s="14">
        <f t="shared" si="16"/>
        <v>0</v>
      </c>
      <c r="M55" s="14">
        <f t="shared" si="16"/>
        <v>0</v>
      </c>
      <c r="N55" s="14">
        <f t="shared" si="16"/>
        <v>0</v>
      </c>
      <c r="O55" s="14">
        <f t="shared" si="16"/>
        <v>156</v>
      </c>
      <c r="P55" s="14">
        <f>SUM(D55:O55)</f>
        <v>150</v>
      </c>
      <c r="Q55" s="14">
        <f>SUM(Q47:Q52)</f>
        <v>-6</v>
      </c>
      <c r="R55" s="14">
        <f>P55-Q55</f>
        <v>156</v>
      </c>
    </row>
    <row r="57" spans="1:18" x14ac:dyDescent="0.25">
      <c r="A57" s="26" t="s">
        <v>51</v>
      </c>
      <c r="C57" s="14"/>
      <c r="D57" s="14">
        <f t="shared" ref="D57:O57" si="17">C60</f>
        <v>4134</v>
      </c>
      <c r="E57" s="14">
        <f t="shared" si="17"/>
        <v>4127</v>
      </c>
      <c r="F57" s="14">
        <f t="shared" si="17"/>
        <v>4133</v>
      </c>
      <c r="G57" s="14">
        <f t="shared" si="17"/>
        <v>4106</v>
      </c>
      <c r="H57" s="14">
        <f t="shared" si="17"/>
        <v>4096</v>
      </c>
      <c r="I57" s="14">
        <f t="shared" si="17"/>
        <v>4063</v>
      </c>
      <c r="J57" s="14">
        <f t="shared" si="17"/>
        <v>4051</v>
      </c>
      <c r="K57" s="14">
        <f t="shared" si="17"/>
        <v>4033</v>
      </c>
      <c r="L57" s="14">
        <f t="shared" si="17"/>
        <v>4033</v>
      </c>
      <c r="M57" s="14">
        <f t="shared" si="17"/>
        <v>4033</v>
      </c>
      <c r="N57" s="14">
        <f t="shared" si="17"/>
        <v>4033</v>
      </c>
      <c r="O57" s="14">
        <f t="shared" si="17"/>
        <v>4033</v>
      </c>
      <c r="P57" s="14"/>
    </row>
    <row r="58" spans="1:18" x14ac:dyDescent="0.25">
      <c r="A58" s="27" t="s">
        <v>28</v>
      </c>
      <c r="C58" s="25">
        <v>0</v>
      </c>
      <c r="D58" s="25">
        <v>-7</v>
      </c>
      <c r="E58" s="25">
        <v>6</v>
      </c>
      <c r="F58" s="25">
        <v>-27</v>
      </c>
      <c r="G58" s="25">
        <v>-10</v>
      </c>
      <c r="H58" s="25">
        <v>-33</v>
      </c>
      <c r="I58" s="25">
        <v>-12</v>
      </c>
      <c r="J58" s="25">
        <v>-18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16">
        <f>SUM(D58:O58)</f>
        <v>-101</v>
      </c>
      <c r="Q58" s="25">
        <f>SUM(D58:J58)</f>
        <v>-101</v>
      </c>
      <c r="R58" s="16">
        <f>P58-Q58</f>
        <v>0</v>
      </c>
    </row>
    <row r="59" spans="1:18" ht="3.9" customHeight="1" x14ac:dyDescent="0.25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25">
      <c r="A60" s="26" t="s">
        <v>52</v>
      </c>
      <c r="C60" s="17">
        <v>4134</v>
      </c>
      <c r="D60" s="14">
        <f t="shared" ref="D60:O60" si="18">D57+D58</f>
        <v>4127</v>
      </c>
      <c r="E60" s="14">
        <f t="shared" si="18"/>
        <v>4133</v>
      </c>
      <c r="F60" s="14">
        <f t="shared" si="18"/>
        <v>4106</v>
      </c>
      <c r="G60" s="14">
        <f t="shared" si="18"/>
        <v>4096</v>
      </c>
      <c r="H60" s="14">
        <f t="shared" si="18"/>
        <v>4063</v>
      </c>
      <c r="I60" s="14">
        <f t="shared" si="18"/>
        <v>4051</v>
      </c>
      <c r="J60" s="14">
        <f t="shared" si="18"/>
        <v>4033</v>
      </c>
      <c r="K60" s="14">
        <f t="shared" si="18"/>
        <v>4033</v>
      </c>
      <c r="L60" s="14">
        <f t="shared" si="18"/>
        <v>4033</v>
      </c>
      <c r="M60" s="14">
        <f t="shared" si="18"/>
        <v>4033</v>
      </c>
      <c r="N60" s="14">
        <f t="shared" si="18"/>
        <v>4033</v>
      </c>
      <c r="O60" s="14">
        <f t="shared" si="18"/>
        <v>4033</v>
      </c>
      <c r="P60" s="14"/>
    </row>
    <row r="61" spans="1:18" ht="3.9" customHeight="1" x14ac:dyDescent="0.25"/>
    <row r="62" spans="1:18" x14ac:dyDescent="0.25">
      <c r="A62" s="27" t="s">
        <v>30</v>
      </c>
      <c r="C62" s="14"/>
      <c r="D62" s="14">
        <f t="shared" ref="D62:O62" si="19">D60-C60</f>
        <v>-7</v>
      </c>
      <c r="E62" s="14">
        <f t="shared" si="19"/>
        <v>6</v>
      </c>
      <c r="F62" s="14">
        <f t="shared" si="19"/>
        <v>-27</v>
      </c>
      <c r="G62" s="14">
        <f t="shared" si="19"/>
        <v>-10</v>
      </c>
      <c r="H62" s="14">
        <f t="shared" si="19"/>
        <v>-33</v>
      </c>
      <c r="I62" s="14">
        <f t="shared" si="19"/>
        <v>-12</v>
      </c>
      <c r="J62" s="14">
        <f t="shared" si="19"/>
        <v>-18</v>
      </c>
      <c r="K62" s="14">
        <f t="shared" si="19"/>
        <v>0</v>
      </c>
      <c r="L62" s="14">
        <f t="shared" si="19"/>
        <v>0</v>
      </c>
      <c r="M62" s="14">
        <f t="shared" si="19"/>
        <v>0</v>
      </c>
      <c r="N62" s="14">
        <f t="shared" si="19"/>
        <v>0</v>
      </c>
      <c r="O62" s="14">
        <f t="shared" si="19"/>
        <v>0</v>
      </c>
      <c r="P62" s="14">
        <f>SUM(D62:O62)</f>
        <v>-101</v>
      </c>
      <c r="Q62" s="14">
        <f>SUM(Q58:Q59)</f>
        <v>-101</v>
      </c>
      <c r="R62" s="14">
        <f>P62-Q62</f>
        <v>0</v>
      </c>
    </row>
    <row r="63" spans="1:18" x14ac:dyDescent="0.25">
      <c r="A63" s="27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25">
      <c r="A64" s="26" t="s">
        <v>53</v>
      </c>
      <c r="C64" s="14"/>
      <c r="D64" s="14">
        <f t="shared" ref="D64:O64" si="20">C67</f>
        <v>11991</v>
      </c>
      <c r="E64" s="14">
        <f t="shared" si="20"/>
        <v>14096</v>
      </c>
      <c r="F64" s="14">
        <f t="shared" si="20"/>
        <v>12657</v>
      </c>
      <c r="G64" s="14">
        <f t="shared" si="20"/>
        <v>12433</v>
      </c>
      <c r="H64" s="14">
        <f t="shared" si="20"/>
        <v>14203</v>
      </c>
      <c r="I64" s="14">
        <f t="shared" si="20"/>
        <v>15118</v>
      </c>
      <c r="J64" s="14">
        <f t="shared" si="20"/>
        <v>15077</v>
      </c>
      <c r="K64" s="14">
        <f t="shared" si="20"/>
        <v>14543</v>
      </c>
      <c r="L64" s="14">
        <f t="shared" si="20"/>
        <v>14543</v>
      </c>
      <c r="M64" s="14">
        <f t="shared" si="20"/>
        <v>14543</v>
      </c>
      <c r="N64" s="14">
        <f t="shared" si="20"/>
        <v>14543</v>
      </c>
      <c r="O64" s="14">
        <f t="shared" si="20"/>
        <v>14543</v>
      </c>
      <c r="P64" s="14"/>
    </row>
    <row r="65" spans="1:18" x14ac:dyDescent="0.25">
      <c r="A65" s="27" t="s">
        <v>28</v>
      </c>
      <c r="C65" s="25">
        <v>0</v>
      </c>
      <c r="D65" s="25">
        <v>2105</v>
      </c>
      <c r="E65" s="25">
        <v>-1439</v>
      </c>
      <c r="F65" s="25">
        <v>-224</v>
      </c>
      <c r="G65" s="25">
        <v>1770</v>
      </c>
      <c r="H65" s="25">
        <v>915</v>
      </c>
      <c r="I65" s="25">
        <v>-41</v>
      </c>
      <c r="J65" s="25">
        <v>-534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16">
        <f>SUM(D65:O65)</f>
        <v>2552</v>
      </c>
      <c r="Q65" s="25">
        <f>SUM(D65:J65)</f>
        <v>2552</v>
      </c>
      <c r="R65" s="16">
        <f>P65-Q65</f>
        <v>0</v>
      </c>
    </row>
    <row r="66" spans="1:18" ht="3.9" customHeight="1" x14ac:dyDescent="0.25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25">
      <c r="A67" s="26" t="s">
        <v>54</v>
      </c>
      <c r="C67" s="17">
        <v>11991</v>
      </c>
      <c r="D67" s="14">
        <f t="shared" ref="D67:O67" si="21">D64+D65</f>
        <v>14096</v>
      </c>
      <c r="E67" s="14">
        <f t="shared" si="21"/>
        <v>12657</v>
      </c>
      <c r="F67" s="14">
        <f t="shared" si="21"/>
        <v>12433</v>
      </c>
      <c r="G67" s="14">
        <f t="shared" si="21"/>
        <v>14203</v>
      </c>
      <c r="H67" s="14">
        <f t="shared" si="21"/>
        <v>15118</v>
      </c>
      <c r="I67" s="14">
        <f t="shared" si="21"/>
        <v>15077</v>
      </c>
      <c r="J67" s="14">
        <f t="shared" si="21"/>
        <v>14543</v>
      </c>
      <c r="K67" s="14">
        <f t="shared" si="21"/>
        <v>14543</v>
      </c>
      <c r="L67" s="14">
        <f t="shared" si="21"/>
        <v>14543</v>
      </c>
      <c r="M67" s="14">
        <f t="shared" si="21"/>
        <v>14543</v>
      </c>
      <c r="N67" s="14">
        <f t="shared" si="21"/>
        <v>14543</v>
      </c>
      <c r="O67" s="14">
        <f t="shared" si="21"/>
        <v>14543</v>
      </c>
      <c r="P67" s="14"/>
    </row>
    <row r="68" spans="1:18" ht="3.9" customHeight="1" x14ac:dyDescent="0.25"/>
    <row r="69" spans="1:18" x14ac:dyDescent="0.25">
      <c r="A69" s="27" t="s">
        <v>30</v>
      </c>
      <c r="C69" s="14"/>
      <c r="D69" s="14">
        <f t="shared" ref="D69:O69" si="22">D67-C67</f>
        <v>2105</v>
      </c>
      <c r="E69" s="14">
        <f t="shared" si="22"/>
        <v>-1439</v>
      </c>
      <c r="F69" s="14">
        <f t="shared" si="22"/>
        <v>-224</v>
      </c>
      <c r="G69" s="14">
        <f t="shared" si="22"/>
        <v>1770</v>
      </c>
      <c r="H69" s="14">
        <f t="shared" si="22"/>
        <v>915</v>
      </c>
      <c r="I69" s="14">
        <f t="shared" si="22"/>
        <v>-41</v>
      </c>
      <c r="J69" s="14">
        <f t="shared" si="22"/>
        <v>-534</v>
      </c>
      <c r="K69" s="14">
        <f t="shared" si="22"/>
        <v>0</v>
      </c>
      <c r="L69" s="14">
        <f t="shared" si="22"/>
        <v>0</v>
      </c>
      <c r="M69" s="14">
        <f t="shared" si="22"/>
        <v>0</v>
      </c>
      <c r="N69" s="14">
        <f t="shared" si="22"/>
        <v>0</v>
      </c>
      <c r="O69" s="14">
        <f t="shared" si="22"/>
        <v>0</v>
      </c>
      <c r="P69" s="14">
        <f>SUM(D69:O69)</f>
        <v>2552</v>
      </c>
      <c r="Q69" s="14">
        <f>SUM(Q65:Q66)</f>
        <v>2552</v>
      </c>
      <c r="R69" s="14">
        <f>P69-Q69</f>
        <v>0</v>
      </c>
    </row>
    <row r="70" spans="1:18" ht="8.1" customHeight="1" x14ac:dyDescent="0.25"/>
    <row r="72" spans="1:18" x14ac:dyDescent="0.25">
      <c r="A72" s="26" t="s">
        <v>55</v>
      </c>
      <c r="C72" s="14"/>
      <c r="D72" s="14">
        <f t="shared" ref="D72:O72" si="23">C98</f>
        <v>6553</v>
      </c>
      <c r="E72" s="14">
        <f t="shared" si="23"/>
        <v>6456</v>
      </c>
      <c r="F72" s="14">
        <f t="shared" si="23"/>
        <v>6359</v>
      </c>
      <c r="G72" s="14">
        <f t="shared" si="23"/>
        <v>5681</v>
      </c>
      <c r="H72" s="14">
        <f t="shared" si="23"/>
        <v>5681</v>
      </c>
      <c r="I72" s="14">
        <f t="shared" si="23"/>
        <v>5681</v>
      </c>
      <c r="J72" s="14">
        <f t="shared" si="23"/>
        <v>5681</v>
      </c>
      <c r="K72" s="14">
        <f t="shared" si="23"/>
        <v>5660</v>
      </c>
      <c r="L72" s="14">
        <f t="shared" si="23"/>
        <v>5660</v>
      </c>
      <c r="M72" s="14">
        <f t="shared" si="23"/>
        <v>6968</v>
      </c>
      <c r="N72" s="14">
        <f t="shared" si="23"/>
        <v>6859</v>
      </c>
      <c r="O72" s="14">
        <f t="shared" si="23"/>
        <v>6750</v>
      </c>
      <c r="P72" s="14"/>
    </row>
    <row r="73" spans="1:18" x14ac:dyDescent="0.25">
      <c r="A73" s="27" t="s">
        <v>56</v>
      </c>
      <c r="C73" s="17">
        <v>601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4">
        <f t="shared" ref="P73:P82" si="24">SUM(D73:O73)</f>
        <v>0</v>
      </c>
      <c r="Q73" s="17">
        <f>SUM(D73:J73)</f>
        <v>0</v>
      </c>
      <c r="R73" s="14">
        <f t="shared" ref="R73:R82" si="25">P73-Q73</f>
        <v>0</v>
      </c>
    </row>
    <row r="74" spans="1:18" x14ac:dyDescent="0.25">
      <c r="A74" s="27" t="s">
        <v>57</v>
      </c>
      <c r="C74" s="17">
        <v>101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4">
        <f t="shared" si="24"/>
        <v>0</v>
      </c>
      <c r="Q74" s="17">
        <f t="shared" ref="Q74:Q96" si="26">SUM(D74:J74)</f>
        <v>0</v>
      </c>
      <c r="R74" s="14">
        <f t="shared" si="25"/>
        <v>0</v>
      </c>
    </row>
    <row r="75" spans="1:18" x14ac:dyDescent="0.25">
      <c r="A75" s="27" t="s">
        <v>58</v>
      </c>
      <c r="C75" s="17">
        <v>49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4">
        <f t="shared" si="24"/>
        <v>0</v>
      </c>
      <c r="Q75" s="17">
        <f t="shared" si="26"/>
        <v>0</v>
      </c>
      <c r="R75" s="14">
        <f t="shared" si="25"/>
        <v>0</v>
      </c>
    </row>
    <row r="76" spans="1:18" x14ac:dyDescent="0.25">
      <c r="A76" s="27" t="s">
        <v>59</v>
      </c>
      <c r="C76" s="194">
        <f>155-155</f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4">
        <f t="shared" si="24"/>
        <v>0</v>
      </c>
      <c r="Q76" s="17">
        <f t="shared" si="26"/>
        <v>0</v>
      </c>
      <c r="R76" s="14">
        <f t="shared" si="25"/>
        <v>0</v>
      </c>
    </row>
    <row r="77" spans="1:18" x14ac:dyDescent="0.25">
      <c r="A77" s="27" t="s">
        <v>60</v>
      </c>
      <c r="C77" s="17">
        <v>116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4">
        <f t="shared" si="24"/>
        <v>0</v>
      </c>
      <c r="Q77" s="17">
        <f t="shared" si="26"/>
        <v>0</v>
      </c>
      <c r="R77" s="14">
        <f t="shared" si="25"/>
        <v>0</v>
      </c>
    </row>
    <row r="78" spans="1:18" x14ac:dyDescent="0.25">
      <c r="A78" s="27" t="s">
        <v>61</v>
      </c>
      <c r="B78" s="18" t="s">
        <v>34</v>
      </c>
      <c r="C78" s="17">
        <v>0</v>
      </c>
      <c r="D78" s="153">
        <f>[1]Source!D27</f>
        <v>0</v>
      </c>
      <c r="E78" s="153">
        <f>[1]Source!E27</f>
        <v>0</v>
      </c>
      <c r="F78" s="153">
        <f>[1]Source!F27</f>
        <v>0</v>
      </c>
      <c r="G78" s="153">
        <f>[1]Source!G27</f>
        <v>0</v>
      </c>
      <c r="H78" s="153">
        <f>[1]Source!H27</f>
        <v>0</v>
      </c>
      <c r="I78" s="153">
        <f>[1]Source!I27</f>
        <v>0</v>
      </c>
      <c r="J78" s="153">
        <f>[1]Source!J27</f>
        <v>0</v>
      </c>
      <c r="K78" s="153">
        <f>[1]Source!K27</f>
        <v>0</v>
      </c>
      <c r="L78" s="153">
        <f>[1]Source!L27</f>
        <v>1308</v>
      </c>
      <c r="M78" s="153">
        <f>[1]Source!M27</f>
        <v>0</v>
      </c>
      <c r="N78" s="153">
        <f>[1]Source!N27</f>
        <v>0</v>
      </c>
      <c r="O78" s="153">
        <f>[1]Source!O27</f>
        <v>0</v>
      </c>
      <c r="P78" s="14">
        <f t="shared" si="24"/>
        <v>1308</v>
      </c>
      <c r="Q78" s="17">
        <f t="shared" si="26"/>
        <v>0</v>
      </c>
      <c r="R78" s="14">
        <f t="shared" si="25"/>
        <v>1308</v>
      </c>
    </row>
    <row r="79" spans="1:18" x14ac:dyDescent="0.25">
      <c r="A79" s="27" t="s">
        <v>62</v>
      </c>
      <c r="B79" s="18" t="s">
        <v>34</v>
      </c>
      <c r="C79" s="17">
        <v>872</v>
      </c>
      <c r="D79" s="153">
        <f>[1]Source!D26</f>
        <v>-97</v>
      </c>
      <c r="E79" s="153">
        <f>[1]Source!E26</f>
        <v>-97</v>
      </c>
      <c r="F79" s="153">
        <f>[1]Source!F26</f>
        <v>-678</v>
      </c>
      <c r="G79" s="153">
        <f>[1]Source!G26</f>
        <v>0</v>
      </c>
      <c r="H79" s="153">
        <f>[1]Source!H26</f>
        <v>0</v>
      </c>
      <c r="I79" s="153">
        <f>[1]Source!I26</f>
        <v>0</v>
      </c>
      <c r="J79" s="153">
        <f>[1]Source!J26</f>
        <v>0</v>
      </c>
      <c r="K79" s="153">
        <f>[1]Source!K26</f>
        <v>0</v>
      </c>
      <c r="L79" s="153">
        <f>[1]Source!L26</f>
        <v>0</v>
      </c>
      <c r="M79" s="153">
        <f>[1]Source!M26</f>
        <v>-109</v>
      </c>
      <c r="N79" s="153">
        <f>[1]Source!N26</f>
        <v>-109</v>
      </c>
      <c r="O79" s="153">
        <f>[1]Source!O26</f>
        <v>-109</v>
      </c>
      <c r="P79" s="14">
        <f t="shared" si="24"/>
        <v>-1199</v>
      </c>
      <c r="Q79" s="17">
        <f t="shared" si="26"/>
        <v>-872</v>
      </c>
      <c r="R79" s="14">
        <f t="shared" si="25"/>
        <v>-327</v>
      </c>
    </row>
    <row r="80" spans="1:18" x14ac:dyDescent="0.25">
      <c r="A80" s="27" t="s">
        <v>63</v>
      </c>
      <c r="B80" s="18" t="s">
        <v>34</v>
      </c>
      <c r="C80" s="17">
        <v>0</v>
      </c>
      <c r="D80" s="153">
        <f>[1]Source!D29</f>
        <v>0</v>
      </c>
      <c r="E80" s="153">
        <f>[1]Source!E29</f>
        <v>0</v>
      </c>
      <c r="F80" s="153">
        <f>[1]Source!F29</f>
        <v>0</v>
      </c>
      <c r="G80" s="153">
        <f>[1]Source!G29</f>
        <v>0</v>
      </c>
      <c r="H80" s="153">
        <f>[1]Source!H29</f>
        <v>0</v>
      </c>
      <c r="I80" s="153">
        <f>[1]Source!I29</f>
        <v>0</v>
      </c>
      <c r="J80" s="153">
        <f>[1]Source!J29</f>
        <v>0</v>
      </c>
      <c r="K80" s="153">
        <f>[1]Source!K29</f>
        <v>0</v>
      </c>
      <c r="L80" s="153">
        <f>[1]Source!L29</f>
        <v>0</v>
      </c>
      <c r="M80" s="153">
        <f>[1]Source!M29</f>
        <v>0</v>
      </c>
      <c r="N80" s="153">
        <f>[1]Source!N29</f>
        <v>0</v>
      </c>
      <c r="O80" s="153">
        <f>[1]Source!O29</f>
        <v>0</v>
      </c>
      <c r="P80" s="14">
        <f t="shared" si="24"/>
        <v>0</v>
      </c>
      <c r="Q80" s="17">
        <f t="shared" si="26"/>
        <v>0</v>
      </c>
      <c r="R80" s="14">
        <f t="shared" si="25"/>
        <v>0</v>
      </c>
    </row>
    <row r="81" spans="1:18" x14ac:dyDescent="0.25">
      <c r="A81" s="27" t="s">
        <v>64</v>
      </c>
      <c r="C81" s="17">
        <v>454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4">
        <f t="shared" si="24"/>
        <v>0</v>
      </c>
      <c r="Q81" s="17">
        <f t="shared" si="26"/>
        <v>0</v>
      </c>
      <c r="R81" s="14">
        <f t="shared" si="25"/>
        <v>0</v>
      </c>
    </row>
    <row r="82" spans="1:18" x14ac:dyDescent="0.25">
      <c r="A82" s="27" t="s">
        <v>65</v>
      </c>
      <c r="C82" s="155">
        <v>1290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4">
        <f t="shared" si="24"/>
        <v>0</v>
      </c>
      <c r="Q82" s="17">
        <f t="shared" si="26"/>
        <v>0</v>
      </c>
      <c r="R82" s="14">
        <f t="shared" si="25"/>
        <v>0</v>
      </c>
    </row>
    <row r="83" spans="1:18" x14ac:dyDescent="0.25">
      <c r="A83" s="27" t="s">
        <v>66</v>
      </c>
      <c r="C83" s="17">
        <v>90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4">
        <f t="shared" ref="P83:P94" si="27">SUM(D83:O83)</f>
        <v>0</v>
      </c>
      <c r="Q83" s="17">
        <f t="shared" si="26"/>
        <v>0</v>
      </c>
      <c r="R83" s="14">
        <f t="shared" ref="R83:R94" si="28">P83-Q83</f>
        <v>0</v>
      </c>
    </row>
    <row r="84" spans="1:18" x14ac:dyDescent="0.25">
      <c r="A84" s="27" t="s">
        <v>67</v>
      </c>
      <c r="C84" s="194">
        <f>150-150</f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4">
        <f t="shared" si="27"/>
        <v>0</v>
      </c>
      <c r="Q84" s="17">
        <f t="shared" si="26"/>
        <v>0</v>
      </c>
      <c r="R84" s="14">
        <f t="shared" si="28"/>
        <v>0</v>
      </c>
    </row>
    <row r="85" spans="1:18" x14ac:dyDescent="0.25">
      <c r="A85" s="27" t="s">
        <v>68</v>
      </c>
      <c r="C85" s="17">
        <v>207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4">
        <f t="shared" si="27"/>
        <v>0</v>
      </c>
      <c r="Q85" s="17">
        <f t="shared" si="26"/>
        <v>0</v>
      </c>
      <c r="R85" s="14">
        <f t="shared" si="28"/>
        <v>0</v>
      </c>
    </row>
    <row r="86" spans="1:18" x14ac:dyDescent="0.25">
      <c r="A86" s="27" t="s">
        <v>69</v>
      </c>
      <c r="C86" s="17">
        <v>379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4">
        <f t="shared" si="27"/>
        <v>0</v>
      </c>
      <c r="Q86" s="17">
        <f t="shared" si="26"/>
        <v>0</v>
      </c>
      <c r="R86" s="14">
        <f t="shared" si="28"/>
        <v>0</v>
      </c>
    </row>
    <row r="87" spans="1:18" x14ac:dyDescent="0.25">
      <c r="A87" s="15" t="s">
        <v>70</v>
      </c>
      <c r="C87" s="17">
        <v>510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-21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4">
        <f t="shared" si="27"/>
        <v>-21</v>
      </c>
      <c r="Q87" s="17">
        <f t="shared" si="26"/>
        <v>-21</v>
      </c>
      <c r="R87" s="14">
        <f t="shared" si="28"/>
        <v>0</v>
      </c>
    </row>
    <row r="88" spans="1:18" x14ac:dyDescent="0.25">
      <c r="A88" s="27" t="s">
        <v>71</v>
      </c>
      <c r="C88" s="17">
        <v>126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4">
        <f t="shared" si="27"/>
        <v>0</v>
      </c>
      <c r="Q88" s="17">
        <f t="shared" si="26"/>
        <v>0</v>
      </c>
      <c r="R88" s="14">
        <f t="shared" si="28"/>
        <v>0</v>
      </c>
    </row>
    <row r="89" spans="1:18" x14ac:dyDescent="0.25">
      <c r="A89" s="27" t="s">
        <v>72</v>
      </c>
      <c r="C89" s="17">
        <v>378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4">
        <f t="shared" si="27"/>
        <v>0</v>
      </c>
      <c r="Q89" s="17">
        <f t="shared" si="26"/>
        <v>0</v>
      </c>
      <c r="R89" s="14">
        <f t="shared" si="28"/>
        <v>0</v>
      </c>
    </row>
    <row r="90" spans="1:18" x14ac:dyDescent="0.25">
      <c r="A90" s="27" t="s">
        <v>73</v>
      </c>
      <c r="C90" s="17">
        <v>537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4">
        <f t="shared" si="27"/>
        <v>0</v>
      </c>
      <c r="Q90" s="17">
        <f t="shared" si="26"/>
        <v>0</v>
      </c>
      <c r="R90" s="14">
        <f t="shared" si="28"/>
        <v>0</v>
      </c>
    </row>
    <row r="91" spans="1:18" x14ac:dyDescent="0.25">
      <c r="A91" s="27" t="s">
        <v>74</v>
      </c>
      <c r="C91" s="17">
        <v>630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4">
        <f t="shared" si="27"/>
        <v>0</v>
      </c>
      <c r="Q91" s="17">
        <f t="shared" si="26"/>
        <v>0</v>
      </c>
      <c r="R91" s="14">
        <f t="shared" si="28"/>
        <v>0</v>
      </c>
    </row>
    <row r="92" spans="1:18" x14ac:dyDescent="0.25">
      <c r="A92" s="27" t="s">
        <v>75</v>
      </c>
      <c r="C92" s="17">
        <v>130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4">
        <f t="shared" si="27"/>
        <v>0</v>
      </c>
      <c r="Q92" s="17">
        <f t="shared" si="26"/>
        <v>0</v>
      </c>
      <c r="R92" s="14">
        <f t="shared" si="28"/>
        <v>0</v>
      </c>
    </row>
    <row r="93" spans="1:18" x14ac:dyDescent="0.25">
      <c r="A93" s="27" t="s">
        <v>76</v>
      </c>
      <c r="C93" s="17">
        <v>83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4">
        <f t="shared" si="27"/>
        <v>0</v>
      </c>
      <c r="Q93" s="17">
        <f t="shared" si="26"/>
        <v>0</v>
      </c>
      <c r="R93" s="14">
        <f t="shared" si="28"/>
        <v>0</v>
      </c>
    </row>
    <row r="94" spans="1:18" x14ac:dyDescent="0.25">
      <c r="A94" s="15" t="s">
        <v>40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4">
        <f t="shared" si="27"/>
        <v>0</v>
      </c>
      <c r="Q94" s="17">
        <f t="shared" si="26"/>
        <v>0</v>
      </c>
      <c r="R94" s="14">
        <f t="shared" si="28"/>
        <v>0</v>
      </c>
    </row>
    <row r="95" spans="1:18" x14ac:dyDescent="0.25">
      <c r="A95" s="15" t="s">
        <v>40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4">
        <f>SUM(D95:O95)</f>
        <v>0</v>
      </c>
      <c r="Q95" s="17">
        <f t="shared" si="26"/>
        <v>0</v>
      </c>
      <c r="R95" s="14">
        <f>P95-Q95</f>
        <v>0</v>
      </c>
    </row>
    <row r="96" spans="1:18" x14ac:dyDescent="0.25">
      <c r="A96" s="27" t="s">
        <v>28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16">
        <f>SUM(D96:O96)</f>
        <v>0</v>
      </c>
      <c r="Q96" s="25">
        <f t="shared" si="26"/>
        <v>0</v>
      </c>
      <c r="R96" s="16">
        <f>P96-Q96</f>
        <v>0</v>
      </c>
    </row>
    <row r="97" spans="1:18" ht="3.9" customHeight="1" x14ac:dyDescent="0.2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25">
      <c r="A98" s="26" t="s">
        <v>77</v>
      </c>
      <c r="C98" s="14">
        <f t="shared" ref="C98:O98" si="29">SUM(C72:C97)</f>
        <v>6553</v>
      </c>
      <c r="D98" s="14">
        <f t="shared" si="29"/>
        <v>6456</v>
      </c>
      <c r="E98" s="14">
        <f t="shared" si="29"/>
        <v>6359</v>
      </c>
      <c r="F98" s="14">
        <f t="shared" si="29"/>
        <v>5681</v>
      </c>
      <c r="G98" s="14">
        <f t="shared" si="29"/>
        <v>5681</v>
      </c>
      <c r="H98" s="14">
        <f t="shared" si="29"/>
        <v>5681</v>
      </c>
      <c r="I98" s="14">
        <f t="shared" si="29"/>
        <v>5681</v>
      </c>
      <c r="J98" s="14">
        <f t="shared" si="29"/>
        <v>5660</v>
      </c>
      <c r="K98" s="14">
        <f t="shared" si="29"/>
        <v>5660</v>
      </c>
      <c r="L98" s="14">
        <f t="shared" si="29"/>
        <v>6968</v>
      </c>
      <c r="M98" s="14">
        <f t="shared" si="29"/>
        <v>6859</v>
      </c>
      <c r="N98" s="14">
        <f t="shared" si="29"/>
        <v>6750</v>
      </c>
      <c r="O98" s="14">
        <f t="shared" si="29"/>
        <v>6641</v>
      </c>
      <c r="P98" s="14"/>
    </row>
    <row r="99" spans="1:18" ht="3.9" customHeight="1" x14ac:dyDescent="0.25"/>
    <row r="100" spans="1:18" x14ac:dyDescent="0.25">
      <c r="A100" s="27" t="s">
        <v>30</v>
      </c>
      <c r="C100" s="14"/>
      <c r="D100" s="14">
        <f t="shared" ref="D100:O100" si="30">D98-C98</f>
        <v>-97</v>
      </c>
      <c r="E100" s="14">
        <f t="shared" si="30"/>
        <v>-97</v>
      </c>
      <c r="F100" s="14">
        <f t="shared" si="30"/>
        <v>-678</v>
      </c>
      <c r="G100" s="14">
        <f t="shared" si="30"/>
        <v>0</v>
      </c>
      <c r="H100" s="14">
        <f t="shared" si="30"/>
        <v>0</v>
      </c>
      <c r="I100" s="14">
        <f t="shared" si="30"/>
        <v>0</v>
      </c>
      <c r="J100" s="14">
        <f t="shared" si="30"/>
        <v>-21</v>
      </c>
      <c r="K100" s="14">
        <f t="shared" si="30"/>
        <v>0</v>
      </c>
      <c r="L100" s="14">
        <f t="shared" si="30"/>
        <v>1308</v>
      </c>
      <c r="M100" s="14">
        <f t="shared" si="30"/>
        <v>-109</v>
      </c>
      <c r="N100" s="14">
        <f t="shared" si="30"/>
        <v>-109</v>
      </c>
      <c r="O100" s="14">
        <f t="shared" si="30"/>
        <v>-109</v>
      </c>
      <c r="P100" s="14">
        <f>SUM(D100:O100)</f>
        <v>88</v>
      </c>
      <c r="Q100" s="14">
        <f>SUM(Q73:Q97)</f>
        <v>-893</v>
      </c>
      <c r="R100" s="14">
        <f>P100-Q100</f>
        <v>981</v>
      </c>
    </row>
    <row r="102" spans="1:18" x14ac:dyDescent="0.25">
      <c r="A102" s="26" t="s">
        <v>78</v>
      </c>
      <c r="C102" s="14"/>
      <c r="D102" s="14">
        <f t="shared" ref="D102:O102" si="31">C107</f>
        <v>58</v>
      </c>
      <c r="E102" s="14">
        <f t="shared" si="31"/>
        <v>-37</v>
      </c>
      <c r="F102" s="14">
        <f t="shared" si="31"/>
        <v>1052</v>
      </c>
      <c r="G102" s="14">
        <f t="shared" si="31"/>
        <v>0</v>
      </c>
      <c r="H102" s="14">
        <f t="shared" si="31"/>
        <v>0</v>
      </c>
      <c r="I102" s="14">
        <f t="shared" si="31"/>
        <v>0</v>
      </c>
      <c r="J102" s="14">
        <f t="shared" si="31"/>
        <v>0</v>
      </c>
      <c r="K102" s="14">
        <f t="shared" si="31"/>
        <v>1</v>
      </c>
      <c r="L102" s="14">
        <f t="shared" si="31"/>
        <v>1</v>
      </c>
      <c r="M102" s="14">
        <f t="shared" si="31"/>
        <v>1</v>
      </c>
      <c r="N102" s="14">
        <f t="shared" si="31"/>
        <v>1</v>
      </c>
      <c r="O102" s="14">
        <f t="shared" si="31"/>
        <v>1</v>
      </c>
      <c r="P102" s="14"/>
    </row>
    <row r="103" spans="1:18" x14ac:dyDescent="0.25">
      <c r="A103" s="27" t="s">
        <v>79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4">
        <f>SUM(D103:O103)</f>
        <v>0</v>
      </c>
      <c r="Q103" s="17">
        <f>SUM(D103:J103)</f>
        <v>0</v>
      </c>
      <c r="R103" s="14">
        <f>P103-Q103</f>
        <v>0</v>
      </c>
    </row>
    <row r="104" spans="1:18" x14ac:dyDescent="0.25">
      <c r="A104" s="27" t="s">
        <v>80</v>
      </c>
      <c r="C104" s="17">
        <v>58</v>
      </c>
      <c r="D104" s="17">
        <v>-95</v>
      </c>
      <c r="E104" s="194">
        <v>1089</v>
      </c>
      <c r="F104" s="194">
        <v>-1052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4">
        <f>SUM(D104:O104)</f>
        <v>-58</v>
      </c>
      <c r="Q104" s="17">
        <f>SUM(D104:J104)</f>
        <v>-58</v>
      </c>
      <c r="R104" s="14">
        <f>P104-Q104</f>
        <v>0</v>
      </c>
    </row>
    <row r="105" spans="1:18" x14ac:dyDescent="0.25">
      <c r="A105" s="27" t="s">
        <v>28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1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16">
        <f>SUM(D105:O105)</f>
        <v>1</v>
      </c>
      <c r="Q105" s="25">
        <f>SUM(D105:J105)</f>
        <v>1</v>
      </c>
      <c r="R105" s="16">
        <f>P105-Q105</f>
        <v>0</v>
      </c>
    </row>
    <row r="106" spans="1:18" ht="3.9" customHeight="1" x14ac:dyDescent="0.2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1:18" x14ac:dyDescent="0.25">
      <c r="A107" s="26" t="s">
        <v>81</v>
      </c>
      <c r="C107" s="14">
        <f t="shared" ref="C107:O107" si="32">SUM(C102:C105)</f>
        <v>58</v>
      </c>
      <c r="D107" s="14">
        <f t="shared" si="32"/>
        <v>-37</v>
      </c>
      <c r="E107" s="14">
        <f t="shared" si="32"/>
        <v>1052</v>
      </c>
      <c r="F107" s="14">
        <f t="shared" si="32"/>
        <v>0</v>
      </c>
      <c r="G107" s="14">
        <f t="shared" si="32"/>
        <v>0</v>
      </c>
      <c r="H107" s="14">
        <f t="shared" si="32"/>
        <v>0</v>
      </c>
      <c r="I107" s="14">
        <f t="shared" si="32"/>
        <v>0</v>
      </c>
      <c r="J107" s="14">
        <f t="shared" si="32"/>
        <v>1</v>
      </c>
      <c r="K107" s="14">
        <f t="shared" si="32"/>
        <v>1</v>
      </c>
      <c r="L107" s="14">
        <f t="shared" si="32"/>
        <v>1</v>
      </c>
      <c r="M107" s="14">
        <f t="shared" si="32"/>
        <v>1</v>
      </c>
      <c r="N107" s="14">
        <f t="shared" si="32"/>
        <v>1</v>
      </c>
      <c r="O107" s="14">
        <f t="shared" si="32"/>
        <v>1</v>
      </c>
      <c r="P107" s="14"/>
    </row>
    <row r="108" spans="1:18" ht="3.9" customHeight="1" x14ac:dyDescent="0.25"/>
    <row r="109" spans="1:18" x14ac:dyDescent="0.25">
      <c r="A109" s="27" t="s">
        <v>30</v>
      </c>
      <c r="C109" s="14"/>
      <c r="D109" s="14">
        <f t="shared" ref="D109:O109" si="33">D107-C107</f>
        <v>-95</v>
      </c>
      <c r="E109" s="14">
        <f t="shared" si="33"/>
        <v>1089</v>
      </c>
      <c r="F109" s="14">
        <f t="shared" si="33"/>
        <v>-1052</v>
      </c>
      <c r="G109" s="14">
        <f t="shared" si="33"/>
        <v>0</v>
      </c>
      <c r="H109" s="14">
        <f t="shared" si="33"/>
        <v>0</v>
      </c>
      <c r="I109" s="14">
        <f t="shared" si="33"/>
        <v>0</v>
      </c>
      <c r="J109" s="14">
        <f t="shared" si="33"/>
        <v>1</v>
      </c>
      <c r="K109" s="14">
        <f t="shared" si="33"/>
        <v>0</v>
      </c>
      <c r="L109" s="14">
        <f t="shared" si="33"/>
        <v>0</v>
      </c>
      <c r="M109" s="14">
        <f t="shared" si="33"/>
        <v>0</v>
      </c>
      <c r="N109" s="14">
        <f t="shared" si="33"/>
        <v>0</v>
      </c>
      <c r="O109" s="14">
        <f t="shared" si="33"/>
        <v>0</v>
      </c>
      <c r="P109" s="14">
        <f>SUM(D109:O109)</f>
        <v>-57</v>
      </c>
      <c r="Q109" s="14">
        <f>SUM(Q103:Q106)</f>
        <v>-57</v>
      </c>
      <c r="R109" s="14">
        <f>P109-Q109</f>
        <v>0</v>
      </c>
    </row>
    <row r="111" spans="1:18" x14ac:dyDescent="0.25">
      <c r="A111" s="26" t="s">
        <v>82</v>
      </c>
      <c r="D111" s="14">
        <f t="shared" ref="D111:O111" si="34">C116</f>
        <v>0</v>
      </c>
      <c r="E111" s="14">
        <f t="shared" si="34"/>
        <v>0</v>
      </c>
      <c r="F111" s="14">
        <f t="shared" si="34"/>
        <v>0</v>
      </c>
      <c r="G111" s="14">
        <f t="shared" si="34"/>
        <v>0</v>
      </c>
      <c r="H111" s="14">
        <f t="shared" si="34"/>
        <v>0</v>
      </c>
      <c r="I111" s="14">
        <f t="shared" si="34"/>
        <v>0</v>
      </c>
      <c r="J111" s="14">
        <f t="shared" si="34"/>
        <v>0</v>
      </c>
      <c r="K111" s="14">
        <f t="shared" si="34"/>
        <v>0</v>
      </c>
      <c r="L111" s="14">
        <f t="shared" si="34"/>
        <v>0</v>
      </c>
      <c r="M111" s="14">
        <f t="shared" si="34"/>
        <v>0</v>
      </c>
      <c r="N111" s="14">
        <f t="shared" si="34"/>
        <v>0</v>
      </c>
      <c r="O111" s="14">
        <f t="shared" si="34"/>
        <v>0</v>
      </c>
    </row>
    <row r="112" spans="1:18" x14ac:dyDescent="0.25">
      <c r="A112" s="27" t="s">
        <v>83</v>
      </c>
      <c r="B112" s="18" t="s">
        <v>34</v>
      </c>
      <c r="D112" s="153">
        <f>[1]Source!D43</f>
        <v>0</v>
      </c>
      <c r="E112" s="153">
        <f>[1]Source!E43</f>
        <v>0</v>
      </c>
      <c r="F112" s="153">
        <f>[1]Source!F43</f>
        <v>0</v>
      </c>
      <c r="G112" s="153">
        <f>[1]Source!G43</f>
        <v>0</v>
      </c>
      <c r="H112" s="153">
        <f>[1]Source!H43</f>
        <v>0</v>
      </c>
      <c r="I112" s="153">
        <f>[1]Source!I43</f>
        <v>0</v>
      </c>
      <c r="J112" s="153">
        <f>[1]Source!J43</f>
        <v>0</v>
      </c>
      <c r="K112" s="153">
        <f>[1]Source!K43</f>
        <v>0</v>
      </c>
      <c r="L112" s="153">
        <f>[1]Source!L43</f>
        <v>0</v>
      </c>
      <c r="M112" s="153">
        <f>[1]Source!M43</f>
        <v>0</v>
      </c>
      <c r="N112" s="153">
        <f>[1]Source!N43</f>
        <v>0</v>
      </c>
      <c r="O112" s="153">
        <f>[1]Source!O43</f>
        <v>0</v>
      </c>
      <c r="P112" s="14">
        <f>SUM(D112:O112)</f>
        <v>0</v>
      </c>
      <c r="Q112" s="17">
        <f>SUM(D112:J112)</f>
        <v>0</v>
      </c>
      <c r="R112" s="14">
        <f>P112-Q112</f>
        <v>0</v>
      </c>
    </row>
    <row r="113" spans="1:18" x14ac:dyDescent="0.25">
      <c r="A113" s="27" t="s">
        <v>84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4">
        <f>SUM(D113:O113)</f>
        <v>0</v>
      </c>
      <c r="Q113" s="17">
        <f>SUM(D113:J113)</f>
        <v>0</v>
      </c>
      <c r="R113" s="14">
        <f>P113-Q113</f>
        <v>0</v>
      </c>
    </row>
    <row r="114" spans="1:18" x14ac:dyDescent="0.25">
      <c r="A114" s="27" t="s">
        <v>28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16">
        <f>SUM(D114:O114)</f>
        <v>0</v>
      </c>
      <c r="Q114" s="25">
        <f>SUM(D114:J114)</f>
        <v>0</v>
      </c>
      <c r="R114" s="16">
        <f>P114-Q114</f>
        <v>0</v>
      </c>
    </row>
    <row r="115" spans="1:18" ht="3.9" customHeight="1" x14ac:dyDescent="0.2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x14ac:dyDescent="0.25">
      <c r="A116" s="26" t="s">
        <v>85</v>
      </c>
      <c r="C116" s="17">
        <v>0</v>
      </c>
      <c r="D116" s="14">
        <f t="shared" ref="D116:O116" si="35">SUM(D111:D115)</f>
        <v>0</v>
      </c>
      <c r="E116" s="14">
        <f t="shared" si="35"/>
        <v>0</v>
      </c>
      <c r="F116" s="14">
        <f t="shared" si="35"/>
        <v>0</v>
      </c>
      <c r="G116" s="14">
        <f t="shared" si="35"/>
        <v>0</v>
      </c>
      <c r="H116" s="14">
        <f t="shared" si="35"/>
        <v>0</v>
      </c>
      <c r="I116" s="14">
        <f t="shared" si="35"/>
        <v>0</v>
      </c>
      <c r="J116" s="14">
        <f t="shared" si="35"/>
        <v>0</v>
      </c>
      <c r="K116" s="14">
        <f t="shared" si="35"/>
        <v>0</v>
      </c>
      <c r="L116" s="14">
        <f t="shared" si="35"/>
        <v>0</v>
      </c>
      <c r="M116" s="14">
        <f t="shared" si="35"/>
        <v>0</v>
      </c>
      <c r="N116" s="14">
        <f t="shared" si="35"/>
        <v>0</v>
      </c>
      <c r="O116" s="14">
        <f t="shared" si="35"/>
        <v>0</v>
      </c>
    </row>
    <row r="117" spans="1:18" ht="3.9" customHeight="1" x14ac:dyDescent="0.25"/>
    <row r="118" spans="1:18" x14ac:dyDescent="0.25">
      <c r="A118" s="27" t="s">
        <v>30</v>
      </c>
      <c r="D118" s="14">
        <f t="shared" ref="D118:O118" si="36">D116-C116</f>
        <v>0</v>
      </c>
      <c r="E118" s="14">
        <f t="shared" si="36"/>
        <v>0</v>
      </c>
      <c r="F118" s="14">
        <f t="shared" si="36"/>
        <v>0</v>
      </c>
      <c r="G118" s="14">
        <f t="shared" si="36"/>
        <v>0</v>
      </c>
      <c r="H118" s="14">
        <f t="shared" si="36"/>
        <v>0</v>
      </c>
      <c r="I118" s="14">
        <f t="shared" si="36"/>
        <v>0</v>
      </c>
      <c r="J118" s="14">
        <f t="shared" si="36"/>
        <v>0</v>
      </c>
      <c r="K118" s="14">
        <f t="shared" si="36"/>
        <v>0</v>
      </c>
      <c r="L118" s="14">
        <f t="shared" si="36"/>
        <v>0</v>
      </c>
      <c r="M118" s="14">
        <f t="shared" si="36"/>
        <v>0</v>
      </c>
      <c r="N118" s="14">
        <f t="shared" si="36"/>
        <v>0</v>
      </c>
      <c r="O118" s="14">
        <f t="shared" si="36"/>
        <v>0</v>
      </c>
      <c r="P118" s="14">
        <f>SUM(D118:O118)</f>
        <v>0</v>
      </c>
      <c r="Q118" s="14">
        <f>SUM(Q112:Q115)</f>
        <v>0</v>
      </c>
      <c r="R118" s="14">
        <f>P118-Q118</f>
        <v>0</v>
      </c>
    </row>
    <row r="119" spans="1:18" ht="12" customHeight="1" x14ac:dyDescent="0.25"/>
    <row r="120" spans="1:18" x14ac:dyDescent="0.25">
      <c r="A120" s="7" t="s">
        <v>86</v>
      </c>
      <c r="C120" s="14"/>
      <c r="D120" s="14">
        <f t="shared" ref="D120:O120" si="37">C124</f>
        <v>0</v>
      </c>
      <c r="E120" s="14">
        <f t="shared" si="37"/>
        <v>0</v>
      </c>
      <c r="F120" s="14">
        <f t="shared" si="37"/>
        <v>0</v>
      </c>
      <c r="G120" s="14">
        <f t="shared" si="37"/>
        <v>0</v>
      </c>
      <c r="H120" s="14">
        <f t="shared" si="37"/>
        <v>0</v>
      </c>
      <c r="I120" s="14">
        <f t="shared" si="37"/>
        <v>0</v>
      </c>
      <c r="J120" s="14">
        <f t="shared" si="37"/>
        <v>0</v>
      </c>
      <c r="K120" s="14">
        <f t="shared" si="37"/>
        <v>0</v>
      </c>
      <c r="L120" s="14">
        <f t="shared" si="37"/>
        <v>0</v>
      </c>
      <c r="M120" s="14">
        <f t="shared" si="37"/>
        <v>0</v>
      </c>
      <c r="N120" s="14">
        <f t="shared" si="37"/>
        <v>0</v>
      </c>
      <c r="O120" s="14">
        <f t="shared" si="37"/>
        <v>0</v>
      </c>
      <c r="P120" s="14"/>
    </row>
    <row r="121" spans="1:18" x14ac:dyDescent="0.25">
      <c r="A121" s="15" t="s">
        <v>40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4">
        <f>SUM(D121:O121)</f>
        <v>0</v>
      </c>
      <c r="Q121" s="17">
        <f>SUM(D121:J121)</f>
        <v>0</v>
      </c>
      <c r="R121" s="14">
        <f>P121-Q121</f>
        <v>0</v>
      </c>
    </row>
    <row r="122" spans="1:18" x14ac:dyDescent="0.25">
      <c r="A122" s="27" t="s">
        <v>28</v>
      </c>
      <c r="C122" s="25">
        <v>0</v>
      </c>
      <c r="D122" s="25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16">
        <f>SUM(D122:O122)</f>
        <v>0</v>
      </c>
      <c r="Q122" s="25">
        <f>SUM(D122:J122)</f>
        <v>0</v>
      </c>
      <c r="R122" s="16">
        <f>P122-Q122</f>
        <v>0</v>
      </c>
    </row>
    <row r="123" spans="1:18" ht="3.9" customHeight="1" x14ac:dyDescent="0.2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x14ac:dyDescent="0.25">
      <c r="A124" s="26" t="s">
        <v>87</v>
      </c>
      <c r="C124" s="14">
        <f t="shared" ref="C124:O124" si="38">SUM(C120:C123)</f>
        <v>0</v>
      </c>
      <c r="D124" s="14">
        <f t="shared" si="38"/>
        <v>0</v>
      </c>
      <c r="E124" s="14">
        <f t="shared" si="38"/>
        <v>0</v>
      </c>
      <c r="F124" s="14">
        <f t="shared" si="38"/>
        <v>0</v>
      </c>
      <c r="G124" s="14">
        <f t="shared" si="38"/>
        <v>0</v>
      </c>
      <c r="H124" s="14">
        <f t="shared" si="38"/>
        <v>0</v>
      </c>
      <c r="I124" s="14">
        <f t="shared" si="38"/>
        <v>0</v>
      </c>
      <c r="J124" s="14">
        <f t="shared" si="38"/>
        <v>0</v>
      </c>
      <c r="K124" s="14">
        <f t="shared" si="38"/>
        <v>0</v>
      </c>
      <c r="L124" s="14">
        <f t="shared" si="38"/>
        <v>0</v>
      </c>
      <c r="M124" s="14">
        <f t="shared" si="38"/>
        <v>0</v>
      </c>
      <c r="N124" s="14">
        <f t="shared" si="38"/>
        <v>0</v>
      </c>
      <c r="O124" s="14">
        <f t="shared" si="38"/>
        <v>0</v>
      </c>
      <c r="P124" s="14"/>
    </row>
    <row r="125" spans="1:18" ht="3.9" customHeight="1" x14ac:dyDescent="0.25"/>
    <row r="126" spans="1:18" x14ac:dyDescent="0.25">
      <c r="A126" s="27" t="s">
        <v>30</v>
      </c>
      <c r="C126" s="14"/>
      <c r="D126" s="14">
        <f t="shared" ref="D126:O126" si="39">D124-C124</f>
        <v>0</v>
      </c>
      <c r="E126" s="14">
        <f t="shared" si="39"/>
        <v>0</v>
      </c>
      <c r="F126" s="14">
        <f t="shared" si="39"/>
        <v>0</v>
      </c>
      <c r="G126" s="14">
        <f t="shared" si="39"/>
        <v>0</v>
      </c>
      <c r="H126" s="14">
        <f t="shared" si="39"/>
        <v>0</v>
      </c>
      <c r="I126" s="14">
        <f t="shared" si="39"/>
        <v>0</v>
      </c>
      <c r="J126" s="14">
        <f t="shared" si="39"/>
        <v>0</v>
      </c>
      <c r="K126" s="14">
        <f t="shared" si="39"/>
        <v>0</v>
      </c>
      <c r="L126" s="14">
        <f t="shared" si="39"/>
        <v>0</v>
      </c>
      <c r="M126" s="14">
        <f t="shared" si="39"/>
        <v>0</v>
      </c>
      <c r="N126" s="14">
        <f t="shared" si="39"/>
        <v>0</v>
      </c>
      <c r="O126" s="14">
        <f t="shared" si="39"/>
        <v>0</v>
      </c>
      <c r="P126" s="14">
        <f>SUM(D126:O126)</f>
        <v>0</v>
      </c>
      <c r="Q126" s="14">
        <f>SUM(Q122:Q123)</f>
        <v>0</v>
      </c>
      <c r="R126" s="14">
        <f>P126-Q126</f>
        <v>0</v>
      </c>
    </row>
    <row r="127" spans="1:18" ht="8.1" customHeight="1" x14ac:dyDescent="0.25"/>
    <row r="129" spans="1:18" x14ac:dyDescent="0.25">
      <c r="A129" s="26" t="s">
        <v>88</v>
      </c>
      <c r="C129" s="14"/>
      <c r="D129" s="14">
        <f t="shared" ref="D129:O129" si="40">C142</f>
        <v>987107</v>
      </c>
      <c r="E129" s="14">
        <f t="shared" si="40"/>
        <v>987543</v>
      </c>
      <c r="F129" s="14">
        <f t="shared" si="40"/>
        <v>986923</v>
      </c>
      <c r="G129" s="14">
        <f t="shared" si="40"/>
        <v>987812</v>
      </c>
      <c r="H129" s="14">
        <f t="shared" si="40"/>
        <v>990597</v>
      </c>
      <c r="I129" s="14">
        <f t="shared" si="40"/>
        <v>1006548</v>
      </c>
      <c r="J129" s="14">
        <f t="shared" si="40"/>
        <v>1010004</v>
      </c>
      <c r="K129" s="14">
        <f t="shared" si="40"/>
        <v>1011084</v>
      </c>
      <c r="L129" s="14">
        <f t="shared" si="40"/>
        <v>1012984</v>
      </c>
      <c r="M129" s="14">
        <f t="shared" si="40"/>
        <v>1026027</v>
      </c>
      <c r="N129" s="14">
        <f t="shared" si="40"/>
        <v>1031844</v>
      </c>
      <c r="O129" s="14">
        <f t="shared" si="40"/>
        <v>1043696</v>
      </c>
      <c r="P129" s="14"/>
    </row>
    <row r="130" spans="1:18" x14ac:dyDescent="0.25">
      <c r="A130" s="27" t="s">
        <v>89</v>
      </c>
      <c r="C130" s="17"/>
      <c r="D130" s="17">
        <v>719</v>
      </c>
      <c r="E130" s="17">
        <v>242</v>
      </c>
      <c r="F130" s="17">
        <v>906</v>
      </c>
      <c r="G130" s="17">
        <v>1317</v>
      </c>
      <c r="H130" s="17">
        <v>1105</v>
      </c>
      <c r="I130" s="194">
        <v>3523</v>
      </c>
      <c r="J130" s="194">
        <v>1280</v>
      </c>
      <c r="K130" s="194">
        <f>1900</f>
        <v>1900</v>
      </c>
      <c r="L130" s="194">
        <f>1200+383+7900</f>
        <v>9483</v>
      </c>
      <c r="M130" s="194">
        <f>2900-119+2500+536</f>
        <v>5817</v>
      </c>
      <c r="N130" s="194">
        <f>900+758+994+6200+3000</f>
        <v>11852</v>
      </c>
      <c r="O130" s="194">
        <f>800+1295+9100</f>
        <v>11195</v>
      </c>
      <c r="P130" s="14">
        <f t="shared" ref="P130:P140" si="41">SUM(D130:O130)</f>
        <v>49339</v>
      </c>
      <c r="Q130" s="17">
        <f t="shared" ref="Q130:Q140" si="42">SUM(D130:J130)</f>
        <v>9092</v>
      </c>
      <c r="R130" s="14">
        <f t="shared" ref="R130:R140" si="43">P130-Q130</f>
        <v>40247</v>
      </c>
    </row>
    <row r="131" spans="1:18" x14ac:dyDescent="0.25">
      <c r="A131" s="27" t="s">
        <v>90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4">
        <f t="shared" si="41"/>
        <v>0</v>
      </c>
      <c r="Q131" s="17">
        <f t="shared" si="42"/>
        <v>0</v>
      </c>
      <c r="R131" s="14">
        <f t="shared" si="43"/>
        <v>0</v>
      </c>
    </row>
    <row r="132" spans="1:18" x14ac:dyDescent="0.25">
      <c r="A132" s="27" t="s">
        <v>91</v>
      </c>
      <c r="C132" s="17">
        <v>353</v>
      </c>
      <c r="D132" s="17">
        <v>-353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353</v>
      </c>
      <c r="P132" s="14">
        <f t="shared" si="41"/>
        <v>0</v>
      </c>
      <c r="Q132" s="17">
        <f t="shared" si="42"/>
        <v>-353</v>
      </c>
      <c r="R132" s="14">
        <f t="shared" si="43"/>
        <v>353</v>
      </c>
    </row>
    <row r="133" spans="1:18" x14ac:dyDescent="0.25">
      <c r="A133" s="27" t="s">
        <v>92</v>
      </c>
      <c r="D133" s="17">
        <v>0</v>
      </c>
      <c r="E133" s="17">
        <v>0</v>
      </c>
      <c r="F133" s="17">
        <v>0</v>
      </c>
      <c r="G133" s="17">
        <v>0</v>
      </c>
      <c r="H133" s="17">
        <v>15000</v>
      </c>
      <c r="I133" s="17">
        <v>0</v>
      </c>
      <c r="J133" s="17">
        <v>0</v>
      </c>
      <c r="K133" s="17">
        <v>0</v>
      </c>
      <c r="L133" s="17">
        <v>3560</v>
      </c>
      <c r="M133" s="17">
        <v>0</v>
      </c>
      <c r="N133" s="17">
        <v>0</v>
      </c>
      <c r="O133" s="17">
        <v>0</v>
      </c>
      <c r="P133" s="14">
        <f t="shared" si="41"/>
        <v>18560</v>
      </c>
      <c r="Q133" s="17">
        <f t="shared" si="42"/>
        <v>15000</v>
      </c>
      <c r="R133" s="14">
        <f t="shared" si="43"/>
        <v>3560</v>
      </c>
    </row>
    <row r="134" spans="1:18" x14ac:dyDescent="0.25">
      <c r="A134" s="15" t="s">
        <v>93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4">
        <f t="shared" si="41"/>
        <v>0</v>
      </c>
      <c r="Q134" s="17">
        <f t="shared" si="42"/>
        <v>0</v>
      </c>
      <c r="R134" s="14">
        <f t="shared" si="43"/>
        <v>0</v>
      </c>
    </row>
    <row r="135" spans="1:18" x14ac:dyDescent="0.25">
      <c r="A135" s="27" t="s">
        <v>94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4">
        <f t="shared" si="41"/>
        <v>0</v>
      </c>
      <c r="Q135" s="17">
        <f t="shared" si="42"/>
        <v>0</v>
      </c>
      <c r="R135" s="14">
        <f t="shared" si="43"/>
        <v>0</v>
      </c>
    </row>
    <row r="136" spans="1:18" x14ac:dyDescent="0.25">
      <c r="A136" s="27" t="s">
        <v>95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4">
        <f t="shared" si="41"/>
        <v>0</v>
      </c>
      <c r="Q136" s="17">
        <f t="shared" si="42"/>
        <v>0</v>
      </c>
      <c r="R136" s="14">
        <f t="shared" si="43"/>
        <v>0</v>
      </c>
    </row>
    <row r="137" spans="1:18" x14ac:dyDescent="0.25">
      <c r="A137" s="27" t="s">
        <v>96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4">
        <f t="shared" si="41"/>
        <v>0</v>
      </c>
      <c r="Q137" s="17">
        <f t="shared" si="42"/>
        <v>0</v>
      </c>
      <c r="R137" s="14">
        <f t="shared" si="43"/>
        <v>0</v>
      </c>
    </row>
    <row r="138" spans="1:18" x14ac:dyDescent="0.25">
      <c r="A138" s="27" t="s">
        <v>97</v>
      </c>
      <c r="C138" s="17">
        <v>9492</v>
      </c>
      <c r="D138" s="17">
        <v>70</v>
      </c>
      <c r="E138" s="17">
        <v>-862</v>
      </c>
      <c r="F138" s="17">
        <v>-17</v>
      </c>
      <c r="G138" s="17">
        <v>1468</v>
      </c>
      <c r="H138" s="17">
        <v>-154</v>
      </c>
      <c r="I138" s="17">
        <v>-67</v>
      </c>
      <c r="J138" s="17">
        <v>-200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4">
        <f t="shared" si="41"/>
        <v>238</v>
      </c>
      <c r="Q138" s="17">
        <f t="shared" si="42"/>
        <v>238</v>
      </c>
      <c r="R138" s="14">
        <f t="shared" si="43"/>
        <v>0</v>
      </c>
    </row>
    <row r="139" spans="1:18" x14ac:dyDescent="0.25">
      <c r="A139" s="27" t="s">
        <v>98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94">
        <f>-11641+11641</f>
        <v>0</v>
      </c>
      <c r="P139" s="14">
        <f t="shared" si="41"/>
        <v>0</v>
      </c>
      <c r="Q139" s="17">
        <f t="shared" si="42"/>
        <v>0</v>
      </c>
      <c r="R139" s="14">
        <f t="shared" si="43"/>
        <v>0</v>
      </c>
    </row>
    <row r="140" spans="1:18" x14ac:dyDescent="0.25">
      <c r="A140" s="27" t="s">
        <v>28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16">
        <f t="shared" si="41"/>
        <v>0</v>
      </c>
      <c r="Q140" s="25">
        <f t="shared" si="42"/>
        <v>0</v>
      </c>
      <c r="R140" s="16">
        <f t="shared" si="43"/>
        <v>0</v>
      </c>
    </row>
    <row r="141" spans="1:18" ht="3.9" customHeight="1" x14ac:dyDescent="0.2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x14ac:dyDescent="0.25">
      <c r="A142" s="26" t="s">
        <v>99</v>
      </c>
      <c r="C142" s="17">
        <v>987107</v>
      </c>
      <c r="D142" s="14">
        <f t="shared" ref="D142:O142" si="44">SUM(D129:D141)</f>
        <v>987543</v>
      </c>
      <c r="E142" s="14">
        <f t="shared" si="44"/>
        <v>986923</v>
      </c>
      <c r="F142" s="14">
        <f t="shared" si="44"/>
        <v>987812</v>
      </c>
      <c r="G142" s="14">
        <f t="shared" si="44"/>
        <v>990597</v>
      </c>
      <c r="H142" s="14">
        <f t="shared" si="44"/>
        <v>1006548</v>
      </c>
      <c r="I142" s="14">
        <f t="shared" si="44"/>
        <v>1010004</v>
      </c>
      <c r="J142" s="14">
        <f t="shared" si="44"/>
        <v>1011084</v>
      </c>
      <c r="K142" s="14">
        <f t="shared" si="44"/>
        <v>1012984</v>
      </c>
      <c r="L142" s="14">
        <f t="shared" si="44"/>
        <v>1026027</v>
      </c>
      <c r="M142" s="14">
        <f t="shared" si="44"/>
        <v>1031844</v>
      </c>
      <c r="N142" s="14">
        <f t="shared" si="44"/>
        <v>1043696</v>
      </c>
      <c r="O142" s="14">
        <f t="shared" si="44"/>
        <v>1055244</v>
      </c>
      <c r="P142" s="14"/>
    </row>
    <row r="143" spans="1:18" ht="3.9" customHeight="1" x14ac:dyDescent="0.25"/>
    <row r="144" spans="1:18" x14ac:dyDescent="0.25">
      <c r="A144" s="27" t="s">
        <v>30</v>
      </c>
      <c r="C144" s="14"/>
      <c r="D144" s="14">
        <f t="shared" ref="D144:O144" si="45">D142-C142</f>
        <v>436</v>
      </c>
      <c r="E144" s="14">
        <f t="shared" si="45"/>
        <v>-620</v>
      </c>
      <c r="F144" s="14">
        <f t="shared" si="45"/>
        <v>889</v>
      </c>
      <c r="G144" s="14">
        <f t="shared" si="45"/>
        <v>2785</v>
      </c>
      <c r="H144" s="14">
        <f t="shared" si="45"/>
        <v>15951</v>
      </c>
      <c r="I144" s="14">
        <f t="shared" si="45"/>
        <v>3456</v>
      </c>
      <c r="J144" s="14">
        <f t="shared" si="45"/>
        <v>1080</v>
      </c>
      <c r="K144" s="14">
        <f t="shared" si="45"/>
        <v>1900</v>
      </c>
      <c r="L144" s="14">
        <f t="shared" si="45"/>
        <v>13043</v>
      </c>
      <c r="M144" s="14">
        <f t="shared" si="45"/>
        <v>5817</v>
      </c>
      <c r="N144" s="14">
        <f t="shared" si="45"/>
        <v>11852</v>
      </c>
      <c r="O144" s="14">
        <f t="shared" si="45"/>
        <v>11548</v>
      </c>
      <c r="P144" s="14">
        <f>SUM(D144:O144)</f>
        <v>68137</v>
      </c>
      <c r="Q144" s="14">
        <f>SUM(Q130:Q141)</f>
        <v>23977</v>
      </c>
      <c r="R144" s="14">
        <f>P144-Q144</f>
        <v>44160</v>
      </c>
    </row>
    <row r="146" spans="1:18" x14ac:dyDescent="0.25">
      <c r="A146" s="26" t="s">
        <v>100</v>
      </c>
      <c r="C146" s="14"/>
      <c r="D146" s="14">
        <f t="shared" ref="D146:O146" si="46">C157</f>
        <v>104364</v>
      </c>
      <c r="E146" s="14">
        <f t="shared" si="46"/>
        <v>105907</v>
      </c>
      <c r="F146" s="14">
        <f t="shared" si="46"/>
        <v>107444</v>
      </c>
      <c r="G146" s="14">
        <f t="shared" si="46"/>
        <v>109084</v>
      </c>
      <c r="H146" s="14">
        <f t="shared" si="46"/>
        <v>110716</v>
      </c>
      <c r="I146" s="14">
        <f t="shared" si="46"/>
        <v>112236</v>
      </c>
      <c r="J146" s="14">
        <f t="shared" si="46"/>
        <v>113908</v>
      </c>
      <c r="K146" s="14">
        <f t="shared" si="46"/>
        <v>115443</v>
      </c>
      <c r="L146" s="14">
        <f t="shared" si="46"/>
        <v>117028</v>
      </c>
      <c r="M146" s="14">
        <f t="shared" si="46"/>
        <v>118664</v>
      </c>
      <c r="N146" s="14">
        <f t="shared" si="46"/>
        <v>120400</v>
      </c>
      <c r="O146" s="14">
        <f t="shared" si="46"/>
        <v>122235</v>
      </c>
      <c r="P146" s="14"/>
    </row>
    <row r="147" spans="1:18" x14ac:dyDescent="0.25">
      <c r="A147" s="15" t="s">
        <v>101</v>
      </c>
      <c r="B147" s="18" t="s">
        <v>34</v>
      </c>
      <c r="C147" s="14"/>
      <c r="D147" s="153">
        <f>[1]Source!D37</f>
        <v>1027</v>
      </c>
      <c r="E147" s="28">
        <f>[1]Source!E37-1</f>
        <v>992</v>
      </c>
      <c r="F147" s="153">
        <f>[1]Source!F37</f>
        <v>1037</v>
      </c>
      <c r="G147" s="28">
        <f>[1]Source!G37+1</f>
        <v>1050</v>
      </c>
      <c r="H147" s="153">
        <f>[1]Source!H37</f>
        <v>1006</v>
      </c>
      <c r="I147" s="153">
        <f>[1]Source!I37</f>
        <v>1116</v>
      </c>
      <c r="J147" s="153">
        <f>[1]Source!J37</f>
        <v>1054</v>
      </c>
      <c r="K147" s="153">
        <f>[1]Source!K37</f>
        <v>1056</v>
      </c>
      <c r="L147" s="153">
        <f>[1]Source!L37</f>
        <v>1106</v>
      </c>
      <c r="M147" s="153">
        <f>[1]Source!M37</f>
        <v>1206</v>
      </c>
      <c r="N147" s="153">
        <f>[1]Source!N37</f>
        <v>1306</v>
      </c>
      <c r="O147" s="153">
        <f>[1]Source!O37</f>
        <v>1356</v>
      </c>
      <c r="P147" s="14">
        <f t="shared" ref="P147:P155" si="47">SUM(D147:O147)</f>
        <v>13312</v>
      </c>
      <c r="Q147" s="17">
        <f t="shared" ref="Q147:Q155" si="48">SUM(D147:J147)</f>
        <v>7282</v>
      </c>
      <c r="R147" s="14">
        <f t="shared" ref="R147:R155" si="49">P147-Q147</f>
        <v>6030</v>
      </c>
    </row>
    <row r="148" spans="1:18" x14ac:dyDescent="0.25">
      <c r="A148" s="15" t="s">
        <v>102</v>
      </c>
      <c r="B148" s="18" t="s">
        <v>34</v>
      </c>
      <c r="C148" s="28">
        <v>0</v>
      </c>
      <c r="D148" s="153">
        <f>-[1]Source!D38</f>
        <v>594</v>
      </c>
      <c r="E148" s="153">
        <f>-[1]Source!E38</f>
        <v>594</v>
      </c>
      <c r="F148" s="153">
        <f>-[1]Source!F38</f>
        <v>594</v>
      </c>
      <c r="G148" s="153">
        <f>-[1]Source!G38</f>
        <v>594</v>
      </c>
      <c r="H148" s="153">
        <f>-[1]Source!H38</f>
        <v>594</v>
      </c>
      <c r="I148" s="153">
        <f>-[1]Source!I38</f>
        <v>594</v>
      </c>
      <c r="J148" s="153">
        <f>-[1]Source!J38</f>
        <v>594</v>
      </c>
      <c r="K148" s="153">
        <f>-[1]Source!K38</f>
        <v>594</v>
      </c>
      <c r="L148" s="153">
        <f>-[1]Source!L38</f>
        <v>594</v>
      </c>
      <c r="M148" s="153">
        <f>-[1]Source!M38</f>
        <v>594</v>
      </c>
      <c r="N148" s="153">
        <f>-[1]Source!N38</f>
        <v>594</v>
      </c>
      <c r="O148" s="153">
        <f>-[1]Source!O38</f>
        <v>594</v>
      </c>
      <c r="P148" s="14">
        <f t="shared" si="47"/>
        <v>7128</v>
      </c>
      <c r="Q148" s="17">
        <f t="shared" si="48"/>
        <v>4158</v>
      </c>
      <c r="R148" s="14">
        <f t="shared" si="49"/>
        <v>2970</v>
      </c>
    </row>
    <row r="149" spans="1:18" x14ac:dyDescent="0.25">
      <c r="A149" s="27" t="s">
        <v>103</v>
      </c>
      <c r="C149" s="14"/>
      <c r="D149" s="17">
        <v>-14</v>
      </c>
      <c r="E149" s="17">
        <v>-19</v>
      </c>
      <c r="F149" s="194">
        <v>77</v>
      </c>
      <c r="G149" s="17">
        <v>56</v>
      </c>
      <c r="H149" s="194">
        <f>-70+58</f>
        <v>-12</v>
      </c>
      <c r="I149" s="17">
        <v>29</v>
      </c>
      <c r="J149" s="17">
        <v>-45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4">
        <f t="shared" si="47"/>
        <v>72</v>
      </c>
      <c r="Q149" s="17">
        <f t="shared" si="48"/>
        <v>72</v>
      </c>
      <c r="R149" s="14">
        <f t="shared" si="49"/>
        <v>0</v>
      </c>
    </row>
    <row r="150" spans="1:18" x14ac:dyDescent="0.25">
      <c r="A150" s="27" t="s">
        <v>104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4">
        <f t="shared" si="47"/>
        <v>0</v>
      </c>
      <c r="Q150" s="17">
        <f t="shared" si="48"/>
        <v>0</v>
      </c>
      <c r="R150" s="14">
        <f t="shared" si="49"/>
        <v>0</v>
      </c>
    </row>
    <row r="151" spans="1:18" x14ac:dyDescent="0.25">
      <c r="A151" s="15" t="s">
        <v>105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4">
        <f t="shared" si="47"/>
        <v>0</v>
      </c>
      <c r="Q151" s="17">
        <f t="shared" si="48"/>
        <v>0</v>
      </c>
      <c r="R151" s="14">
        <f t="shared" si="49"/>
        <v>0</v>
      </c>
    </row>
    <row r="152" spans="1:18" x14ac:dyDescent="0.25">
      <c r="A152" s="27" t="s">
        <v>106</v>
      </c>
      <c r="D152" s="153">
        <f>[1]Source!D31+[1]Source!D32</f>
        <v>-67</v>
      </c>
      <c r="E152" s="153">
        <f>[1]Source!E31+[1]Source!E32</f>
        <v>-33</v>
      </c>
      <c r="F152" s="28">
        <f>[1]Source!F31+[1]Source!F32+31</f>
        <v>-71</v>
      </c>
      <c r="G152" s="28">
        <f>[1]Source!G31+[1]Source!G32-4</f>
        <v>-71</v>
      </c>
      <c r="H152" s="28">
        <f>[1]Source!H31+[1]Source!H32-4</f>
        <v>-71</v>
      </c>
      <c r="I152" s="28">
        <f>[1]Source!I31+[1]Source!I32-2</f>
        <v>-70</v>
      </c>
      <c r="J152" s="28">
        <f>[1]Source!J31+[1]Source!J32-4</f>
        <v>-71</v>
      </c>
      <c r="K152" s="153">
        <f>[1]Source!K31+[1]Source!K32</f>
        <v>-68</v>
      </c>
      <c r="L152" s="153">
        <f>[1]Source!L31+[1]Source!L32</f>
        <v>-67</v>
      </c>
      <c r="M152" s="153">
        <f>[1]Source!M31+[1]Source!M32</f>
        <v>-67</v>
      </c>
      <c r="N152" s="153">
        <f>[1]Source!N31+[1]Source!N32</f>
        <v>-68</v>
      </c>
      <c r="O152" s="153">
        <f>[1]Source!O31+[1]Source!O32</f>
        <v>-68</v>
      </c>
      <c r="P152" s="14">
        <f t="shared" si="47"/>
        <v>-792</v>
      </c>
      <c r="Q152" s="17">
        <f t="shared" si="48"/>
        <v>-454</v>
      </c>
      <c r="R152" s="14">
        <f t="shared" si="49"/>
        <v>-338</v>
      </c>
    </row>
    <row r="153" spans="1:18" x14ac:dyDescent="0.25">
      <c r="A153" s="27" t="s">
        <v>107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4">
        <f t="shared" si="47"/>
        <v>0</v>
      </c>
      <c r="Q153" s="17">
        <f t="shared" si="48"/>
        <v>0</v>
      </c>
      <c r="R153" s="14">
        <f t="shared" si="49"/>
        <v>0</v>
      </c>
    </row>
    <row r="154" spans="1:18" x14ac:dyDescent="0.25">
      <c r="A154" s="27" t="s">
        <v>108</v>
      </c>
      <c r="D154" s="28">
        <f>D139+3</f>
        <v>3</v>
      </c>
      <c r="E154" s="28">
        <f>E139+3</f>
        <v>3</v>
      </c>
      <c r="F154" s="28">
        <f>F139+3</f>
        <v>3</v>
      </c>
      <c r="G154" s="28">
        <f t="shared" ref="G154:O154" si="50">G139+3</f>
        <v>3</v>
      </c>
      <c r="H154" s="28">
        <f t="shared" si="50"/>
        <v>3</v>
      </c>
      <c r="I154" s="28">
        <f t="shared" si="50"/>
        <v>3</v>
      </c>
      <c r="J154" s="28">
        <f t="shared" si="50"/>
        <v>3</v>
      </c>
      <c r="K154" s="28">
        <f t="shared" si="50"/>
        <v>3</v>
      </c>
      <c r="L154" s="28">
        <f t="shared" si="50"/>
        <v>3</v>
      </c>
      <c r="M154" s="28">
        <f t="shared" si="50"/>
        <v>3</v>
      </c>
      <c r="N154" s="28">
        <f t="shared" si="50"/>
        <v>3</v>
      </c>
      <c r="O154" s="28">
        <f t="shared" si="50"/>
        <v>3</v>
      </c>
      <c r="P154" s="14">
        <f t="shared" si="47"/>
        <v>36</v>
      </c>
      <c r="Q154" s="17">
        <f t="shared" si="48"/>
        <v>21</v>
      </c>
      <c r="R154" s="14">
        <f t="shared" si="49"/>
        <v>15</v>
      </c>
    </row>
    <row r="155" spans="1:18" x14ac:dyDescent="0.25">
      <c r="A155" s="27" t="s">
        <v>28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16">
        <f t="shared" si="47"/>
        <v>0</v>
      </c>
      <c r="Q155" s="25">
        <f t="shared" si="48"/>
        <v>0</v>
      </c>
      <c r="R155" s="16">
        <f t="shared" si="49"/>
        <v>0</v>
      </c>
    </row>
    <row r="156" spans="1:18" ht="3.9" customHeight="1" x14ac:dyDescent="0.2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x14ac:dyDescent="0.25">
      <c r="A157" s="26" t="s">
        <v>109</v>
      </c>
      <c r="C157" s="17">
        <v>104364</v>
      </c>
      <c r="D157" s="14">
        <f t="shared" ref="D157:O157" si="51">SUM(D146:D156)</f>
        <v>105907</v>
      </c>
      <c r="E157" s="14">
        <f t="shared" si="51"/>
        <v>107444</v>
      </c>
      <c r="F157" s="14">
        <f t="shared" si="51"/>
        <v>109084</v>
      </c>
      <c r="G157" s="14">
        <f t="shared" si="51"/>
        <v>110716</v>
      </c>
      <c r="H157" s="14">
        <f t="shared" si="51"/>
        <v>112236</v>
      </c>
      <c r="I157" s="14">
        <f t="shared" si="51"/>
        <v>113908</v>
      </c>
      <c r="J157" s="14">
        <f t="shared" si="51"/>
        <v>115443</v>
      </c>
      <c r="K157" s="14">
        <f t="shared" si="51"/>
        <v>117028</v>
      </c>
      <c r="L157" s="14">
        <f t="shared" si="51"/>
        <v>118664</v>
      </c>
      <c r="M157" s="14">
        <f t="shared" si="51"/>
        <v>120400</v>
      </c>
      <c r="N157" s="14">
        <f t="shared" si="51"/>
        <v>122235</v>
      </c>
      <c r="O157" s="14">
        <f t="shared" si="51"/>
        <v>124120</v>
      </c>
      <c r="P157" s="14"/>
    </row>
    <row r="158" spans="1:18" ht="3.9" customHeight="1" x14ac:dyDescent="0.25"/>
    <row r="159" spans="1:18" x14ac:dyDescent="0.25">
      <c r="A159" s="27" t="s">
        <v>30</v>
      </c>
      <c r="C159" s="14"/>
      <c r="D159" s="14">
        <f t="shared" ref="D159:O159" si="52">D157-C157</f>
        <v>1543</v>
      </c>
      <c r="E159" s="14">
        <f t="shared" si="52"/>
        <v>1537</v>
      </c>
      <c r="F159" s="14">
        <f t="shared" si="52"/>
        <v>1640</v>
      </c>
      <c r="G159" s="14">
        <f t="shared" si="52"/>
        <v>1632</v>
      </c>
      <c r="H159" s="14">
        <f t="shared" si="52"/>
        <v>1520</v>
      </c>
      <c r="I159" s="14">
        <f t="shared" si="52"/>
        <v>1672</v>
      </c>
      <c r="J159" s="14">
        <f t="shared" si="52"/>
        <v>1535</v>
      </c>
      <c r="K159" s="14">
        <f t="shared" si="52"/>
        <v>1585</v>
      </c>
      <c r="L159" s="14">
        <f t="shared" si="52"/>
        <v>1636</v>
      </c>
      <c r="M159" s="14">
        <f t="shared" si="52"/>
        <v>1736</v>
      </c>
      <c r="N159" s="14">
        <f t="shared" si="52"/>
        <v>1835</v>
      </c>
      <c r="O159" s="14">
        <f t="shared" si="52"/>
        <v>1885</v>
      </c>
      <c r="P159" s="14">
        <f>SUM(D159:O159)</f>
        <v>19756</v>
      </c>
      <c r="Q159" s="14">
        <f>SUM(Q147:Q156)</f>
        <v>11079</v>
      </c>
      <c r="R159" s="14">
        <f>P159-Q159</f>
        <v>8677</v>
      </c>
    </row>
    <row r="161" spans="1:18" x14ac:dyDescent="0.25">
      <c r="A161" s="26" t="s">
        <v>110</v>
      </c>
      <c r="C161" s="14"/>
      <c r="D161" s="14">
        <f t="shared" ref="D161:O161" si="53">C167</f>
        <v>0</v>
      </c>
      <c r="E161" s="14">
        <f t="shared" si="53"/>
        <v>0</v>
      </c>
      <c r="F161" s="14">
        <f t="shared" si="53"/>
        <v>0</v>
      </c>
      <c r="G161" s="14">
        <f t="shared" si="53"/>
        <v>0</v>
      </c>
      <c r="H161" s="14">
        <f t="shared" si="53"/>
        <v>0</v>
      </c>
      <c r="I161" s="14">
        <f t="shared" si="53"/>
        <v>0</v>
      </c>
      <c r="J161" s="14">
        <f t="shared" si="53"/>
        <v>0</v>
      </c>
      <c r="K161" s="14">
        <f t="shared" si="53"/>
        <v>0</v>
      </c>
      <c r="L161" s="14">
        <f t="shared" si="53"/>
        <v>0</v>
      </c>
      <c r="M161" s="14">
        <f t="shared" si="53"/>
        <v>0</v>
      </c>
      <c r="N161" s="14">
        <f t="shared" si="53"/>
        <v>0</v>
      </c>
      <c r="O161" s="14">
        <f t="shared" si="53"/>
        <v>0</v>
      </c>
      <c r="P161" s="14"/>
    </row>
    <row r="162" spans="1:18" x14ac:dyDescent="0.25">
      <c r="A162" s="15" t="s">
        <v>40</v>
      </c>
      <c r="C162" s="28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4">
        <f>SUM(D162:O162)</f>
        <v>0</v>
      </c>
      <c r="Q162" s="17">
        <f>SUM(D162:J162)</f>
        <v>0</v>
      </c>
      <c r="R162" s="14">
        <f>P162-Q162</f>
        <v>0</v>
      </c>
    </row>
    <row r="163" spans="1:18" x14ac:dyDescent="0.25">
      <c r="A163" s="15" t="s">
        <v>40</v>
      </c>
      <c r="C163" s="28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4">
        <f>SUM(D163:O163)</f>
        <v>0</v>
      </c>
      <c r="Q163" s="17">
        <f>SUM(D163:J163)</f>
        <v>0</v>
      </c>
      <c r="R163" s="14">
        <f>P163-Q163</f>
        <v>0</v>
      </c>
    </row>
    <row r="164" spans="1:18" x14ac:dyDescent="0.25">
      <c r="A164" s="15" t="s">
        <v>40</v>
      </c>
      <c r="C164" s="28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4">
        <f>SUM(D164:O164)</f>
        <v>0</v>
      </c>
      <c r="Q164" s="17">
        <f>SUM(D164:J164)</f>
        <v>0</v>
      </c>
      <c r="R164" s="14">
        <f>P164-Q164</f>
        <v>0</v>
      </c>
    </row>
    <row r="165" spans="1:18" x14ac:dyDescent="0.25">
      <c r="A165" s="27" t="s">
        <v>28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16">
        <f>SUM(D165:O165)</f>
        <v>0</v>
      </c>
      <c r="Q165" s="25">
        <f>SUM(D165:J165)</f>
        <v>0</v>
      </c>
      <c r="R165" s="16">
        <f>P165-Q165</f>
        <v>0</v>
      </c>
    </row>
    <row r="166" spans="1:18" ht="3.9" customHeight="1" x14ac:dyDescent="0.2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x14ac:dyDescent="0.25">
      <c r="A167" s="26" t="s">
        <v>111</v>
      </c>
      <c r="C167" s="14">
        <f t="shared" ref="C167:O167" si="54">SUM(C161:C166)</f>
        <v>0</v>
      </c>
      <c r="D167" s="14">
        <f t="shared" si="54"/>
        <v>0</v>
      </c>
      <c r="E167" s="14">
        <f t="shared" si="54"/>
        <v>0</v>
      </c>
      <c r="F167" s="14">
        <f t="shared" si="54"/>
        <v>0</v>
      </c>
      <c r="G167" s="14">
        <f t="shared" si="54"/>
        <v>0</v>
      </c>
      <c r="H167" s="14">
        <f t="shared" si="54"/>
        <v>0</v>
      </c>
      <c r="I167" s="14">
        <f t="shared" si="54"/>
        <v>0</v>
      </c>
      <c r="J167" s="14">
        <f t="shared" si="54"/>
        <v>0</v>
      </c>
      <c r="K167" s="14">
        <f t="shared" si="54"/>
        <v>0</v>
      </c>
      <c r="L167" s="14">
        <f t="shared" si="54"/>
        <v>0</v>
      </c>
      <c r="M167" s="14">
        <f t="shared" si="54"/>
        <v>0</v>
      </c>
      <c r="N167" s="14">
        <f t="shared" si="54"/>
        <v>0</v>
      </c>
      <c r="O167" s="14">
        <f t="shared" si="54"/>
        <v>0</v>
      </c>
      <c r="P167" s="14"/>
    </row>
    <row r="168" spans="1:18" ht="3.9" customHeight="1" x14ac:dyDescent="0.25"/>
    <row r="169" spans="1:18" x14ac:dyDescent="0.25">
      <c r="A169" s="27" t="s">
        <v>30</v>
      </c>
      <c r="D169" s="14">
        <f t="shared" ref="D169:O169" si="55">D167-C167</f>
        <v>0</v>
      </c>
      <c r="E169" s="14">
        <f t="shared" si="55"/>
        <v>0</v>
      </c>
      <c r="F169" s="14">
        <f t="shared" si="55"/>
        <v>0</v>
      </c>
      <c r="G169" s="14">
        <f t="shared" si="55"/>
        <v>0</v>
      </c>
      <c r="H169" s="14">
        <f t="shared" si="55"/>
        <v>0</v>
      </c>
      <c r="I169" s="14">
        <f t="shared" si="55"/>
        <v>0</v>
      </c>
      <c r="J169" s="14">
        <f t="shared" si="55"/>
        <v>0</v>
      </c>
      <c r="K169" s="14">
        <f t="shared" si="55"/>
        <v>0</v>
      </c>
      <c r="L169" s="14">
        <f t="shared" si="55"/>
        <v>0</v>
      </c>
      <c r="M169" s="14">
        <f t="shared" si="55"/>
        <v>0</v>
      </c>
      <c r="N169" s="14">
        <f t="shared" si="55"/>
        <v>0</v>
      </c>
      <c r="O169" s="14">
        <f t="shared" si="55"/>
        <v>0</v>
      </c>
      <c r="P169" s="14">
        <f>SUM(D169:O169)</f>
        <v>0</v>
      </c>
      <c r="Q169" s="14">
        <f>SUM(Q162:Q166)</f>
        <v>0</v>
      </c>
      <c r="R169" s="14">
        <f>P169-Q169</f>
        <v>0</v>
      </c>
    </row>
    <row r="171" spans="1:18" x14ac:dyDescent="0.25">
      <c r="A171" s="26" t="s">
        <v>112</v>
      </c>
      <c r="D171" s="14">
        <f t="shared" ref="D171:O171" si="56">C177</f>
        <v>0</v>
      </c>
      <c r="E171" s="14">
        <f t="shared" si="56"/>
        <v>128</v>
      </c>
      <c r="F171" s="14">
        <f t="shared" si="56"/>
        <v>128</v>
      </c>
      <c r="G171" s="14">
        <f t="shared" si="56"/>
        <v>128</v>
      </c>
      <c r="H171" s="14">
        <f t="shared" si="56"/>
        <v>86</v>
      </c>
      <c r="I171" s="14">
        <f t="shared" si="56"/>
        <v>10987</v>
      </c>
      <c r="J171" s="14">
        <f t="shared" si="56"/>
        <v>15539</v>
      </c>
      <c r="K171" s="14">
        <f t="shared" si="56"/>
        <v>14193</v>
      </c>
      <c r="L171" s="14">
        <f t="shared" si="56"/>
        <v>14193</v>
      </c>
      <c r="M171" s="14">
        <f t="shared" si="56"/>
        <v>14193</v>
      </c>
      <c r="N171" s="14">
        <f t="shared" si="56"/>
        <v>14193</v>
      </c>
      <c r="O171" s="14">
        <f t="shared" si="56"/>
        <v>14193</v>
      </c>
    </row>
    <row r="172" spans="1:18" x14ac:dyDescent="0.25">
      <c r="A172" s="27" t="s">
        <v>113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10912</v>
      </c>
      <c r="I172" s="17">
        <v>10428</v>
      </c>
      <c r="J172" s="17">
        <v>-1333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4">
        <f>SUM(D172:O172)</f>
        <v>20007</v>
      </c>
      <c r="Q172" s="17">
        <f>SUM(D172:J172)</f>
        <v>20007</v>
      </c>
      <c r="R172" s="14">
        <f>P172-Q172</f>
        <v>0</v>
      </c>
    </row>
    <row r="173" spans="1:18" x14ac:dyDescent="0.25">
      <c r="A173" s="27" t="s">
        <v>114</v>
      </c>
      <c r="C173" s="17">
        <v>0</v>
      </c>
      <c r="D173" s="17">
        <v>128</v>
      </c>
      <c r="E173" s="17">
        <v>0</v>
      </c>
      <c r="F173" s="17">
        <v>0</v>
      </c>
      <c r="G173" s="17">
        <v>-42</v>
      </c>
      <c r="H173" s="17">
        <v>-11</v>
      </c>
      <c r="I173" s="17">
        <v>-5940</v>
      </c>
      <c r="J173" s="17">
        <v>-13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  <c r="P173" s="14">
        <f>SUM(D173:O173)</f>
        <v>-5878</v>
      </c>
      <c r="Q173" s="17">
        <f>SUM(D173:J173)</f>
        <v>-5878</v>
      </c>
      <c r="R173" s="14">
        <f>P173-Q173</f>
        <v>0</v>
      </c>
    </row>
    <row r="174" spans="1:18" x14ac:dyDescent="0.25">
      <c r="A174" s="15" t="s">
        <v>40</v>
      </c>
      <c r="C174" s="17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64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  <c r="P174" s="14">
        <f>SUM(D174:O174)</f>
        <v>64</v>
      </c>
      <c r="Q174" s="17">
        <f>SUM(D174:J174)</f>
        <v>64</v>
      </c>
      <c r="R174" s="14">
        <f>P174-Q174</f>
        <v>0</v>
      </c>
    </row>
    <row r="175" spans="1:18" x14ac:dyDescent="0.25">
      <c r="A175" s="27" t="s">
        <v>28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16">
        <f>SUM(D175:O175)</f>
        <v>0</v>
      </c>
      <c r="Q175" s="25">
        <f>SUM(D175:J175)</f>
        <v>0</v>
      </c>
      <c r="R175" s="16">
        <f>P175-Q175</f>
        <v>0</v>
      </c>
    </row>
    <row r="176" spans="1:18" ht="3.9" customHeight="1" x14ac:dyDescent="0.2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23" x14ac:dyDescent="0.25">
      <c r="A177" s="26" t="s">
        <v>115</v>
      </c>
      <c r="C177" s="14">
        <f t="shared" ref="C177:O177" si="57">SUM(C171:C176)</f>
        <v>0</v>
      </c>
      <c r="D177" s="14">
        <f t="shared" si="57"/>
        <v>128</v>
      </c>
      <c r="E177" s="14">
        <f t="shared" si="57"/>
        <v>128</v>
      </c>
      <c r="F177" s="14">
        <f t="shared" si="57"/>
        <v>128</v>
      </c>
      <c r="G177" s="14">
        <f t="shared" si="57"/>
        <v>86</v>
      </c>
      <c r="H177" s="14">
        <f t="shared" si="57"/>
        <v>10987</v>
      </c>
      <c r="I177" s="14">
        <f t="shared" si="57"/>
        <v>15539</v>
      </c>
      <c r="J177" s="14">
        <f t="shared" si="57"/>
        <v>14193</v>
      </c>
      <c r="K177" s="14">
        <f t="shared" si="57"/>
        <v>14193</v>
      </c>
      <c r="L177" s="14">
        <f t="shared" si="57"/>
        <v>14193</v>
      </c>
      <c r="M177" s="14">
        <f t="shared" si="57"/>
        <v>14193</v>
      </c>
      <c r="N177" s="14">
        <f t="shared" si="57"/>
        <v>14193</v>
      </c>
      <c r="O177" s="14">
        <f t="shared" si="57"/>
        <v>14193</v>
      </c>
      <c r="P177" s="14"/>
    </row>
    <row r="178" spans="1:23" ht="3.9" customHeight="1" x14ac:dyDescent="0.25"/>
    <row r="179" spans="1:23" x14ac:dyDescent="0.25">
      <c r="A179" s="27" t="s">
        <v>30</v>
      </c>
      <c r="C179" s="14"/>
      <c r="D179" s="14">
        <f t="shared" ref="D179:O179" si="58">D177-C177</f>
        <v>128</v>
      </c>
      <c r="E179" s="14">
        <f t="shared" si="58"/>
        <v>0</v>
      </c>
      <c r="F179" s="14">
        <f t="shared" si="58"/>
        <v>0</v>
      </c>
      <c r="G179" s="14">
        <f t="shared" si="58"/>
        <v>-42</v>
      </c>
      <c r="H179" s="14">
        <f t="shared" si="58"/>
        <v>10901</v>
      </c>
      <c r="I179" s="14">
        <f t="shared" si="58"/>
        <v>4552</v>
      </c>
      <c r="J179" s="14">
        <f t="shared" si="58"/>
        <v>-1346</v>
      </c>
      <c r="K179" s="14">
        <f t="shared" si="58"/>
        <v>0</v>
      </c>
      <c r="L179" s="14">
        <f t="shared" si="58"/>
        <v>0</v>
      </c>
      <c r="M179" s="14">
        <f t="shared" si="58"/>
        <v>0</v>
      </c>
      <c r="N179" s="14">
        <f t="shared" si="58"/>
        <v>0</v>
      </c>
      <c r="O179" s="14">
        <f t="shared" si="58"/>
        <v>0</v>
      </c>
      <c r="P179" s="14">
        <f>SUM(D179:O179)</f>
        <v>14193</v>
      </c>
      <c r="Q179" s="14">
        <f>SUM(Q172:Q176)</f>
        <v>14193</v>
      </c>
      <c r="R179" s="14">
        <f>P179-Q179</f>
        <v>0</v>
      </c>
    </row>
    <row r="180" spans="1:23" ht="8.1" customHeight="1" x14ac:dyDescent="0.25"/>
    <row r="181" spans="1:23" x14ac:dyDescent="0.25">
      <c r="U181" s="12" t="s">
        <v>116</v>
      </c>
    </row>
    <row r="182" spans="1:23" x14ac:dyDescent="0.25">
      <c r="A182" s="26" t="s">
        <v>117</v>
      </c>
      <c r="D182" s="14">
        <f t="shared" ref="D182:O182" si="59">C226</f>
        <v>79054</v>
      </c>
      <c r="E182" s="14">
        <f t="shared" si="59"/>
        <v>78591</v>
      </c>
      <c r="F182" s="14">
        <f t="shared" si="59"/>
        <v>78162</v>
      </c>
      <c r="G182" s="14">
        <f t="shared" si="59"/>
        <v>77693</v>
      </c>
      <c r="H182" s="14">
        <f t="shared" si="59"/>
        <v>77224</v>
      </c>
      <c r="I182" s="14">
        <f t="shared" si="59"/>
        <v>76755</v>
      </c>
      <c r="J182" s="14">
        <f t="shared" si="59"/>
        <v>76288</v>
      </c>
      <c r="K182" s="14">
        <f t="shared" si="59"/>
        <v>75860</v>
      </c>
      <c r="L182" s="14">
        <f t="shared" si="59"/>
        <v>75408</v>
      </c>
      <c r="M182" s="14">
        <f t="shared" si="59"/>
        <v>74947</v>
      </c>
      <c r="N182" s="14">
        <f t="shared" si="59"/>
        <v>74479</v>
      </c>
      <c r="O182" s="14">
        <f t="shared" si="59"/>
        <v>74017</v>
      </c>
      <c r="U182" s="13" t="s">
        <v>118</v>
      </c>
    </row>
    <row r="183" spans="1:23" x14ac:dyDescent="0.25">
      <c r="A183" s="27" t="s">
        <v>119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4">
        <f t="shared" ref="P183:P224" si="60">SUM(D183:O183)</f>
        <v>0</v>
      </c>
      <c r="Q183" s="17">
        <f t="shared" ref="Q183:Q224" si="61">SUM(D183:J183)</f>
        <v>0</v>
      </c>
      <c r="R183" s="14">
        <f t="shared" ref="R183:R199" si="62">P183-Q183</f>
        <v>0</v>
      </c>
      <c r="T183" s="17">
        <f>SUM(C183:J183)</f>
        <v>0</v>
      </c>
      <c r="U183" s="14"/>
      <c r="W183" s="19"/>
    </row>
    <row r="184" spans="1:23" x14ac:dyDescent="0.25">
      <c r="A184" s="27" t="s">
        <v>120</v>
      </c>
      <c r="B184" s="18" t="s">
        <v>34</v>
      </c>
      <c r="C184" s="17">
        <v>46204</v>
      </c>
      <c r="D184" s="153">
        <f>[1]Source!D31</f>
        <v>-50</v>
      </c>
      <c r="E184" s="153">
        <f>[1]Source!E31</f>
        <v>-50</v>
      </c>
      <c r="F184" s="28">
        <f>[1]Source!F31-1</f>
        <v>-51</v>
      </c>
      <c r="G184" s="153">
        <f>[1]Source!G31</f>
        <v>-50</v>
      </c>
      <c r="H184" s="28">
        <f>[1]Source!H31+1</f>
        <v>-49</v>
      </c>
      <c r="I184" s="28">
        <f>[1]Source!I31-1</f>
        <v>-51</v>
      </c>
      <c r="J184" s="153">
        <f>[1]Source!J31</f>
        <v>-50</v>
      </c>
      <c r="K184" s="153">
        <f>[1]Source!K31</f>
        <v>-50</v>
      </c>
      <c r="L184" s="153">
        <f>[1]Source!L31</f>
        <v>-50</v>
      </c>
      <c r="M184" s="153">
        <f>[1]Source!M31</f>
        <v>-50</v>
      </c>
      <c r="N184" s="153">
        <f>[1]Source!N31</f>
        <v>-50</v>
      </c>
      <c r="O184" s="153">
        <f>[1]Source!O31</f>
        <v>-50</v>
      </c>
      <c r="P184" s="14">
        <f t="shared" si="60"/>
        <v>-601</v>
      </c>
      <c r="Q184" s="17">
        <f t="shared" si="61"/>
        <v>-351</v>
      </c>
      <c r="R184" s="14">
        <f t="shared" si="62"/>
        <v>-250</v>
      </c>
      <c r="T184" s="17">
        <f t="shared" ref="T184:T224" si="63">SUM(C184:J184)</f>
        <v>45853</v>
      </c>
      <c r="U184" s="14">
        <f>SUM(T183:T184)</f>
        <v>45853</v>
      </c>
      <c r="W184" s="19"/>
    </row>
    <row r="185" spans="1:23" x14ac:dyDescent="0.25">
      <c r="A185" s="27" t="s">
        <v>121</v>
      </c>
      <c r="B185" s="18" t="s">
        <v>34</v>
      </c>
      <c r="C185" s="17">
        <v>0</v>
      </c>
      <c r="D185" s="153">
        <f>[1]Source!D58</f>
        <v>7</v>
      </c>
      <c r="E185" s="14">
        <f>[1]Source!E58</f>
        <v>7</v>
      </c>
      <c r="F185" s="14">
        <f>[1]Source!F58</f>
        <v>5</v>
      </c>
      <c r="G185" s="14">
        <f>[1]Source!G58</f>
        <v>5</v>
      </c>
      <c r="H185" s="28">
        <f>[1]Source!H58+1</f>
        <v>5</v>
      </c>
      <c r="I185" s="153">
        <f>[1]Source!I58</f>
        <v>7</v>
      </c>
      <c r="J185" s="153">
        <f>[1]Source!J58</f>
        <v>23</v>
      </c>
      <c r="K185" s="153">
        <f>[1]Source!K58</f>
        <v>21</v>
      </c>
      <c r="L185" s="153">
        <f>[1]Source!L58</f>
        <v>8</v>
      </c>
      <c r="M185" s="153">
        <f>[1]Source!M58</f>
        <v>5</v>
      </c>
      <c r="N185" s="153">
        <f>[1]Source!N58</f>
        <v>8</v>
      </c>
      <c r="O185" s="153">
        <f>[1]Source!O58</f>
        <v>8</v>
      </c>
      <c r="P185" s="14">
        <f t="shared" si="60"/>
        <v>109</v>
      </c>
      <c r="Q185" s="17">
        <f t="shared" si="61"/>
        <v>59</v>
      </c>
      <c r="R185" s="14">
        <f t="shared" si="62"/>
        <v>50</v>
      </c>
      <c r="T185" s="17">
        <f t="shared" si="63"/>
        <v>59</v>
      </c>
      <c r="U185" s="14"/>
      <c r="W185" s="19"/>
    </row>
    <row r="186" spans="1:23" x14ac:dyDescent="0.25">
      <c r="A186" s="27" t="s">
        <v>120</v>
      </c>
      <c r="B186" s="18" t="s">
        <v>34</v>
      </c>
      <c r="C186" s="17">
        <v>7062</v>
      </c>
      <c r="D186" s="153">
        <f>[1]Source!D59</f>
        <v>-7</v>
      </c>
      <c r="E186" s="153">
        <f>[1]Source!E59</f>
        <v>-7</v>
      </c>
      <c r="F186" s="153">
        <f>[1]Source!F59</f>
        <v>-7</v>
      </c>
      <c r="G186" s="153">
        <f>[1]Source!G59</f>
        <v>-8</v>
      </c>
      <c r="H186" s="153">
        <f>[1]Source!H59</f>
        <v>-7</v>
      </c>
      <c r="I186" s="153">
        <f>[1]Source!I59</f>
        <v>-7</v>
      </c>
      <c r="J186" s="28">
        <f>[1]Source!J59-1</f>
        <v>-8</v>
      </c>
      <c r="K186" s="153">
        <f>[1]Source!K59</f>
        <v>-7</v>
      </c>
      <c r="L186" s="153">
        <f>[1]Source!L59</f>
        <v>-7</v>
      </c>
      <c r="M186" s="153">
        <f>[1]Source!M59</f>
        <v>-7</v>
      </c>
      <c r="N186" s="153">
        <f>[1]Source!N59</f>
        <v>-7</v>
      </c>
      <c r="O186" s="153">
        <f>[1]Source!O59</f>
        <v>-7</v>
      </c>
      <c r="P186" s="14">
        <f t="shared" si="60"/>
        <v>-86</v>
      </c>
      <c r="Q186" s="17">
        <f t="shared" si="61"/>
        <v>-51</v>
      </c>
      <c r="R186" s="14">
        <f t="shared" si="62"/>
        <v>-35</v>
      </c>
      <c r="T186" s="17">
        <f t="shared" si="63"/>
        <v>7011</v>
      </c>
      <c r="U186" s="14">
        <f>SUM(T185:T186)</f>
        <v>7070</v>
      </c>
      <c r="W186" s="19"/>
    </row>
    <row r="187" spans="1:23" x14ac:dyDescent="0.25">
      <c r="A187" s="27" t="s">
        <v>122</v>
      </c>
      <c r="C187" s="17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4">
        <f t="shared" si="60"/>
        <v>0</v>
      </c>
      <c r="Q187" s="17">
        <f t="shared" si="61"/>
        <v>0</v>
      </c>
      <c r="R187" s="14">
        <f t="shared" si="62"/>
        <v>0</v>
      </c>
      <c r="T187" s="17">
        <f t="shared" si="63"/>
        <v>0</v>
      </c>
      <c r="U187" s="14"/>
      <c r="W187" s="19"/>
    </row>
    <row r="188" spans="1:23" x14ac:dyDescent="0.25">
      <c r="A188" s="27" t="s">
        <v>120</v>
      </c>
      <c r="B188" s="18" t="s">
        <v>34</v>
      </c>
      <c r="C188" s="17">
        <v>2832</v>
      </c>
      <c r="D188" s="153">
        <f>[1]Source!D30</f>
        <v>-4</v>
      </c>
      <c r="E188" s="28">
        <f>[1]Source!E30-1</f>
        <v>-5</v>
      </c>
      <c r="F188" s="153">
        <f>[1]Source!F30</f>
        <v>-4</v>
      </c>
      <c r="G188" s="153">
        <f>[1]Source!G30</f>
        <v>-4</v>
      </c>
      <c r="H188" s="153">
        <f>[1]Source!H30</f>
        <v>-4</v>
      </c>
      <c r="I188" s="153">
        <f>[1]Source!I30</f>
        <v>-4</v>
      </c>
      <c r="J188" s="153">
        <f>[1]Source!J30</f>
        <v>-4</v>
      </c>
      <c r="K188" s="153">
        <f>[1]Source!K30</f>
        <v>-4</v>
      </c>
      <c r="L188" s="153">
        <f>[1]Source!L30</f>
        <v>-4</v>
      </c>
      <c r="M188" s="153">
        <f>[1]Source!M30</f>
        <v>-4</v>
      </c>
      <c r="N188" s="153">
        <f>[1]Source!N30</f>
        <v>-4</v>
      </c>
      <c r="O188" s="153">
        <f>[1]Source!O30</f>
        <v>-4</v>
      </c>
      <c r="P188" s="14">
        <f t="shared" si="60"/>
        <v>-49</v>
      </c>
      <c r="Q188" s="17">
        <f t="shared" si="61"/>
        <v>-29</v>
      </c>
      <c r="R188" s="14">
        <f t="shared" si="62"/>
        <v>-20</v>
      </c>
      <c r="T188" s="17">
        <f t="shared" si="63"/>
        <v>2803</v>
      </c>
      <c r="U188" s="14">
        <f>SUM(T187:T188)</f>
        <v>2803</v>
      </c>
      <c r="W188" s="19"/>
    </row>
    <row r="189" spans="1:23" x14ac:dyDescent="0.25">
      <c r="A189" s="27" t="s">
        <v>123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4">
        <f t="shared" si="60"/>
        <v>0</v>
      </c>
      <c r="Q189" s="17">
        <f t="shared" si="61"/>
        <v>0</v>
      </c>
      <c r="R189" s="14">
        <f t="shared" si="62"/>
        <v>0</v>
      </c>
      <c r="T189" s="17">
        <f t="shared" si="63"/>
        <v>0</v>
      </c>
      <c r="U189" s="14"/>
      <c r="W189" s="19"/>
    </row>
    <row r="190" spans="1:23" x14ac:dyDescent="0.25">
      <c r="A190" s="27" t="s">
        <v>120</v>
      </c>
      <c r="B190" s="18" t="s">
        <v>34</v>
      </c>
      <c r="C190" s="17">
        <v>1670</v>
      </c>
      <c r="D190" s="153">
        <f>[1]Source!D17</f>
        <v>-30</v>
      </c>
      <c r="E190" s="153">
        <f>[1]Source!E17</f>
        <v>-30</v>
      </c>
      <c r="F190" s="28">
        <f>[1]Source!F17+1</f>
        <v>-30</v>
      </c>
      <c r="G190" s="153">
        <f>[1]Source!G17</f>
        <v>-30</v>
      </c>
      <c r="H190" s="28">
        <f>[1]Source!H17-1</f>
        <v>-31</v>
      </c>
      <c r="I190" s="14">
        <f>[1]Source!I17</f>
        <v>-30</v>
      </c>
      <c r="J190" s="153">
        <f>[1]Source!J17</f>
        <v>-30</v>
      </c>
      <c r="K190" s="153">
        <f>[1]Source!K17</f>
        <v>-30</v>
      </c>
      <c r="L190" s="153">
        <f>[1]Source!L17</f>
        <v>-30</v>
      </c>
      <c r="M190" s="153">
        <f>[1]Source!M17</f>
        <v>-30</v>
      </c>
      <c r="N190" s="153">
        <f>[1]Source!N17</f>
        <v>-30</v>
      </c>
      <c r="O190" s="153">
        <f>[1]Source!O17</f>
        <v>-30</v>
      </c>
      <c r="P190" s="14">
        <f t="shared" si="60"/>
        <v>-361</v>
      </c>
      <c r="Q190" s="17">
        <f t="shared" si="61"/>
        <v>-211</v>
      </c>
      <c r="R190" s="14">
        <f t="shared" si="62"/>
        <v>-150</v>
      </c>
      <c r="T190" s="17">
        <f t="shared" si="63"/>
        <v>1459</v>
      </c>
      <c r="U190" s="14">
        <f>SUM(T189:T190)</f>
        <v>1459</v>
      </c>
      <c r="W190" s="19"/>
    </row>
    <row r="191" spans="1:23" x14ac:dyDescent="0.25">
      <c r="A191" s="27" t="s">
        <v>124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22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4">
        <f t="shared" si="60"/>
        <v>22</v>
      </c>
      <c r="Q191" s="17">
        <f t="shared" si="61"/>
        <v>22</v>
      </c>
      <c r="R191" s="14">
        <f t="shared" si="62"/>
        <v>0</v>
      </c>
      <c r="T191" s="17">
        <f t="shared" si="63"/>
        <v>22</v>
      </c>
      <c r="U191" s="14"/>
      <c r="W191" s="19"/>
    </row>
    <row r="192" spans="1:23" x14ac:dyDescent="0.25">
      <c r="A192" s="27" t="s">
        <v>120</v>
      </c>
      <c r="B192" s="18" t="s">
        <v>34</v>
      </c>
      <c r="C192" s="17">
        <v>2496</v>
      </c>
      <c r="D192" s="153">
        <f>[1]Source!D18</f>
        <v>-42</v>
      </c>
      <c r="E192" s="153">
        <f>[1]Source!E18</f>
        <v>-42</v>
      </c>
      <c r="F192" s="153">
        <f>[1]Source!F18</f>
        <v>-42</v>
      </c>
      <c r="G192" s="153">
        <f>[1]Source!G18</f>
        <v>-42</v>
      </c>
      <c r="H192" s="153">
        <f>[1]Source!H18</f>
        <v>-42</v>
      </c>
      <c r="I192" s="153">
        <f>[1]Source!I18</f>
        <v>-42</v>
      </c>
      <c r="J192" s="153">
        <f>[1]Source!J18</f>
        <v>-42</v>
      </c>
      <c r="K192" s="153">
        <f>[1]Source!K18</f>
        <v>-43</v>
      </c>
      <c r="L192" s="153">
        <f>[1]Source!L18</f>
        <v>-42</v>
      </c>
      <c r="M192" s="153">
        <f>[1]Source!M18</f>
        <v>-43</v>
      </c>
      <c r="N192" s="153">
        <f>[1]Source!N18</f>
        <v>-43</v>
      </c>
      <c r="O192" s="153">
        <f>[1]Source!O18</f>
        <v>-43</v>
      </c>
      <c r="P192" s="14">
        <f t="shared" si="60"/>
        <v>-508</v>
      </c>
      <c r="Q192" s="17">
        <f t="shared" si="61"/>
        <v>-294</v>
      </c>
      <c r="R192" s="14">
        <f t="shared" si="62"/>
        <v>-214</v>
      </c>
      <c r="T192" s="17">
        <f t="shared" si="63"/>
        <v>2202</v>
      </c>
      <c r="U192" s="14">
        <f>SUM(T191:T192)</f>
        <v>2224</v>
      </c>
      <c r="W192" s="19"/>
    </row>
    <row r="193" spans="1:23" x14ac:dyDescent="0.25">
      <c r="A193" s="27" t="s">
        <v>125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4">
        <f t="shared" si="60"/>
        <v>0</v>
      </c>
      <c r="Q193" s="17">
        <f t="shared" si="61"/>
        <v>0</v>
      </c>
      <c r="R193" s="14">
        <f t="shared" si="62"/>
        <v>0</v>
      </c>
      <c r="T193" s="17">
        <f t="shared" si="63"/>
        <v>0</v>
      </c>
      <c r="U193" s="14"/>
      <c r="W193" s="19"/>
    </row>
    <row r="194" spans="1:23" x14ac:dyDescent="0.25">
      <c r="A194" s="27" t="s">
        <v>120</v>
      </c>
      <c r="B194" s="18" t="s">
        <v>34</v>
      </c>
      <c r="C194" s="17">
        <v>608</v>
      </c>
      <c r="D194" s="28">
        <f>[1]Source!D19-1</f>
        <v>-11</v>
      </c>
      <c r="E194" s="153">
        <f>[1]Source!E19</f>
        <v>-10</v>
      </c>
      <c r="F194" s="28">
        <f>[1]Source!F19-1</f>
        <v>-11</v>
      </c>
      <c r="G194" s="153">
        <f>[1]Source!G19</f>
        <v>-10</v>
      </c>
      <c r="H194" s="28">
        <f>[1]Source!H19-1</f>
        <v>-11</v>
      </c>
      <c r="I194" s="153">
        <f>[1]Source!I19</f>
        <v>-10</v>
      </c>
      <c r="J194" s="28">
        <f>[1]Source!J19-1</f>
        <v>-11</v>
      </c>
      <c r="K194" s="153">
        <f>[1]Source!K19</f>
        <v>-10</v>
      </c>
      <c r="L194" s="153">
        <f>[1]Source!L19</f>
        <v>-11</v>
      </c>
      <c r="M194" s="153">
        <f>[1]Source!M19</f>
        <v>-10</v>
      </c>
      <c r="N194" s="153">
        <f>[1]Source!N19</f>
        <v>-11</v>
      </c>
      <c r="O194" s="153">
        <f>[1]Source!O19</f>
        <v>-10</v>
      </c>
      <c r="P194" s="14">
        <f t="shared" si="60"/>
        <v>-126</v>
      </c>
      <c r="Q194" s="17">
        <f t="shared" si="61"/>
        <v>-74</v>
      </c>
      <c r="R194" s="14">
        <f t="shared" si="62"/>
        <v>-52</v>
      </c>
      <c r="T194" s="17">
        <f t="shared" si="63"/>
        <v>534</v>
      </c>
      <c r="U194" s="14">
        <f>SUM(T193:T194)</f>
        <v>534</v>
      </c>
      <c r="W194" s="19"/>
    </row>
    <row r="195" spans="1:23" x14ac:dyDescent="0.25">
      <c r="A195" s="27" t="s">
        <v>126</v>
      </c>
      <c r="C195" s="17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4">
        <f t="shared" si="60"/>
        <v>0</v>
      </c>
      <c r="Q195" s="17">
        <f t="shared" si="61"/>
        <v>0</v>
      </c>
      <c r="R195" s="14">
        <f t="shared" si="62"/>
        <v>0</v>
      </c>
      <c r="T195" s="17">
        <f t="shared" si="63"/>
        <v>0</v>
      </c>
      <c r="U195" s="14"/>
      <c r="W195" s="19"/>
    </row>
    <row r="196" spans="1:23" x14ac:dyDescent="0.25">
      <c r="A196" s="27" t="s">
        <v>120</v>
      </c>
      <c r="B196" s="18" t="s">
        <v>34</v>
      </c>
      <c r="C196" s="17">
        <v>1826</v>
      </c>
      <c r="D196" s="153">
        <f>[1]Source!D20</f>
        <v>-31</v>
      </c>
      <c r="E196" s="28">
        <f>[1]Source!E20-1</f>
        <v>-32</v>
      </c>
      <c r="F196" s="153">
        <f>[1]Source!F20</f>
        <v>-31</v>
      </c>
      <c r="G196" s="28">
        <f>[1]Source!G20-1</f>
        <v>-32</v>
      </c>
      <c r="H196" s="153">
        <f>[1]Source!H20</f>
        <v>-31</v>
      </c>
      <c r="I196" s="28">
        <f>[1]Source!I20-1</f>
        <v>-32</v>
      </c>
      <c r="J196" s="153">
        <f>[1]Source!J20</f>
        <v>-31</v>
      </c>
      <c r="K196" s="153">
        <f>[1]Source!K20</f>
        <v>-32</v>
      </c>
      <c r="L196" s="153">
        <f>[1]Source!L20</f>
        <v>-31</v>
      </c>
      <c r="M196" s="153">
        <f>[1]Source!M20</f>
        <v>-32</v>
      </c>
      <c r="N196" s="153">
        <f>[1]Source!N20</f>
        <v>-31</v>
      </c>
      <c r="O196" s="153">
        <f>[1]Source!O20</f>
        <v>-32</v>
      </c>
      <c r="P196" s="14">
        <f t="shared" si="60"/>
        <v>-378</v>
      </c>
      <c r="Q196" s="17">
        <f t="shared" si="61"/>
        <v>-220</v>
      </c>
      <c r="R196" s="14">
        <f t="shared" si="62"/>
        <v>-158</v>
      </c>
      <c r="T196" s="17">
        <f t="shared" si="63"/>
        <v>1606</v>
      </c>
      <c r="U196" s="14">
        <f>SUM(T195:T196)</f>
        <v>1606</v>
      </c>
      <c r="W196" s="19"/>
    </row>
    <row r="197" spans="1:23" x14ac:dyDescent="0.25">
      <c r="A197" s="27" t="s">
        <v>127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4">
        <f t="shared" si="60"/>
        <v>0</v>
      </c>
      <c r="Q197" s="17">
        <f t="shared" si="61"/>
        <v>0</v>
      </c>
      <c r="R197" s="14">
        <f t="shared" si="62"/>
        <v>0</v>
      </c>
      <c r="T197" s="17">
        <f t="shared" si="63"/>
        <v>0</v>
      </c>
      <c r="U197" s="14"/>
    </row>
    <row r="198" spans="1:23" x14ac:dyDescent="0.25">
      <c r="A198" s="27" t="s">
        <v>120</v>
      </c>
      <c r="B198" s="18" t="s">
        <v>34</v>
      </c>
      <c r="C198" s="17">
        <v>2595</v>
      </c>
      <c r="D198" s="153">
        <f>[1]Source!D21</f>
        <v>-45</v>
      </c>
      <c r="E198" s="28">
        <f>[1]Source!E21+1</f>
        <v>-44</v>
      </c>
      <c r="F198" s="153">
        <f>[1]Source!F21</f>
        <v>-45</v>
      </c>
      <c r="G198" s="153">
        <f>[1]Source!G21</f>
        <v>-45</v>
      </c>
      <c r="H198" s="153">
        <f>[1]Source!H21</f>
        <v>-45</v>
      </c>
      <c r="I198" s="28">
        <f>[1]Source!I21+1</f>
        <v>-44</v>
      </c>
      <c r="J198" s="153">
        <f>[1]Source!J21</f>
        <v>-45</v>
      </c>
      <c r="K198" s="153">
        <f>[1]Source!K21</f>
        <v>-45</v>
      </c>
      <c r="L198" s="153">
        <f>[1]Source!L21</f>
        <v>-45</v>
      </c>
      <c r="M198" s="153">
        <f>[1]Source!M21</f>
        <v>-45</v>
      </c>
      <c r="N198" s="153">
        <f>[1]Source!N21</f>
        <v>-44</v>
      </c>
      <c r="O198" s="153">
        <f>[1]Source!O21</f>
        <v>-45</v>
      </c>
      <c r="P198" s="14">
        <f t="shared" si="60"/>
        <v>-537</v>
      </c>
      <c r="Q198" s="17">
        <f t="shared" si="61"/>
        <v>-313</v>
      </c>
      <c r="R198" s="14">
        <f t="shared" si="62"/>
        <v>-224</v>
      </c>
      <c r="T198" s="17">
        <f t="shared" si="63"/>
        <v>2282</v>
      </c>
      <c r="U198" s="14">
        <f>SUM(T197:T198)</f>
        <v>2282</v>
      </c>
    </row>
    <row r="199" spans="1:23" x14ac:dyDescent="0.25">
      <c r="A199" s="27" t="s">
        <v>128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4">
        <f t="shared" si="60"/>
        <v>0</v>
      </c>
      <c r="Q199" s="17">
        <f t="shared" si="61"/>
        <v>0</v>
      </c>
      <c r="R199" s="14">
        <f t="shared" si="62"/>
        <v>0</v>
      </c>
      <c r="T199" s="17">
        <f t="shared" si="63"/>
        <v>0</v>
      </c>
      <c r="U199" s="14"/>
      <c r="W199" s="19"/>
    </row>
    <row r="200" spans="1:23" x14ac:dyDescent="0.25">
      <c r="A200" s="27" t="s">
        <v>120</v>
      </c>
      <c r="B200" s="18" t="s">
        <v>34</v>
      </c>
      <c r="C200" s="17">
        <v>3055</v>
      </c>
      <c r="D200" s="153">
        <f>[1]Source!D22</f>
        <v>-53</v>
      </c>
      <c r="E200" s="28">
        <f>[1]Source!E22+1</f>
        <v>-52</v>
      </c>
      <c r="F200" s="153">
        <f>[1]Source!F22</f>
        <v>-53</v>
      </c>
      <c r="G200" s="153">
        <f>[1]Source!G22</f>
        <v>-53</v>
      </c>
      <c r="H200" s="153">
        <f>[1]Source!H22</f>
        <v>-53</v>
      </c>
      <c r="I200" s="153">
        <f>[1]Source!I22</f>
        <v>-53</v>
      </c>
      <c r="J200" s="28">
        <f>[1]Source!J22+1</f>
        <v>-52</v>
      </c>
      <c r="K200" s="153">
        <f>[1]Source!K22</f>
        <v>-52</v>
      </c>
      <c r="L200" s="153">
        <f>[1]Source!L22</f>
        <v>-53</v>
      </c>
      <c r="M200" s="153">
        <f>[1]Source!M22</f>
        <v>-53</v>
      </c>
      <c r="N200" s="153">
        <f>[1]Source!N22</f>
        <v>-52</v>
      </c>
      <c r="O200" s="153">
        <f>[1]Source!O22</f>
        <v>-53</v>
      </c>
      <c r="P200" s="14">
        <f t="shared" si="60"/>
        <v>-632</v>
      </c>
      <c r="Q200" s="17">
        <f t="shared" si="61"/>
        <v>-369</v>
      </c>
      <c r="R200" s="14">
        <f t="shared" ref="R200:R224" si="64">P200-Q200</f>
        <v>-263</v>
      </c>
      <c r="T200" s="17">
        <f t="shared" si="63"/>
        <v>2686</v>
      </c>
      <c r="U200" s="14">
        <f>SUM(T199:T200)</f>
        <v>2686</v>
      </c>
      <c r="W200" s="19"/>
    </row>
    <row r="201" spans="1:23" x14ac:dyDescent="0.25">
      <c r="A201" s="27" t="s">
        <v>129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4">
        <f t="shared" si="60"/>
        <v>0</v>
      </c>
      <c r="Q201" s="17">
        <f t="shared" si="61"/>
        <v>0</v>
      </c>
      <c r="R201" s="14">
        <f t="shared" si="64"/>
        <v>0</v>
      </c>
      <c r="T201" s="17">
        <f t="shared" si="63"/>
        <v>0</v>
      </c>
      <c r="U201" s="14"/>
      <c r="W201" s="19"/>
    </row>
    <row r="202" spans="1:23" x14ac:dyDescent="0.25">
      <c r="A202" s="27" t="s">
        <v>120</v>
      </c>
      <c r="B202" s="18" t="s">
        <v>34</v>
      </c>
      <c r="C202" s="17">
        <v>619</v>
      </c>
      <c r="D202" s="28">
        <f>[1]Source!D23+1</f>
        <v>-10</v>
      </c>
      <c r="E202" s="153">
        <f>[1]Source!E23</f>
        <v>-11</v>
      </c>
      <c r="F202" s="153">
        <f>[1]Source!F23</f>
        <v>-11</v>
      </c>
      <c r="G202" s="28">
        <f>[1]Source!G23+1</f>
        <v>-10</v>
      </c>
      <c r="H202" s="28">
        <f>[1]Source!H23+1</f>
        <v>-10</v>
      </c>
      <c r="I202" s="153">
        <f>[1]Source!I23</f>
        <v>-11</v>
      </c>
      <c r="J202" s="153">
        <f>[1]Source!J23</f>
        <v>-11</v>
      </c>
      <c r="K202" s="153">
        <f>[1]Source!K23</f>
        <v>-11</v>
      </c>
      <c r="L202" s="153">
        <f>[1]Source!L23</f>
        <v>-10</v>
      </c>
      <c r="M202" s="153">
        <f>[1]Source!M23</f>
        <v>-11</v>
      </c>
      <c r="N202" s="153">
        <f>[1]Source!N23</f>
        <v>-11</v>
      </c>
      <c r="O202" s="153">
        <f>[1]Source!O23</f>
        <v>-10</v>
      </c>
      <c r="P202" s="14">
        <f t="shared" si="60"/>
        <v>-127</v>
      </c>
      <c r="Q202" s="17">
        <f t="shared" si="61"/>
        <v>-74</v>
      </c>
      <c r="R202" s="14">
        <f t="shared" si="64"/>
        <v>-53</v>
      </c>
      <c r="T202" s="17">
        <f t="shared" si="63"/>
        <v>545</v>
      </c>
      <c r="U202" s="14">
        <f>SUM(T201:T202)</f>
        <v>545</v>
      </c>
      <c r="W202" s="19"/>
    </row>
    <row r="203" spans="1:23" x14ac:dyDescent="0.25">
      <c r="A203" s="27" t="s">
        <v>130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4">
        <f t="shared" si="60"/>
        <v>0</v>
      </c>
      <c r="Q203" s="17">
        <f t="shared" si="61"/>
        <v>0</v>
      </c>
      <c r="R203" s="14">
        <f t="shared" si="64"/>
        <v>0</v>
      </c>
      <c r="T203" s="17">
        <f t="shared" si="63"/>
        <v>0</v>
      </c>
      <c r="U203" s="14"/>
      <c r="W203" s="19"/>
    </row>
    <row r="204" spans="1:23" x14ac:dyDescent="0.25">
      <c r="A204" s="27" t="s">
        <v>120</v>
      </c>
      <c r="B204" s="18" t="s">
        <v>34</v>
      </c>
      <c r="C204" s="17">
        <v>403</v>
      </c>
      <c r="D204" s="153">
        <f>[1]Source!D24</f>
        <v>-7</v>
      </c>
      <c r="E204" s="153">
        <f>[1]Source!E24</f>
        <v>-7</v>
      </c>
      <c r="F204" s="153">
        <f>[1]Source!F24</f>
        <v>-7</v>
      </c>
      <c r="G204" s="153">
        <f>[1]Source!G24</f>
        <v>-7</v>
      </c>
      <c r="H204" s="153">
        <f>[1]Source!H24</f>
        <v>-7</v>
      </c>
      <c r="I204" s="153">
        <f>[1]Source!I24</f>
        <v>-7</v>
      </c>
      <c r="J204" s="153">
        <f>[1]Source!J24</f>
        <v>-7</v>
      </c>
      <c r="K204" s="153">
        <f>[1]Source!K24</f>
        <v>-7</v>
      </c>
      <c r="L204" s="153">
        <f>[1]Source!L24</f>
        <v>-7</v>
      </c>
      <c r="M204" s="153">
        <f>[1]Source!M24</f>
        <v>-7</v>
      </c>
      <c r="N204" s="153">
        <f>[1]Source!N24</f>
        <v>-7</v>
      </c>
      <c r="O204" s="153">
        <f>[1]Source!O24</f>
        <v>-7</v>
      </c>
      <c r="P204" s="14">
        <f t="shared" si="60"/>
        <v>-84</v>
      </c>
      <c r="Q204" s="17">
        <f t="shared" si="61"/>
        <v>-49</v>
      </c>
      <c r="R204" s="14">
        <f t="shared" si="64"/>
        <v>-35</v>
      </c>
      <c r="T204" s="17">
        <f t="shared" si="63"/>
        <v>354</v>
      </c>
      <c r="U204" s="14">
        <f>SUM(T203:T204)</f>
        <v>354</v>
      </c>
      <c r="W204" s="19"/>
    </row>
    <row r="205" spans="1:23" x14ac:dyDescent="0.25">
      <c r="A205" s="27" t="s">
        <v>131</v>
      </c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4">
        <f t="shared" si="60"/>
        <v>0</v>
      </c>
      <c r="Q205" s="17">
        <f t="shared" si="61"/>
        <v>0</v>
      </c>
      <c r="R205" s="14">
        <f t="shared" si="64"/>
        <v>0</v>
      </c>
      <c r="T205" s="17">
        <f t="shared" si="63"/>
        <v>0</v>
      </c>
      <c r="U205" s="14"/>
    </row>
    <row r="206" spans="1:23" x14ac:dyDescent="0.25">
      <c r="A206" s="27" t="s">
        <v>132</v>
      </c>
      <c r="B206" s="18" t="s">
        <v>34</v>
      </c>
      <c r="C206" s="17">
        <v>1002</v>
      </c>
      <c r="D206" s="153">
        <f>[1]Source!D32</f>
        <v>-17</v>
      </c>
      <c r="E206" s="153">
        <f>[1]Source!E32</f>
        <v>17</v>
      </c>
      <c r="F206" s="28">
        <f>[1]Source!F32+31</f>
        <v>-21</v>
      </c>
      <c r="G206" s="28">
        <f>[1]Source!G32-3</f>
        <v>-20</v>
      </c>
      <c r="H206" s="28">
        <f>[1]Source!H32-4</f>
        <v>-21</v>
      </c>
      <c r="I206" s="28">
        <f>[1]Source!I32-3</f>
        <v>-21</v>
      </c>
      <c r="J206" s="28">
        <f>[1]Source!J32-3</f>
        <v>-20</v>
      </c>
      <c r="K206" s="153">
        <f>[1]Source!K32</f>
        <v>-18</v>
      </c>
      <c r="L206" s="153">
        <f>[1]Source!L32</f>
        <v>-17</v>
      </c>
      <c r="M206" s="153">
        <f>[1]Source!M32</f>
        <v>-17</v>
      </c>
      <c r="N206" s="153">
        <f>[1]Source!N32</f>
        <v>-18</v>
      </c>
      <c r="O206" s="153">
        <f>[1]Source!O32</f>
        <v>-18</v>
      </c>
      <c r="P206" s="14">
        <f t="shared" si="60"/>
        <v>-191</v>
      </c>
      <c r="Q206" s="17">
        <f t="shared" si="61"/>
        <v>-103</v>
      </c>
      <c r="R206" s="14">
        <f t="shared" si="64"/>
        <v>-88</v>
      </c>
      <c r="T206" s="17">
        <f t="shared" si="63"/>
        <v>899</v>
      </c>
      <c r="U206" s="14">
        <f>SUM(T205:T206)</f>
        <v>899</v>
      </c>
      <c r="W206" s="19"/>
    </row>
    <row r="207" spans="1:23" x14ac:dyDescent="0.25">
      <c r="A207" s="15" t="s">
        <v>40</v>
      </c>
      <c r="B207" s="18"/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4">
        <f t="shared" si="60"/>
        <v>0</v>
      </c>
      <c r="Q207" s="17">
        <f t="shared" si="61"/>
        <v>0</v>
      </c>
      <c r="R207" s="14">
        <f t="shared" si="64"/>
        <v>0</v>
      </c>
      <c r="T207" s="17">
        <f t="shared" si="63"/>
        <v>0</v>
      </c>
      <c r="U207" s="14">
        <f>T207</f>
        <v>0</v>
      </c>
      <c r="W207" s="19"/>
    </row>
    <row r="208" spans="1:23" x14ac:dyDescent="0.25">
      <c r="A208" s="27" t="s">
        <v>133</v>
      </c>
      <c r="B208" s="18" t="s">
        <v>34</v>
      </c>
      <c r="C208" s="17">
        <v>562</v>
      </c>
      <c r="D208" s="153">
        <f>[1]Source!D25</f>
        <v>-10</v>
      </c>
      <c r="E208" s="153">
        <f>[1]Source!E25</f>
        <v>-10</v>
      </c>
      <c r="F208" s="28">
        <f>[1]Source!F25+1</f>
        <v>-9</v>
      </c>
      <c r="G208" s="153">
        <f>[1]Source!G25</f>
        <v>-10</v>
      </c>
      <c r="H208" s="153">
        <f>[1]Source!H25</f>
        <v>-10</v>
      </c>
      <c r="I208" s="28">
        <f>[1]Source!I25+1</f>
        <v>-9</v>
      </c>
      <c r="J208" s="153">
        <f>[1]Source!J25</f>
        <v>-10</v>
      </c>
      <c r="K208" s="153">
        <f>[1]Source!K25</f>
        <v>-10</v>
      </c>
      <c r="L208" s="153">
        <f>[1]Source!L25</f>
        <v>-10</v>
      </c>
      <c r="M208" s="153">
        <f>[1]Source!M25</f>
        <v>-10</v>
      </c>
      <c r="N208" s="153">
        <f>[1]Source!N25</f>
        <v>-10</v>
      </c>
      <c r="O208" s="153">
        <f>[1]Source!O25</f>
        <v>-10</v>
      </c>
      <c r="P208" s="14">
        <f t="shared" si="60"/>
        <v>-118</v>
      </c>
      <c r="Q208" s="17">
        <f t="shared" si="61"/>
        <v>-68</v>
      </c>
      <c r="R208" s="14">
        <f t="shared" si="64"/>
        <v>-50</v>
      </c>
      <c r="T208" s="17">
        <f t="shared" si="63"/>
        <v>494</v>
      </c>
      <c r="U208" s="14"/>
      <c r="W208" s="19"/>
    </row>
    <row r="209" spans="1:23" x14ac:dyDescent="0.25">
      <c r="A209" s="27" t="s">
        <v>134</v>
      </c>
      <c r="B209" s="18"/>
      <c r="C209" s="17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</v>
      </c>
      <c r="N209" s="17">
        <v>0</v>
      </c>
      <c r="O209" s="17">
        <v>0</v>
      </c>
      <c r="P209" s="14">
        <f t="shared" si="60"/>
        <v>0</v>
      </c>
      <c r="Q209" s="17">
        <f t="shared" si="61"/>
        <v>0</v>
      </c>
      <c r="R209" s="14">
        <f t="shared" si="64"/>
        <v>0</v>
      </c>
      <c r="T209" s="17">
        <f t="shared" si="63"/>
        <v>0</v>
      </c>
      <c r="U209" s="14">
        <f>SUM(T208:T209)</f>
        <v>494</v>
      </c>
      <c r="W209" s="19"/>
    </row>
    <row r="210" spans="1:23" x14ac:dyDescent="0.25">
      <c r="A210" s="27" t="s">
        <v>135</v>
      </c>
      <c r="B210" s="18"/>
      <c r="C210" s="17">
        <v>409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4">
        <f t="shared" si="60"/>
        <v>0</v>
      </c>
      <c r="Q210" s="17">
        <f t="shared" si="61"/>
        <v>0</v>
      </c>
      <c r="R210" s="14">
        <f t="shared" si="64"/>
        <v>0</v>
      </c>
      <c r="T210" s="17">
        <f t="shared" si="63"/>
        <v>409</v>
      </c>
      <c r="U210" s="14">
        <f>T210</f>
        <v>409</v>
      </c>
      <c r="W210" s="19"/>
    </row>
    <row r="211" spans="1:23" x14ac:dyDescent="0.25">
      <c r="A211" s="27" t="s">
        <v>65</v>
      </c>
      <c r="B211" s="18" t="s">
        <v>34</v>
      </c>
      <c r="C211" s="199">
        <f>5009+4</f>
        <v>5013</v>
      </c>
      <c r="D211" s="153">
        <f>[1]Source!D28</f>
        <v>-107</v>
      </c>
      <c r="E211" s="28">
        <f>[1]Source!E28+1</f>
        <v>-107</v>
      </c>
      <c r="F211" s="153">
        <f>[1]Source!F28</f>
        <v>-107</v>
      </c>
      <c r="G211" s="153">
        <f>[1]Source!G28</f>
        <v>-107</v>
      </c>
      <c r="H211" s="28">
        <f>[1]Source!H28-1</f>
        <v>-108</v>
      </c>
      <c r="I211" s="153">
        <f>[1]Source!I28</f>
        <v>-107</v>
      </c>
      <c r="J211" s="153">
        <f>[1]Source!J28</f>
        <v>-107</v>
      </c>
      <c r="K211" s="153">
        <f>[1]Source!K28</f>
        <v>-107</v>
      </c>
      <c r="L211" s="153">
        <f>[1]Source!L28</f>
        <v>-107</v>
      </c>
      <c r="M211" s="153">
        <f>[1]Source!M28</f>
        <v>-107</v>
      </c>
      <c r="N211" s="153">
        <f>[1]Source!N28</f>
        <v>-107</v>
      </c>
      <c r="O211" s="153">
        <f>[1]Source!O28</f>
        <v>-107</v>
      </c>
      <c r="P211" s="14">
        <f>SUM(D211:O211)</f>
        <v>-1285</v>
      </c>
      <c r="Q211" s="17">
        <f t="shared" si="61"/>
        <v>-750</v>
      </c>
      <c r="R211" s="14">
        <f>P211-Q211</f>
        <v>-535</v>
      </c>
      <c r="T211" s="17">
        <f t="shared" si="63"/>
        <v>4263</v>
      </c>
      <c r="U211" s="14"/>
      <c r="W211" s="19"/>
    </row>
    <row r="212" spans="1:23" x14ac:dyDescent="0.25">
      <c r="A212" s="27" t="s">
        <v>136</v>
      </c>
      <c r="B212" s="162"/>
      <c r="C212" s="155">
        <v>114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4">
        <f>SUM(D212:O212)</f>
        <v>0</v>
      </c>
      <c r="Q212" s="17">
        <f t="shared" si="61"/>
        <v>0</v>
      </c>
      <c r="R212" s="14">
        <f>P212-Q212</f>
        <v>0</v>
      </c>
      <c r="T212" s="17">
        <f t="shared" si="63"/>
        <v>114</v>
      </c>
      <c r="U212" s="14"/>
      <c r="W212" s="19"/>
    </row>
    <row r="213" spans="1:23" x14ac:dyDescent="0.25">
      <c r="A213" s="27" t="s">
        <v>137</v>
      </c>
      <c r="C213" s="155">
        <v>-42</v>
      </c>
      <c r="D213" s="17">
        <v>-1</v>
      </c>
      <c r="E213" s="17">
        <v>-1</v>
      </c>
      <c r="F213" s="17">
        <v>0</v>
      </c>
      <c r="G213" s="17">
        <v>-1</v>
      </c>
      <c r="H213" s="17">
        <v>0</v>
      </c>
      <c r="I213" s="17">
        <v>-1</v>
      </c>
      <c r="J213" s="17">
        <v>0</v>
      </c>
      <c r="K213" s="17">
        <v>-1</v>
      </c>
      <c r="L213" s="17">
        <v>0</v>
      </c>
      <c r="M213" s="17">
        <v>-1</v>
      </c>
      <c r="N213" s="17">
        <v>0</v>
      </c>
      <c r="O213" s="17">
        <v>-1</v>
      </c>
      <c r="P213" s="14">
        <f>SUM(D213:O213)</f>
        <v>-7</v>
      </c>
      <c r="Q213" s="17">
        <f t="shared" si="61"/>
        <v>-4</v>
      </c>
      <c r="R213" s="14">
        <f>P213-Q213</f>
        <v>-3</v>
      </c>
      <c r="T213" s="17">
        <f t="shared" si="63"/>
        <v>-46</v>
      </c>
      <c r="U213" s="14"/>
      <c r="W213" s="19"/>
    </row>
    <row r="214" spans="1:23" x14ac:dyDescent="0.25">
      <c r="A214" s="27" t="s">
        <v>138</v>
      </c>
      <c r="B214" s="162"/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4">
        <f t="shared" si="60"/>
        <v>0</v>
      </c>
      <c r="Q214" s="17">
        <f t="shared" si="61"/>
        <v>0</v>
      </c>
      <c r="R214" s="14">
        <f t="shared" si="64"/>
        <v>0</v>
      </c>
      <c r="T214" s="17">
        <f t="shared" si="63"/>
        <v>0</v>
      </c>
      <c r="U214" s="14"/>
      <c r="W214" s="19"/>
    </row>
    <row r="215" spans="1:23" x14ac:dyDescent="0.25">
      <c r="A215" s="27" t="s">
        <v>139</v>
      </c>
      <c r="B215" s="18" t="s">
        <v>34</v>
      </c>
      <c r="C215" s="17">
        <v>434</v>
      </c>
      <c r="D215" s="153">
        <f>[1]Source!D33</f>
        <v>-7</v>
      </c>
      <c r="E215" s="153">
        <f>[1]Source!E33</f>
        <v>-7</v>
      </c>
      <c r="F215" s="28">
        <f>[1]Source!F33-1</f>
        <v>-8</v>
      </c>
      <c r="G215" s="153">
        <f>[1]Source!G33</f>
        <v>-7</v>
      </c>
      <c r="H215" s="153">
        <f>[1]Source!H33</f>
        <v>-7</v>
      </c>
      <c r="I215" s="153">
        <f>[1]Source!I33</f>
        <v>-7</v>
      </c>
      <c r="J215" s="28">
        <f>[1]Source!J33-1</f>
        <v>-8</v>
      </c>
      <c r="K215" s="153">
        <f>[1]Source!K33</f>
        <v>-8</v>
      </c>
      <c r="L215" s="153">
        <f>[1]Source!L33</f>
        <v>-7</v>
      </c>
      <c r="M215" s="153">
        <f>[1]Source!M33</f>
        <v>-8</v>
      </c>
      <c r="N215" s="153">
        <f>[1]Source!N33</f>
        <v>-7</v>
      </c>
      <c r="O215" s="153">
        <f>[1]Source!O33</f>
        <v>-8</v>
      </c>
      <c r="P215" s="14">
        <f t="shared" si="60"/>
        <v>-89</v>
      </c>
      <c r="Q215" s="17">
        <f t="shared" si="61"/>
        <v>-51</v>
      </c>
      <c r="R215" s="14">
        <f t="shared" si="64"/>
        <v>-38</v>
      </c>
      <c r="T215" s="17">
        <f t="shared" si="63"/>
        <v>383</v>
      </c>
      <c r="U215" s="14">
        <f>SUM(T211:T215)</f>
        <v>4714</v>
      </c>
    </row>
    <row r="216" spans="1:23" x14ac:dyDescent="0.25">
      <c r="A216" s="27" t="s">
        <v>140</v>
      </c>
      <c r="B216" s="162"/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4">
        <f t="shared" si="60"/>
        <v>0</v>
      </c>
      <c r="Q216" s="17">
        <f t="shared" si="61"/>
        <v>0</v>
      </c>
      <c r="R216" s="14">
        <f t="shared" si="64"/>
        <v>0</v>
      </c>
      <c r="T216" s="17">
        <f t="shared" si="63"/>
        <v>0</v>
      </c>
    </row>
    <row r="217" spans="1:23" x14ac:dyDescent="0.25">
      <c r="A217" s="27" t="s">
        <v>139</v>
      </c>
      <c r="B217" s="18" t="s">
        <v>34</v>
      </c>
      <c r="C217" s="17">
        <v>2192</v>
      </c>
      <c r="D217" s="153">
        <f>[1]Source!D34</f>
        <v>-38</v>
      </c>
      <c r="E217" s="153">
        <f>[1]Source!E34</f>
        <v>-38</v>
      </c>
      <c r="F217" s="28">
        <f>[1]Source!F34+1</f>
        <v>-37</v>
      </c>
      <c r="G217" s="153">
        <f>[1]Source!G34</f>
        <v>-38</v>
      </c>
      <c r="H217" s="153">
        <f>[1]Source!H34</f>
        <v>-38</v>
      </c>
      <c r="I217" s="153">
        <f>[1]Source!I34</f>
        <v>-38</v>
      </c>
      <c r="J217" s="28">
        <f>[1]Source!J34+1</f>
        <v>-37</v>
      </c>
      <c r="K217" s="153">
        <f>[1]Source!K34</f>
        <v>-38</v>
      </c>
      <c r="L217" s="153">
        <f>[1]Source!L34</f>
        <v>-38</v>
      </c>
      <c r="M217" s="153">
        <f>[1]Source!M34</f>
        <v>-38</v>
      </c>
      <c r="N217" s="153">
        <f>[1]Source!N34</f>
        <v>-38</v>
      </c>
      <c r="O217" s="153">
        <f>[1]Source!O34</f>
        <v>-37</v>
      </c>
      <c r="P217" s="14">
        <f t="shared" si="60"/>
        <v>-453</v>
      </c>
      <c r="Q217" s="17">
        <f t="shared" si="61"/>
        <v>-264</v>
      </c>
      <c r="R217" s="14">
        <f t="shared" si="64"/>
        <v>-189</v>
      </c>
      <c r="T217" s="17">
        <f t="shared" si="63"/>
        <v>1928</v>
      </c>
      <c r="U217" s="14">
        <f>SUM(T216:T217)</f>
        <v>1928</v>
      </c>
    </row>
    <row r="218" spans="1:23" x14ac:dyDescent="0.25">
      <c r="A218" s="15" t="s">
        <v>40</v>
      </c>
      <c r="C218" s="17">
        <v>0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4">
        <f>SUM(D218:O218)</f>
        <v>0</v>
      </c>
      <c r="Q218" s="17">
        <f t="shared" si="61"/>
        <v>0</v>
      </c>
      <c r="R218" s="14">
        <f>P218-Q218</f>
        <v>0</v>
      </c>
      <c r="T218" s="17">
        <f t="shared" si="63"/>
        <v>0</v>
      </c>
      <c r="U218" s="14">
        <f t="shared" ref="U218:U224" si="65">T218</f>
        <v>0</v>
      </c>
    </row>
    <row r="219" spans="1:23" x14ac:dyDescent="0.25">
      <c r="A219" s="15" t="s">
        <v>40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4">
        <f>SUM(D219:O219)</f>
        <v>0</v>
      </c>
      <c r="Q219" s="17">
        <f t="shared" si="61"/>
        <v>0</v>
      </c>
      <c r="R219" s="14">
        <f>P219-Q219</f>
        <v>0</v>
      </c>
      <c r="T219" s="17">
        <f t="shared" si="63"/>
        <v>0</v>
      </c>
      <c r="U219" s="14">
        <f t="shared" si="65"/>
        <v>0</v>
      </c>
    </row>
    <row r="220" spans="1:23" x14ac:dyDescent="0.25">
      <c r="A220" s="15" t="s">
        <v>40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4">
        <f t="shared" si="60"/>
        <v>0</v>
      </c>
      <c r="Q220" s="17">
        <f t="shared" si="61"/>
        <v>0</v>
      </c>
      <c r="R220" s="14">
        <f t="shared" si="64"/>
        <v>0</v>
      </c>
      <c r="T220" s="17">
        <f t="shared" si="63"/>
        <v>0</v>
      </c>
      <c r="U220" s="14">
        <f t="shared" si="65"/>
        <v>0</v>
      </c>
    </row>
    <row r="221" spans="1:23" x14ac:dyDescent="0.25">
      <c r="A221" s="27" t="s">
        <v>141</v>
      </c>
      <c r="C221" s="17">
        <v>0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500</v>
      </c>
      <c r="P221" s="14">
        <f t="shared" si="60"/>
        <v>500</v>
      </c>
      <c r="Q221" s="17">
        <f t="shared" si="61"/>
        <v>0</v>
      </c>
      <c r="R221" s="14">
        <f t="shared" si="64"/>
        <v>500</v>
      </c>
      <c r="T221" s="17">
        <f t="shared" si="63"/>
        <v>0</v>
      </c>
      <c r="U221" s="14">
        <f t="shared" si="65"/>
        <v>0</v>
      </c>
    </row>
    <row r="222" spans="1:23" x14ac:dyDescent="0.25">
      <c r="A222" s="27" t="s">
        <v>142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94">
        <f>1500-1500</f>
        <v>0</v>
      </c>
      <c r="P222" s="14">
        <f t="shared" si="60"/>
        <v>0</v>
      </c>
      <c r="Q222" s="17">
        <f t="shared" si="61"/>
        <v>0</v>
      </c>
      <c r="R222" s="14">
        <f t="shared" si="64"/>
        <v>0</v>
      </c>
      <c r="T222" s="17">
        <f t="shared" si="63"/>
        <v>0</v>
      </c>
      <c r="U222" s="14">
        <f t="shared" si="65"/>
        <v>0</v>
      </c>
    </row>
    <row r="223" spans="1:23" x14ac:dyDescent="0.25">
      <c r="A223" s="27" t="s">
        <v>143</v>
      </c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94">
        <f>-279+279</f>
        <v>0</v>
      </c>
      <c r="P223" s="14">
        <f t="shared" si="60"/>
        <v>0</v>
      </c>
      <c r="Q223" s="17">
        <f t="shared" si="61"/>
        <v>0</v>
      </c>
      <c r="R223" s="14">
        <f t="shared" si="64"/>
        <v>0</v>
      </c>
      <c r="T223" s="17">
        <f t="shared" si="63"/>
        <v>0</v>
      </c>
      <c r="U223" s="14">
        <f t="shared" si="65"/>
        <v>0</v>
      </c>
    </row>
    <row r="224" spans="1:23" x14ac:dyDescent="0.25">
      <c r="A224" s="27" t="s">
        <v>28</v>
      </c>
      <c r="C224" s="219">
        <f>4-4</f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16">
        <f t="shared" si="60"/>
        <v>0</v>
      </c>
      <c r="Q224" s="25">
        <f t="shared" si="61"/>
        <v>0</v>
      </c>
      <c r="R224" s="16">
        <f t="shared" si="64"/>
        <v>0</v>
      </c>
      <c r="T224" s="17">
        <f t="shared" si="63"/>
        <v>0</v>
      </c>
      <c r="U224" s="14">
        <f t="shared" si="65"/>
        <v>0</v>
      </c>
      <c r="W224" s="19"/>
    </row>
    <row r="225" spans="1:23" ht="3.9" customHeight="1" x14ac:dyDescent="0.25">
      <c r="C225" s="19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7"/>
      <c r="R225" s="14"/>
      <c r="W225" s="19"/>
    </row>
    <row r="226" spans="1:23" x14ac:dyDescent="0.25">
      <c r="A226" s="26" t="s">
        <v>144</v>
      </c>
      <c r="C226" s="14">
        <f>SUM(C183:C224)</f>
        <v>79054</v>
      </c>
      <c r="D226" s="14">
        <f t="shared" ref="D226:O226" si="66">SUM(D182:D225)</f>
        <v>78591</v>
      </c>
      <c r="E226" s="14">
        <f t="shared" si="66"/>
        <v>78162</v>
      </c>
      <c r="F226" s="14">
        <f t="shared" si="66"/>
        <v>77693</v>
      </c>
      <c r="G226" s="14">
        <f t="shared" si="66"/>
        <v>77224</v>
      </c>
      <c r="H226" s="14">
        <f t="shared" si="66"/>
        <v>76755</v>
      </c>
      <c r="I226" s="14">
        <f t="shared" si="66"/>
        <v>76288</v>
      </c>
      <c r="J226" s="14">
        <f t="shared" si="66"/>
        <v>75860</v>
      </c>
      <c r="K226" s="14">
        <f t="shared" si="66"/>
        <v>75408</v>
      </c>
      <c r="L226" s="14">
        <f t="shared" si="66"/>
        <v>74947</v>
      </c>
      <c r="M226" s="14">
        <f t="shared" si="66"/>
        <v>74479</v>
      </c>
      <c r="N226" s="14">
        <f t="shared" si="66"/>
        <v>74017</v>
      </c>
      <c r="O226" s="14">
        <f t="shared" si="66"/>
        <v>74053</v>
      </c>
      <c r="P226" s="14"/>
      <c r="Q226" s="17"/>
    </row>
    <row r="227" spans="1:23" ht="3.9" customHeight="1" x14ac:dyDescent="0.25">
      <c r="Q227" s="17"/>
    </row>
    <row r="228" spans="1:23" x14ac:dyDescent="0.25">
      <c r="A228" s="27" t="s">
        <v>30</v>
      </c>
      <c r="C228" s="14"/>
      <c r="D228" s="14">
        <f t="shared" ref="D228:O228" si="67">D226-C226</f>
        <v>-463</v>
      </c>
      <c r="E228" s="14">
        <f t="shared" si="67"/>
        <v>-429</v>
      </c>
      <c r="F228" s="14">
        <f t="shared" si="67"/>
        <v>-469</v>
      </c>
      <c r="G228" s="14">
        <f t="shared" si="67"/>
        <v>-469</v>
      </c>
      <c r="H228" s="14">
        <f t="shared" si="67"/>
        <v>-469</v>
      </c>
      <c r="I228" s="14">
        <f t="shared" si="67"/>
        <v>-467</v>
      </c>
      <c r="J228" s="14">
        <f t="shared" si="67"/>
        <v>-428</v>
      </c>
      <c r="K228" s="14">
        <f t="shared" si="67"/>
        <v>-452</v>
      </c>
      <c r="L228" s="14">
        <f t="shared" si="67"/>
        <v>-461</v>
      </c>
      <c r="M228" s="14">
        <f t="shared" si="67"/>
        <v>-468</v>
      </c>
      <c r="N228" s="14">
        <f t="shared" si="67"/>
        <v>-462</v>
      </c>
      <c r="O228" s="14">
        <f t="shared" si="67"/>
        <v>36</v>
      </c>
      <c r="P228" s="14">
        <f>SUM(D228:O228)</f>
        <v>-5001</v>
      </c>
      <c r="Q228" s="14">
        <f>SUM(Q183:Q224)</f>
        <v>-3194</v>
      </c>
      <c r="R228" s="14">
        <f>P228-Q228</f>
        <v>-1807</v>
      </c>
    </row>
    <row r="229" spans="1:23" x14ac:dyDescent="0.25">
      <c r="A229"/>
      <c r="Q229" s="17"/>
    </row>
    <row r="230" spans="1:23" ht="8.1" customHeight="1" x14ac:dyDescent="0.25">
      <c r="Q230" s="17"/>
    </row>
    <row r="231" spans="1:23" x14ac:dyDescent="0.25">
      <c r="A231" s="26" t="s">
        <v>145</v>
      </c>
      <c r="C231" s="14"/>
      <c r="D231" s="14">
        <f t="shared" ref="D231:O231" si="68">C245</f>
        <v>2254</v>
      </c>
      <c r="E231" s="14">
        <f t="shared" si="68"/>
        <v>2205</v>
      </c>
      <c r="F231" s="14">
        <f t="shared" si="68"/>
        <v>2928</v>
      </c>
      <c r="G231" s="14">
        <f t="shared" si="68"/>
        <v>2560</v>
      </c>
      <c r="H231" s="14">
        <f t="shared" si="68"/>
        <v>2828</v>
      </c>
      <c r="I231" s="14">
        <f t="shared" si="68"/>
        <v>3401</v>
      </c>
      <c r="J231" s="14">
        <f t="shared" si="68"/>
        <v>3786</v>
      </c>
      <c r="K231" s="14">
        <f t="shared" si="68"/>
        <v>4026</v>
      </c>
      <c r="L231" s="14">
        <f t="shared" si="68"/>
        <v>4013</v>
      </c>
      <c r="M231" s="14">
        <f t="shared" si="68"/>
        <v>4001</v>
      </c>
      <c r="N231" s="14">
        <f t="shared" si="68"/>
        <v>3988</v>
      </c>
      <c r="O231" s="14">
        <f t="shared" si="68"/>
        <v>3976</v>
      </c>
      <c r="P231" s="14"/>
      <c r="Q231" s="17"/>
    </row>
    <row r="232" spans="1:23" x14ac:dyDescent="0.25">
      <c r="A232" s="27" t="s">
        <v>146</v>
      </c>
      <c r="B232" s="18" t="s">
        <v>34</v>
      </c>
      <c r="C232" s="17">
        <v>0</v>
      </c>
      <c r="D232" s="153">
        <f>[1]Source!D47</f>
        <v>0</v>
      </c>
      <c r="E232" s="153">
        <f>[1]Source!E47</f>
        <v>0</v>
      </c>
      <c r="F232" s="153">
        <f>[1]Source!F47</f>
        <v>0</v>
      </c>
      <c r="G232" s="153">
        <f>[1]Source!G47</f>
        <v>0</v>
      </c>
      <c r="H232" s="153">
        <f>[1]Source!H47</f>
        <v>0</v>
      </c>
      <c r="I232" s="153">
        <f>[1]Source!I47</f>
        <v>0</v>
      </c>
      <c r="J232" s="153">
        <f>[1]Source!J47</f>
        <v>0</v>
      </c>
      <c r="K232" s="153">
        <f>[1]Source!K47</f>
        <v>0</v>
      </c>
      <c r="L232" s="153">
        <f>[1]Source!L47</f>
        <v>0</v>
      </c>
      <c r="M232" s="153">
        <f>[1]Source!M47</f>
        <v>0</v>
      </c>
      <c r="N232" s="153">
        <f>[1]Source!N47</f>
        <v>0</v>
      </c>
      <c r="O232" s="153">
        <f>[1]Source!O47</f>
        <v>0</v>
      </c>
      <c r="P232" s="14">
        <f t="shared" ref="P232:P243" si="69">SUM(D232:O232)</f>
        <v>0</v>
      </c>
      <c r="Q232" s="17">
        <f t="shared" ref="Q232:Q243" si="70">SUM(D232:J232)</f>
        <v>0</v>
      </c>
      <c r="R232" s="14">
        <f t="shared" ref="R232:R243" si="71">P232-Q232</f>
        <v>0</v>
      </c>
    </row>
    <row r="233" spans="1:23" x14ac:dyDescent="0.25">
      <c r="A233" s="27" t="s">
        <v>147</v>
      </c>
      <c r="C233" s="17">
        <v>1306</v>
      </c>
      <c r="D233" s="194">
        <v>-26</v>
      </c>
      <c r="E233" s="194">
        <v>746</v>
      </c>
      <c r="F233" s="194">
        <v>-316</v>
      </c>
      <c r="G233" s="194">
        <v>281</v>
      </c>
      <c r="H233" s="194">
        <v>586</v>
      </c>
      <c r="I233" s="194">
        <v>398</v>
      </c>
      <c r="J233" s="194">
        <v>252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4">
        <f t="shared" si="69"/>
        <v>1921</v>
      </c>
      <c r="Q233" s="17">
        <f t="shared" si="70"/>
        <v>1921</v>
      </c>
      <c r="R233" s="14">
        <f t="shared" si="71"/>
        <v>0</v>
      </c>
    </row>
    <row r="234" spans="1:23" x14ac:dyDescent="0.25">
      <c r="A234" s="27" t="s">
        <v>148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4">
        <f t="shared" si="69"/>
        <v>0</v>
      </c>
      <c r="Q234" s="17">
        <f t="shared" si="70"/>
        <v>0</v>
      </c>
      <c r="R234" s="14">
        <f t="shared" si="71"/>
        <v>0</v>
      </c>
    </row>
    <row r="235" spans="1:23" x14ac:dyDescent="0.25">
      <c r="A235" s="27" t="s">
        <v>149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0</v>
      </c>
      <c r="P235" s="14">
        <f t="shared" si="69"/>
        <v>0</v>
      </c>
      <c r="Q235" s="17">
        <f t="shared" si="70"/>
        <v>0</v>
      </c>
      <c r="R235" s="14">
        <f t="shared" si="71"/>
        <v>0</v>
      </c>
    </row>
    <row r="236" spans="1:23" x14ac:dyDescent="0.25">
      <c r="A236" s="27" t="s">
        <v>150</v>
      </c>
      <c r="C236" s="17">
        <v>14</v>
      </c>
      <c r="D236" s="17">
        <v>-1</v>
      </c>
      <c r="E236" s="17">
        <v>0</v>
      </c>
      <c r="F236" s="17">
        <v>-1</v>
      </c>
      <c r="G236" s="17">
        <v>0</v>
      </c>
      <c r="H236" s="17">
        <v>-1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4">
        <f t="shared" si="69"/>
        <v>-3</v>
      </c>
      <c r="Q236" s="17">
        <f t="shared" si="70"/>
        <v>-3</v>
      </c>
      <c r="R236" s="14">
        <f t="shared" si="71"/>
        <v>0</v>
      </c>
    </row>
    <row r="237" spans="1:23" x14ac:dyDescent="0.25">
      <c r="A237" s="27" t="s">
        <v>151</v>
      </c>
      <c r="C237" s="17">
        <v>59</v>
      </c>
      <c r="D237" s="17">
        <v>-10</v>
      </c>
      <c r="E237" s="17">
        <v>-10</v>
      </c>
      <c r="F237" s="194">
        <f>-10-29</f>
        <v>-39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4">
        <f t="shared" si="69"/>
        <v>-59</v>
      </c>
      <c r="Q237" s="17">
        <f t="shared" si="70"/>
        <v>-59</v>
      </c>
      <c r="R237" s="14">
        <f t="shared" si="71"/>
        <v>0</v>
      </c>
    </row>
    <row r="238" spans="1:23" x14ac:dyDescent="0.25">
      <c r="A238" s="15" t="s">
        <v>40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4">
        <f t="shared" si="69"/>
        <v>0</v>
      </c>
      <c r="Q238" s="17">
        <f t="shared" si="70"/>
        <v>0</v>
      </c>
      <c r="R238" s="14">
        <f t="shared" si="71"/>
        <v>0</v>
      </c>
    </row>
    <row r="239" spans="1:23" x14ac:dyDescent="0.25">
      <c r="A239" s="27" t="s">
        <v>152</v>
      </c>
      <c r="C239" s="17">
        <v>875</v>
      </c>
      <c r="D239" s="17">
        <v>-12</v>
      </c>
      <c r="E239" s="17">
        <v>-13</v>
      </c>
      <c r="F239" s="17">
        <v>-12</v>
      </c>
      <c r="G239" s="17">
        <v>-13</v>
      </c>
      <c r="H239" s="17">
        <v>-12</v>
      </c>
      <c r="I239" s="17">
        <v>-13</v>
      </c>
      <c r="J239" s="17">
        <v>-12</v>
      </c>
      <c r="K239" s="17">
        <v>-13</v>
      </c>
      <c r="L239" s="17">
        <v>-12</v>
      </c>
      <c r="M239" s="17">
        <v>-13</v>
      </c>
      <c r="N239" s="17">
        <v>-12</v>
      </c>
      <c r="O239" s="17">
        <v>-13</v>
      </c>
      <c r="P239" s="14">
        <f t="shared" si="69"/>
        <v>-150</v>
      </c>
      <c r="Q239" s="17">
        <f t="shared" si="70"/>
        <v>-87</v>
      </c>
      <c r="R239" s="14">
        <f t="shared" si="71"/>
        <v>-63</v>
      </c>
    </row>
    <row r="240" spans="1:23" x14ac:dyDescent="0.25">
      <c r="A240" s="15" t="s">
        <v>40</v>
      </c>
      <c r="C240" s="17">
        <v>0</v>
      </c>
      <c r="D240" s="17">
        <v>0</v>
      </c>
      <c r="E240" s="17">
        <v>0</v>
      </c>
      <c r="F240" s="17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4">
        <f t="shared" si="69"/>
        <v>0</v>
      </c>
      <c r="Q240" s="17">
        <f t="shared" si="70"/>
        <v>0</v>
      </c>
      <c r="R240" s="14">
        <f t="shared" si="71"/>
        <v>0</v>
      </c>
    </row>
    <row r="241" spans="1:18" x14ac:dyDescent="0.25">
      <c r="A241" s="27" t="s">
        <v>153</v>
      </c>
      <c r="C241" s="17">
        <v>0</v>
      </c>
      <c r="D241" s="17">
        <v>0</v>
      </c>
      <c r="E241" s="17">
        <v>0</v>
      </c>
      <c r="F241" s="17">
        <v>0</v>
      </c>
      <c r="G241" s="194">
        <f>838-838</f>
        <v>0</v>
      </c>
      <c r="H241" s="194">
        <f>838-838</f>
        <v>0</v>
      </c>
      <c r="I241" s="194">
        <f t="shared" ref="I241:O241" si="72">838-838</f>
        <v>0</v>
      </c>
      <c r="J241" s="194">
        <f t="shared" si="72"/>
        <v>0</v>
      </c>
      <c r="K241" s="194">
        <f t="shared" si="72"/>
        <v>0</v>
      </c>
      <c r="L241" s="194">
        <f t="shared" si="72"/>
        <v>0</v>
      </c>
      <c r="M241" s="194">
        <f t="shared" si="72"/>
        <v>0</v>
      </c>
      <c r="N241" s="194">
        <f t="shared" si="72"/>
        <v>0</v>
      </c>
      <c r="O241" s="194">
        <f t="shared" si="72"/>
        <v>0</v>
      </c>
      <c r="P241" s="14">
        <f t="shared" si="69"/>
        <v>0</v>
      </c>
      <c r="Q241" s="17">
        <f t="shared" si="70"/>
        <v>0</v>
      </c>
      <c r="R241" s="14">
        <f t="shared" si="71"/>
        <v>0</v>
      </c>
    </row>
    <row r="242" spans="1:18" x14ac:dyDescent="0.25">
      <c r="A242" s="27" t="s">
        <v>154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4">
        <f t="shared" si="69"/>
        <v>0</v>
      </c>
      <c r="Q242" s="17">
        <f t="shared" si="70"/>
        <v>0</v>
      </c>
      <c r="R242" s="14">
        <f t="shared" si="71"/>
        <v>0</v>
      </c>
    </row>
    <row r="243" spans="1:18" x14ac:dyDescent="0.25">
      <c r="A243" s="27" t="s">
        <v>28</v>
      </c>
      <c r="C243" s="25">
        <v>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16">
        <f t="shared" si="69"/>
        <v>0</v>
      </c>
      <c r="Q243" s="25">
        <f t="shared" si="70"/>
        <v>0</v>
      </c>
      <c r="R243" s="16">
        <f t="shared" si="71"/>
        <v>0</v>
      </c>
    </row>
    <row r="244" spans="1:18" ht="3.9" customHeight="1" x14ac:dyDescent="0.2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x14ac:dyDescent="0.25">
      <c r="A245" s="26" t="s">
        <v>155</v>
      </c>
      <c r="C245" s="14">
        <f>SUM(C232:C244)</f>
        <v>2254</v>
      </c>
      <c r="D245" s="14">
        <f t="shared" ref="D245:O245" si="73">SUM(D231:D244)</f>
        <v>2205</v>
      </c>
      <c r="E245" s="14">
        <f t="shared" si="73"/>
        <v>2928</v>
      </c>
      <c r="F245" s="14">
        <f t="shared" si="73"/>
        <v>2560</v>
      </c>
      <c r="G245" s="14">
        <f t="shared" si="73"/>
        <v>2828</v>
      </c>
      <c r="H245" s="14">
        <f t="shared" si="73"/>
        <v>3401</v>
      </c>
      <c r="I245" s="14">
        <f t="shared" si="73"/>
        <v>3786</v>
      </c>
      <c r="J245" s="14">
        <f t="shared" si="73"/>
        <v>4026</v>
      </c>
      <c r="K245" s="14">
        <f t="shared" si="73"/>
        <v>4013</v>
      </c>
      <c r="L245" s="14">
        <f t="shared" si="73"/>
        <v>4001</v>
      </c>
      <c r="M245" s="14">
        <f t="shared" si="73"/>
        <v>3988</v>
      </c>
      <c r="N245" s="14">
        <f t="shared" si="73"/>
        <v>3976</v>
      </c>
      <c r="O245" s="14">
        <f t="shared" si="73"/>
        <v>3963</v>
      </c>
      <c r="P245" s="14"/>
    </row>
    <row r="246" spans="1:18" ht="3.9" customHeight="1" x14ac:dyDescent="0.25"/>
    <row r="247" spans="1:18" x14ac:dyDescent="0.25">
      <c r="A247" s="27" t="s">
        <v>30</v>
      </c>
      <c r="C247" s="14"/>
      <c r="D247" s="14">
        <f t="shared" ref="D247:O247" si="74">D245-C245</f>
        <v>-49</v>
      </c>
      <c r="E247" s="14">
        <f t="shared" si="74"/>
        <v>723</v>
      </c>
      <c r="F247" s="14">
        <f t="shared" si="74"/>
        <v>-368</v>
      </c>
      <c r="G247" s="14">
        <f t="shared" si="74"/>
        <v>268</v>
      </c>
      <c r="H247" s="14">
        <f t="shared" si="74"/>
        <v>573</v>
      </c>
      <c r="I247" s="14">
        <f t="shared" si="74"/>
        <v>385</v>
      </c>
      <c r="J247" s="14">
        <f t="shared" si="74"/>
        <v>240</v>
      </c>
      <c r="K247" s="14">
        <f t="shared" si="74"/>
        <v>-13</v>
      </c>
      <c r="L247" s="14">
        <f t="shared" si="74"/>
        <v>-12</v>
      </c>
      <c r="M247" s="14">
        <f t="shared" si="74"/>
        <v>-13</v>
      </c>
      <c r="N247" s="14">
        <f t="shared" si="74"/>
        <v>-12</v>
      </c>
      <c r="O247" s="14">
        <f t="shared" si="74"/>
        <v>-13</v>
      </c>
      <c r="P247" s="14">
        <f>SUM(D247:O247)</f>
        <v>1709</v>
      </c>
      <c r="Q247" s="14">
        <f>SUM(Q232:Q244)</f>
        <v>1772</v>
      </c>
      <c r="R247" s="14">
        <f>P247-Q247</f>
        <v>-63</v>
      </c>
    </row>
    <row r="248" spans="1:18" ht="6" customHeight="1" x14ac:dyDescent="0.25"/>
    <row r="249" spans="1:18" x14ac:dyDescent="0.25">
      <c r="A249" s="7" t="s">
        <v>156</v>
      </c>
      <c r="C249" s="20">
        <f>C13+C34+C42+C53+C60+C67+C98+C107+C116+C124+C142-C157+C167+C177+C226+C245-C284-C449</f>
        <v>1372399</v>
      </c>
      <c r="D249" s="20">
        <f t="shared" ref="D249:O249" si="75">D13+D34+D42+D53+D60+D67+D98+D107+D116+D124+D142-D157+D167+D177+D226+D245-D284-D449</f>
        <v>1382503</v>
      </c>
      <c r="E249" s="20">
        <f t="shared" si="75"/>
        <v>1391026</v>
      </c>
      <c r="F249" s="20">
        <f t="shared" si="75"/>
        <v>1416581</v>
      </c>
      <c r="G249" s="20">
        <f t="shared" si="75"/>
        <v>1408881</v>
      </c>
      <c r="H249" s="20">
        <f t="shared" si="75"/>
        <v>1428255</v>
      </c>
      <c r="I249" s="20">
        <f t="shared" si="75"/>
        <v>1295684</v>
      </c>
      <c r="J249" s="20">
        <f t="shared" si="75"/>
        <v>1301499</v>
      </c>
      <c r="K249" s="20">
        <f t="shared" si="75"/>
        <v>1311570</v>
      </c>
      <c r="L249" s="20">
        <f t="shared" si="75"/>
        <v>1323745</v>
      </c>
      <c r="M249" s="20">
        <f t="shared" si="75"/>
        <v>1330903</v>
      </c>
      <c r="N249" s="20">
        <f t="shared" si="75"/>
        <v>1333488</v>
      </c>
      <c r="O249" s="20">
        <f t="shared" si="75"/>
        <v>1338216</v>
      </c>
    </row>
    <row r="250" spans="1:18" ht="6" customHeight="1" x14ac:dyDescent="0.25"/>
    <row r="251" spans="1:18" x14ac:dyDescent="0.25">
      <c r="A251" s="27" t="s">
        <v>157</v>
      </c>
      <c r="D251" s="14">
        <f t="shared" ref="D251:O251" si="76">D249-C249</f>
        <v>10104</v>
      </c>
      <c r="E251" s="14">
        <f t="shared" si="76"/>
        <v>8523</v>
      </c>
      <c r="F251" s="14">
        <f t="shared" si="76"/>
        <v>25555</v>
      </c>
      <c r="G251" s="14">
        <f t="shared" si="76"/>
        <v>-7700</v>
      </c>
      <c r="H251" s="14">
        <f t="shared" si="76"/>
        <v>19374</v>
      </c>
      <c r="I251" s="14">
        <f t="shared" si="76"/>
        <v>-132571</v>
      </c>
      <c r="J251" s="14">
        <f t="shared" si="76"/>
        <v>5815</v>
      </c>
      <c r="K251" s="14">
        <f t="shared" si="76"/>
        <v>10071</v>
      </c>
      <c r="L251" s="14">
        <f t="shared" si="76"/>
        <v>12175</v>
      </c>
      <c r="M251" s="14">
        <f t="shared" si="76"/>
        <v>7158</v>
      </c>
      <c r="N251" s="14">
        <f t="shared" si="76"/>
        <v>2585</v>
      </c>
      <c r="O251" s="14">
        <f t="shared" si="76"/>
        <v>4728</v>
      </c>
      <c r="P251" s="14">
        <f>SUM(D251:O251)</f>
        <v>-34183</v>
      </c>
      <c r="Q251" s="17">
        <f>SUM(D251:J251)</f>
        <v>-70900</v>
      </c>
      <c r="R251" s="14">
        <f>P251-Q251</f>
        <v>36717</v>
      </c>
    </row>
    <row r="253" spans="1:18" ht="8.1" customHeight="1" x14ac:dyDescent="0.25"/>
    <row r="256" spans="1:18" x14ac:dyDescent="0.25">
      <c r="A256" s="26" t="s">
        <v>158</v>
      </c>
      <c r="C256" s="194">
        <f>12715-10554</f>
        <v>2161</v>
      </c>
      <c r="D256" s="14">
        <f t="shared" ref="D256:O256" si="77">C275</f>
        <v>7735</v>
      </c>
      <c r="E256" s="14">
        <f t="shared" si="77"/>
        <v>10169</v>
      </c>
      <c r="F256" s="14">
        <f t="shared" si="77"/>
        <v>9207</v>
      </c>
      <c r="G256" s="14">
        <f t="shared" si="77"/>
        <v>20539</v>
      </c>
      <c r="H256" s="14">
        <f t="shared" si="77"/>
        <v>8787</v>
      </c>
      <c r="I256" s="14">
        <f t="shared" si="77"/>
        <v>8434</v>
      </c>
      <c r="J256" s="14">
        <f t="shared" si="77"/>
        <v>10259</v>
      </c>
      <c r="K256" s="14">
        <f t="shared" si="77"/>
        <v>7327</v>
      </c>
      <c r="L256" s="14">
        <f t="shared" si="77"/>
        <v>7327</v>
      </c>
      <c r="M256" s="14">
        <f t="shared" si="77"/>
        <v>7327</v>
      </c>
      <c r="N256" s="14">
        <f t="shared" si="77"/>
        <v>7327</v>
      </c>
      <c r="O256" s="14">
        <f t="shared" si="77"/>
        <v>7327</v>
      </c>
    </row>
    <row r="257" spans="1:19" x14ac:dyDescent="0.25">
      <c r="A257" s="27" t="s">
        <v>32</v>
      </c>
      <c r="C257" s="17">
        <v>0</v>
      </c>
      <c r="D257" s="14">
        <f t="shared" ref="D257:O257" si="78">-C266</f>
        <v>0</v>
      </c>
      <c r="E257" s="14">
        <f t="shared" si="78"/>
        <v>0</v>
      </c>
      <c r="F257" s="14">
        <f t="shared" si="78"/>
        <v>0</v>
      </c>
      <c r="G257" s="14">
        <f t="shared" si="78"/>
        <v>0</v>
      </c>
      <c r="H257" s="14">
        <f t="shared" si="78"/>
        <v>0</v>
      </c>
      <c r="I257" s="14">
        <f t="shared" si="78"/>
        <v>0</v>
      </c>
      <c r="J257" s="14">
        <f t="shared" si="78"/>
        <v>0</v>
      </c>
      <c r="K257" s="14">
        <f t="shared" si="78"/>
        <v>0</v>
      </c>
      <c r="L257" s="14">
        <f t="shared" si="78"/>
        <v>0</v>
      </c>
      <c r="M257" s="14">
        <f t="shared" si="78"/>
        <v>0</v>
      </c>
      <c r="N257" s="14">
        <f t="shared" si="78"/>
        <v>0</v>
      </c>
      <c r="O257" s="14">
        <f t="shared" si="78"/>
        <v>0</v>
      </c>
    </row>
    <row r="258" spans="1:19" ht="8.1" customHeight="1" x14ac:dyDescent="0.25">
      <c r="C258" s="17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9" x14ac:dyDescent="0.25">
      <c r="A259" s="27" t="s">
        <v>159</v>
      </c>
      <c r="B259" s="162" t="s">
        <v>160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4">
        <f t="shared" ref="P259:P264" si="79">SUM(D259:O259)</f>
        <v>0</v>
      </c>
      <c r="Q259" s="17">
        <f t="shared" ref="Q259:Q264" si="80">SUM(D259:J259)</f>
        <v>0</v>
      </c>
      <c r="R259" s="14">
        <f t="shared" ref="R259:R264" si="81">P259-Q259</f>
        <v>0</v>
      </c>
    </row>
    <row r="260" spans="1:19" x14ac:dyDescent="0.25">
      <c r="A260" s="27" t="s">
        <v>161</v>
      </c>
      <c r="B260" s="162" t="s">
        <v>160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4">
        <f t="shared" si="79"/>
        <v>0</v>
      </c>
      <c r="Q260" s="17">
        <f t="shared" si="80"/>
        <v>0</v>
      </c>
      <c r="R260" s="14">
        <f t="shared" si="81"/>
        <v>0</v>
      </c>
    </row>
    <row r="261" spans="1:19" x14ac:dyDescent="0.25">
      <c r="A261" s="27" t="s">
        <v>162</v>
      </c>
      <c r="B261" s="162" t="s">
        <v>160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4">
        <f t="shared" si="79"/>
        <v>0</v>
      </c>
      <c r="Q261" s="17">
        <f t="shared" si="80"/>
        <v>0</v>
      </c>
      <c r="R261" s="14">
        <f t="shared" si="81"/>
        <v>0</v>
      </c>
    </row>
    <row r="262" spans="1:19" x14ac:dyDescent="0.25">
      <c r="A262" s="27" t="s">
        <v>40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4">
        <f t="shared" si="79"/>
        <v>0</v>
      </c>
      <c r="Q262" s="17">
        <f t="shared" si="80"/>
        <v>0</v>
      </c>
      <c r="R262" s="14">
        <f t="shared" si="81"/>
        <v>0</v>
      </c>
    </row>
    <row r="263" spans="1:19" x14ac:dyDescent="0.25">
      <c r="A263" s="27" t="s">
        <v>163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  <c r="O263" s="17">
        <v>0</v>
      </c>
      <c r="P263" s="14">
        <f t="shared" si="79"/>
        <v>0</v>
      </c>
      <c r="Q263" s="17">
        <f t="shared" si="80"/>
        <v>0</v>
      </c>
      <c r="R263" s="14">
        <f t="shared" si="81"/>
        <v>0</v>
      </c>
    </row>
    <row r="264" spans="1:19" x14ac:dyDescent="0.25">
      <c r="A264" s="27" t="s">
        <v>28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16">
        <f t="shared" si="79"/>
        <v>0</v>
      </c>
      <c r="Q264" s="25">
        <f t="shared" si="80"/>
        <v>0</v>
      </c>
      <c r="R264" s="16">
        <f t="shared" si="81"/>
        <v>0</v>
      </c>
    </row>
    <row r="265" spans="1:19" ht="3.9" customHeight="1" x14ac:dyDescent="0.2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9" x14ac:dyDescent="0.25">
      <c r="A266" s="27" t="s">
        <v>164</v>
      </c>
      <c r="C266" s="14">
        <f t="shared" ref="C266:Q266" si="82">SUM(C259:C265)</f>
        <v>0</v>
      </c>
      <c r="D266" s="14">
        <f t="shared" si="82"/>
        <v>0</v>
      </c>
      <c r="E266" s="14">
        <f t="shared" si="82"/>
        <v>0</v>
      </c>
      <c r="F266" s="14">
        <f t="shared" si="82"/>
        <v>0</v>
      </c>
      <c r="G266" s="14">
        <f t="shared" si="82"/>
        <v>0</v>
      </c>
      <c r="H266" s="14">
        <f t="shared" si="82"/>
        <v>0</v>
      </c>
      <c r="I266" s="14">
        <f t="shared" si="82"/>
        <v>0</v>
      </c>
      <c r="J266" s="14">
        <f t="shared" si="82"/>
        <v>0</v>
      </c>
      <c r="K266" s="14">
        <f t="shared" si="82"/>
        <v>0</v>
      </c>
      <c r="L266" s="14">
        <f t="shared" si="82"/>
        <v>0</v>
      </c>
      <c r="M266" s="14">
        <f t="shared" si="82"/>
        <v>0</v>
      </c>
      <c r="N266" s="14">
        <f t="shared" si="82"/>
        <v>0</v>
      </c>
      <c r="O266" s="14">
        <f t="shared" si="82"/>
        <v>0</v>
      </c>
      <c r="P266" s="14">
        <f t="shared" si="82"/>
        <v>0</v>
      </c>
      <c r="Q266" s="14">
        <f t="shared" si="82"/>
        <v>0</v>
      </c>
      <c r="R266" s="14">
        <f>P266-Q266</f>
        <v>0</v>
      </c>
    </row>
    <row r="267" spans="1:19" ht="6" customHeight="1" x14ac:dyDescent="0.2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9" x14ac:dyDescent="0.25">
      <c r="A268" s="27" t="s">
        <v>165</v>
      </c>
      <c r="C268" s="17">
        <v>0</v>
      </c>
      <c r="D268" s="17">
        <v>0</v>
      </c>
      <c r="E268" s="17">
        <v>0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14">
        <f t="shared" ref="P268:P273" si="83">SUM(D268:O268)</f>
        <v>0</v>
      </c>
      <c r="Q268" s="17">
        <f t="shared" ref="Q268:Q273" si="84">SUM(D268:J268)</f>
        <v>0</v>
      </c>
      <c r="R268" s="14">
        <f t="shared" ref="R268:R273" si="85">P268-Q268</f>
        <v>0</v>
      </c>
      <c r="S268" s="14"/>
    </row>
    <row r="269" spans="1:19" x14ac:dyDescent="0.25">
      <c r="A269" s="15" t="s">
        <v>40</v>
      </c>
      <c r="B269" s="18"/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7">
        <v>0</v>
      </c>
      <c r="P269" s="14">
        <f t="shared" si="83"/>
        <v>0</v>
      </c>
      <c r="Q269" s="17">
        <f t="shared" si="84"/>
        <v>0</v>
      </c>
      <c r="R269" s="14">
        <f t="shared" si="85"/>
        <v>0</v>
      </c>
    </row>
    <row r="270" spans="1:19" x14ac:dyDescent="0.25">
      <c r="A270" s="27" t="s">
        <v>166</v>
      </c>
      <c r="C270" s="17">
        <v>0</v>
      </c>
      <c r="D270" s="17">
        <v>0</v>
      </c>
      <c r="E270" s="17">
        <v>0</v>
      </c>
      <c r="F270" s="17">
        <v>12962</v>
      </c>
      <c r="G270" s="17">
        <v>-12962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7">
        <v>0</v>
      </c>
      <c r="P270" s="14">
        <f t="shared" si="83"/>
        <v>0</v>
      </c>
      <c r="Q270" s="17">
        <f t="shared" si="84"/>
        <v>0</v>
      </c>
      <c r="R270" s="14">
        <f>P270-Q270</f>
        <v>0</v>
      </c>
    </row>
    <row r="271" spans="1:19" x14ac:dyDescent="0.25">
      <c r="A271" s="15" t="s">
        <v>167</v>
      </c>
      <c r="C271" s="17">
        <v>1724</v>
      </c>
      <c r="D271" s="17">
        <v>2667</v>
      </c>
      <c r="E271" s="17">
        <v>-1215</v>
      </c>
      <c r="F271" s="17">
        <v>-2036</v>
      </c>
      <c r="G271" s="17">
        <v>246</v>
      </c>
      <c r="H271" s="17">
        <v>543</v>
      </c>
      <c r="I271" s="17">
        <v>-694</v>
      </c>
      <c r="J271" s="17">
        <v>-54</v>
      </c>
      <c r="K271" s="17">
        <v>0</v>
      </c>
      <c r="L271" s="17">
        <v>0</v>
      </c>
      <c r="M271" s="17">
        <v>0</v>
      </c>
      <c r="N271" s="17">
        <v>0</v>
      </c>
      <c r="O271" s="17">
        <v>0</v>
      </c>
      <c r="P271" s="14">
        <f>SUM(D271:O271)</f>
        <v>-543</v>
      </c>
      <c r="Q271" s="17">
        <f t="shared" si="84"/>
        <v>-543</v>
      </c>
      <c r="R271" s="14">
        <f t="shared" si="85"/>
        <v>0</v>
      </c>
    </row>
    <row r="272" spans="1:19" x14ac:dyDescent="0.25">
      <c r="A272" s="27" t="s">
        <v>168</v>
      </c>
      <c r="C272" s="17">
        <v>3850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4">
        <f t="shared" si="83"/>
        <v>0</v>
      </c>
      <c r="Q272" s="17">
        <f t="shared" si="84"/>
        <v>0</v>
      </c>
      <c r="R272" s="14">
        <f t="shared" si="85"/>
        <v>0</v>
      </c>
    </row>
    <row r="273" spans="1:18" x14ac:dyDescent="0.25">
      <c r="A273" s="27" t="s">
        <v>40</v>
      </c>
      <c r="C273" s="25">
        <v>0</v>
      </c>
      <c r="D273" s="25">
        <v>-233</v>
      </c>
      <c r="E273" s="25">
        <v>253</v>
      </c>
      <c r="F273" s="25">
        <v>406</v>
      </c>
      <c r="G273" s="25">
        <v>964</v>
      </c>
      <c r="H273" s="25">
        <v>-896</v>
      </c>
      <c r="I273" s="25">
        <v>2519</v>
      </c>
      <c r="J273" s="25">
        <v>-2878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16">
        <f t="shared" si="83"/>
        <v>135</v>
      </c>
      <c r="Q273" s="25">
        <f t="shared" si="84"/>
        <v>135</v>
      </c>
      <c r="R273" s="16">
        <f t="shared" si="85"/>
        <v>0</v>
      </c>
    </row>
    <row r="274" spans="1:18" ht="3.9" customHeight="1" x14ac:dyDescent="0.2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x14ac:dyDescent="0.25">
      <c r="A275" s="26" t="s">
        <v>169</v>
      </c>
      <c r="C275" s="14">
        <f t="shared" ref="C275:O275" si="86">C256+C257+C266+SUM(C268:C273)</f>
        <v>7735</v>
      </c>
      <c r="D275" s="14">
        <f t="shared" si="86"/>
        <v>10169</v>
      </c>
      <c r="E275" s="14">
        <f t="shared" si="86"/>
        <v>9207</v>
      </c>
      <c r="F275" s="14">
        <f t="shared" si="86"/>
        <v>20539</v>
      </c>
      <c r="G275" s="14">
        <f t="shared" si="86"/>
        <v>8787</v>
      </c>
      <c r="H275" s="14">
        <f t="shared" si="86"/>
        <v>8434</v>
      </c>
      <c r="I275" s="14">
        <f t="shared" si="86"/>
        <v>10259</v>
      </c>
      <c r="J275" s="14">
        <f t="shared" si="86"/>
        <v>7327</v>
      </c>
      <c r="K275" s="14">
        <f t="shared" si="86"/>
        <v>7327</v>
      </c>
      <c r="L275" s="14">
        <f t="shared" si="86"/>
        <v>7327</v>
      </c>
      <c r="M275" s="14">
        <f t="shared" si="86"/>
        <v>7327</v>
      </c>
      <c r="N275" s="14">
        <f t="shared" si="86"/>
        <v>7327</v>
      </c>
      <c r="O275" s="14">
        <f t="shared" si="86"/>
        <v>7327</v>
      </c>
    </row>
    <row r="276" spans="1:18" ht="3.9" customHeight="1" x14ac:dyDescent="0.25"/>
    <row r="277" spans="1:18" x14ac:dyDescent="0.25">
      <c r="A277" s="27" t="s">
        <v>30</v>
      </c>
      <c r="D277" s="14">
        <f t="shared" ref="D277:O277" si="87">D275-C275</f>
        <v>2434</v>
      </c>
      <c r="E277" s="14">
        <f t="shared" si="87"/>
        <v>-962</v>
      </c>
      <c r="F277" s="14">
        <f t="shared" si="87"/>
        <v>11332</v>
      </c>
      <c r="G277" s="14">
        <f t="shared" si="87"/>
        <v>-11752</v>
      </c>
      <c r="H277" s="14">
        <f t="shared" si="87"/>
        <v>-353</v>
      </c>
      <c r="I277" s="14">
        <f t="shared" si="87"/>
        <v>1825</v>
      </c>
      <c r="J277" s="14">
        <f t="shared" si="87"/>
        <v>-2932</v>
      </c>
      <c r="K277" s="14">
        <f t="shared" si="87"/>
        <v>0</v>
      </c>
      <c r="L277" s="14">
        <f t="shared" si="87"/>
        <v>0</v>
      </c>
      <c r="M277" s="14">
        <f t="shared" si="87"/>
        <v>0</v>
      </c>
      <c r="N277" s="14">
        <f t="shared" si="87"/>
        <v>0</v>
      </c>
      <c r="O277" s="14">
        <f t="shared" si="87"/>
        <v>0</v>
      </c>
      <c r="P277" s="14">
        <f>SUM(D277:O277)</f>
        <v>-408</v>
      </c>
      <c r="Q277" s="17">
        <f>SUM(D277:J277)</f>
        <v>-408</v>
      </c>
      <c r="R277" s="14">
        <f>P277-Q277</f>
        <v>0</v>
      </c>
    </row>
    <row r="279" spans="1:18" x14ac:dyDescent="0.25">
      <c r="A279" s="26" t="s">
        <v>170</v>
      </c>
      <c r="C279" s="17">
        <v>0</v>
      </c>
      <c r="D279" s="14">
        <f t="shared" ref="D279:O279" si="88">C284</f>
        <v>146935</v>
      </c>
      <c r="E279" s="14">
        <f t="shared" si="88"/>
        <v>153155</v>
      </c>
      <c r="F279" s="14">
        <f t="shared" si="88"/>
        <v>161015</v>
      </c>
      <c r="G279" s="14">
        <f t="shared" si="88"/>
        <v>166023</v>
      </c>
      <c r="H279" s="14">
        <f t="shared" si="88"/>
        <v>183650</v>
      </c>
      <c r="I279" s="14">
        <f t="shared" si="88"/>
        <v>189083</v>
      </c>
      <c r="J279" s="14">
        <f t="shared" si="88"/>
        <v>194082</v>
      </c>
      <c r="K279" s="14">
        <f t="shared" si="88"/>
        <v>199390</v>
      </c>
      <c r="L279" s="14">
        <f t="shared" si="88"/>
        <v>204790</v>
      </c>
      <c r="M279" s="14">
        <f t="shared" si="88"/>
        <v>209690</v>
      </c>
      <c r="N279" s="14">
        <f t="shared" si="88"/>
        <v>211690</v>
      </c>
      <c r="O279" s="14">
        <f t="shared" si="88"/>
        <v>217490</v>
      </c>
      <c r="P279" s="14"/>
    </row>
    <row r="280" spans="1:18" x14ac:dyDescent="0.25">
      <c r="A280" s="27" t="s">
        <v>171</v>
      </c>
      <c r="C280" s="17">
        <v>146935</v>
      </c>
      <c r="D280" s="17">
        <v>6220</v>
      </c>
      <c r="E280" s="17">
        <v>7860</v>
      </c>
      <c r="F280" s="17">
        <v>5008</v>
      </c>
      <c r="G280" s="17">
        <v>17627</v>
      </c>
      <c r="H280" s="17">
        <v>5433</v>
      </c>
      <c r="I280" s="17">
        <v>4999</v>
      </c>
      <c r="J280" s="17">
        <v>5308</v>
      </c>
      <c r="K280" s="17">
        <v>5400</v>
      </c>
      <c r="L280" s="17">
        <v>4900</v>
      </c>
      <c r="M280" s="17">
        <v>2000</v>
      </c>
      <c r="N280" s="17">
        <v>5800</v>
      </c>
      <c r="O280" s="17">
        <v>5400</v>
      </c>
      <c r="P280" s="14">
        <f>SUM(D280:O280)</f>
        <v>75955</v>
      </c>
      <c r="Q280" s="17">
        <f>SUM(D280:J280)</f>
        <v>52455</v>
      </c>
      <c r="R280" s="14">
        <f>P280-Q280</f>
        <v>23500</v>
      </c>
    </row>
    <row r="281" spans="1:18" x14ac:dyDescent="0.25">
      <c r="A281" s="27" t="s">
        <v>172</v>
      </c>
      <c r="B281" s="162" t="s">
        <v>173</v>
      </c>
      <c r="C281" s="17">
        <v>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7">
        <v>0</v>
      </c>
      <c r="P281" s="14">
        <f>SUM(D281:O281)</f>
        <v>0</v>
      </c>
      <c r="Q281" s="17">
        <f>SUM(D281:J281)</f>
        <v>0</v>
      </c>
      <c r="R281" s="14">
        <f>P281-Q281</f>
        <v>0</v>
      </c>
    </row>
    <row r="282" spans="1:18" x14ac:dyDescent="0.25">
      <c r="A282" s="27" t="s">
        <v>174</v>
      </c>
      <c r="C282" s="25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16">
        <f>SUM(D282:O282)</f>
        <v>0</v>
      </c>
      <c r="Q282" s="25">
        <f>SUM(D282:J282)</f>
        <v>0</v>
      </c>
      <c r="R282" s="16">
        <f>P282-Q282</f>
        <v>0</v>
      </c>
    </row>
    <row r="283" spans="1:18" ht="3.9" customHeight="1" x14ac:dyDescent="0.2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x14ac:dyDescent="0.25">
      <c r="A284" s="26" t="s">
        <v>175</v>
      </c>
      <c r="C284" s="14">
        <f t="shared" ref="C284:O284" si="89">SUM(C279:C283)</f>
        <v>146935</v>
      </c>
      <c r="D284" s="14">
        <f t="shared" si="89"/>
        <v>153155</v>
      </c>
      <c r="E284" s="14">
        <f t="shared" si="89"/>
        <v>161015</v>
      </c>
      <c r="F284" s="14">
        <f t="shared" si="89"/>
        <v>166023</v>
      </c>
      <c r="G284" s="14">
        <f t="shared" si="89"/>
        <v>183650</v>
      </c>
      <c r="H284" s="14">
        <f t="shared" si="89"/>
        <v>189083</v>
      </c>
      <c r="I284" s="14">
        <f t="shared" si="89"/>
        <v>194082</v>
      </c>
      <c r="J284" s="14">
        <f t="shared" si="89"/>
        <v>199390</v>
      </c>
      <c r="K284" s="14">
        <f t="shared" si="89"/>
        <v>204790</v>
      </c>
      <c r="L284" s="14">
        <f t="shared" si="89"/>
        <v>209690</v>
      </c>
      <c r="M284" s="14">
        <f t="shared" si="89"/>
        <v>211690</v>
      </c>
      <c r="N284" s="14">
        <f t="shared" si="89"/>
        <v>217490</v>
      </c>
      <c r="O284" s="14">
        <f t="shared" si="89"/>
        <v>222890</v>
      </c>
      <c r="P284" s="14"/>
    </row>
    <row r="285" spans="1:18" ht="3.9" customHeight="1" x14ac:dyDescent="0.25"/>
    <row r="286" spans="1:18" x14ac:dyDescent="0.25">
      <c r="A286" s="27" t="s">
        <v>30</v>
      </c>
      <c r="D286" s="14">
        <f t="shared" ref="D286:O286" si="90">D284-C284</f>
        <v>6220</v>
      </c>
      <c r="E286" s="14">
        <f t="shared" si="90"/>
        <v>7860</v>
      </c>
      <c r="F286" s="14">
        <f t="shared" si="90"/>
        <v>5008</v>
      </c>
      <c r="G286" s="14">
        <f t="shared" si="90"/>
        <v>17627</v>
      </c>
      <c r="H286" s="14">
        <f t="shared" si="90"/>
        <v>5433</v>
      </c>
      <c r="I286" s="14">
        <f t="shared" si="90"/>
        <v>4999</v>
      </c>
      <c r="J286" s="14">
        <f t="shared" si="90"/>
        <v>5308</v>
      </c>
      <c r="K286" s="14">
        <f t="shared" si="90"/>
        <v>5400</v>
      </c>
      <c r="L286" s="14">
        <f t="shared" si="90"/>
        <v>4900</v>
      </c>
      <c r="M286" s="14">
        <f t="shared" si="90"/>
        <v>2000</v>
      </c>
      <c r="N286" s="14">
        <f t="shared" si="90"/>
        <v>5800</v>
      </c>
      <c r="O286" s="14">
        <f t="shared" si="90"/>
        <v>5400</v>
      </c>
      <c r="P286" s="14">
        <f>SUM(D286:O286)</f>
        <v>75955</v>
      </c>
      <c r="Q286" s="14">
        <f>SUM(Q280:Q283)</f>
        <v>52455</v>
      </c>
      <c r="R286" s="14">
        <f>P286-Q286</f>
        <v>23500</v>
      </c>
    </row>
    <row r="288" spans="1:18" x14ac:dyDescent="0.25">
      <c r="A288" s="26" t="s">
        <v>176</v>
      </c>
      <c r="D288" s="14">
        <f t="shared" ref="D288:O288" si="91">C293</f>
        <v>0</v>
      </c>
      <c r="E288" s="14">
        <f t="shared" si="91"/>
        <v>0</v>
      </c>
      <c r="F288" s="14">
        <f t="shared" si="91"/>
        <v>0</v>
      </c>
      <c r="G288" s="14">
        <f t="shared" si="91"/>
        <v>0</v>
      </c>
      <c r="H288" s="14">
        <f t="shared" si="91"/>
        <v>0</v>
      </c>
      <c r="I288" s="14">
        <f t="shared" si="91"/>
        <v>0</v>
      </c>
      <c r="J288" s="14">
        <f t="shared" si="91"/>
        <v>0</v>
      </c>
      <c r="K288" s="14">
        <f t="shared" si="91"/>
        <v>0</v>
      </c>
      <c r="L288" s="14">
        <f t="shared" si="91"/>
        <v>2571</v>
      </c>
      <c r="M288" s="14">
        <f t="shared" si="91"/>
        <v>6765</v>
      </c>
      <c r="N288" s="14">
        <f t="shared" si="91"/>
        <v>7076</v>
      </c>
      <c r="O288" s="14">
        <f t="shared" si="91"/>
        <v>8768</v>
      </c>
      <c r="P288" s="14"/>
    </row>
    <row r="289" spans="1:18" x14ac:dyDescent="0.25">
      <c r="A289" s="27" t="s">
        <v>177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  <c r="O289" s="17">
        <v>0</v>
      </c>
      <c r="P289" s="14">
        <f>SUM(D289:O289)</f>
        <v>0</v>
      </c>
      <c r="Q289" s="17">
        <f>SUM(D289:J289)</f>
        <v>0</v>
      </c>
      <c r="R289" s="14">
        <f>P289-Q289</f>
        <v>0</v>
      </c>
    </row>
    <row r="290" spans="1:18" x14ac:dyDescent="0.25">
      <c r="A290" s="27" t="s">
        <v>40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2571</v>
      </c>
      <c r="L290" s="17">
        <v>4194</v>
      </c>
      <c r="M290" s="17">
        <v>311</v>
      </c>
      <c r="N290" s="17">
        <v>1692</v>
      </c>
      <c r="O290" s="17">
        <v>-1034</v>
      </c>
      <c r="P290" s="14">
        <f>SUM(D290:O290)</f>
        <v>7734</v>
      </c>
      <c r="Q290" s="17">
        <f>SUM(D290:J290)</f>
        <v>0</v>
      </c>
      <c r="R290" s="14">
        <f>P290-Q290</f>
        <v>7734</v>
      </c>
    </row>
    <row r="291" spans="1:18" x14ac:dyDescent="0.25">
      <c r="A291" s="27" t="s">
        <v>178</v>
      </c>
      <c r="C291" s="25">
        <v>0</v>
      </c>
      <c r="D291" s="25">
        <v>0</v>
      </c>
      <c r="E291" s="25">
        <v>0</v>
      </c>
      <c r="F291" s="25">
        <v>0</v>
      </c>
      <c r="G291" s="25">
        <v>0</v>
      </c>
      <c r="H291" s="25">
        <v>0</v>
      </c>
      <c r="I291" s="25">
        <v>0</v>
      </c>
      <c r="J291" s="25">
        <v>0</v>
      </c>
      <c r="K291" s="25">
        <v>0</v>
      </c>
      <c r="L291" s="25">
        <v>0</v>
      </c>
      <c r="M291" s="25">
        <v>0</v>
      </c>
      <c r="N291" s="25">
        <v>0</v>
      </c>
      <c r="O291" s="25">
        <v>0</v>
      </c>
      <c r="P291" s="16">
        <f>SUM(D291:O291)</f>
        <v>0</v>
      </c>
      <c r="Q291" s="25">
        <f>SUM(D291:J291)</f>
        <v>0</v>
      </c>
      <c r="R291" s="16">
        <f>P291-Q291</f>
        <v>0</v>
      </c>
    </row>
    <row r="292" spans="1:18" ht="3.9" customHeight="1" x14ac:dyDescent="0.2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x14ac:dyDescent="0.25">
      <c r="A293" s="26" t="s">
        <v>179</v>
      </c>
      <c r="C293" s="14">
        <f>SUM(C289:C292)</f>
        <v>0</v>
      </c>
      <c r="D293" s="14">
        <f t="shared" ref="D293:O293" si="92">SUM(D288:D292)</f>
        <v>0</v>
      </c>
      <c r="E293" s="14">
        <f t="shared" si="92"/>
        <v>0</v>
      </c>
      <c r="F293" s="14">
        <f t="shared" si="92"/>
        <v>0</v>
      </c>
      <c r="G293" s="14">
        <f t="shared" si="92"/>
        <v>0</v>
      </c>
      <c r="H293" s="14">
        <f t="shared" si="92"/>
        <v>0</v>
      </c>
      <c r="I293" s="14">
        <f t="shared" si="92"/>
        <v>0</v>
      </c>
      <c r="J293" s="14">
        <f t="shared" si="92"/>
        <v>0</v>
      </c>
      <c r="K293" s="14">
        <f t="shared" si="92"/>
        <v>2571</v>
      </c>
      <c r="L293" s="14">
        <f t="shared" si="92"/>
        <v>6765</v>
      </c>
      <c r="M293" s="14">
        <f t="shared" si="92"/>
        <v>7076</v>
      </c>
      <c r="N293" s="14">
        <f t="shared" si="92"/>
        <v>8768</v>
      </c>
      <c r="O293" s="14">
        <f t="shared" si="92"/>
        <v>7734</v>
      </c>
      <c r="P293" s="14"/>
    </row>
    <row r="294" spans="1:18" ht="3.9" customHeight="1" x14ac:dyDescent="0.25"/>
    <row r="295" spans="1:18" x14ac:dyDescent="0.25">
      <c r="A295" s="27" t="s">
        <v>30</v>
      </c>
      <c r="D295" s="14">
        <f t="shared" ref="D295:O295" si="93">D293-C293</f>
        <v>0</v>
      </c>
      <c r="E295" s="14">
        <f t="shared" si="93"/>
        <v>0</v>
      </c>
      <c r="F295" s="14">
        <f t="shared" si="93"/>
        <v>0</v>
      </c>
      <c r="G295" s="14">
        <f t="shared" si="93"/>
        <v>0</v>
      </c>
      <c r="H295" s="14">
        <f t="shared" si="93"/>
        <v>0</v>
      </c>
      <c r="I295" s="14">
        <f t="shared" si="93"/>
        <v>0</v>
      </c>
      <c r="J295" s="14">
        <f t="shared" si="93"/>
        <v>0</v>
      </c>
      <c r="K295" s="14">
        <f t="shared" si="93"/>
        <v>2571</v>
      </c>
      <c r="L295" s="14">
        <f t="shared" si="93"/>
        <v>4194</v>
      </c>
      <c r="M295" s="14">
        <f t="shared" si="93"/>
        <v>311</v>
      </c>
      <c r="N295" s="14">
        <f t="shared" si="93"/>
        <v>1692</v>
      </c>
      <c r="O295" s="14">
        <f t="shared" si="93"/>
        <v>-1034</v>
      </c>
      <c r="P295" s="14">
        <f>SUM(D295:O295)</f>
        <v>7734</v>
      </c>
      <c r="Q295" s="14">
        <f>SUM(Q289:Q292)</f>
        <v>0</v>
      </c>
      <c r="R295" s="14">
        <f>P295-Q295</f>
        <v>7734</v>
      </c>
    </row>
    <row r="297" spans="1:18" x14ac:dyDescent="0.25">
      <c r="A297" s="26" t="s">
        <v>180</v>
      </c>
      <c r="D297" s="14">
        <f t="shared" ref="D297:O297" si="94">C309</f>
        <v>0</v>
      </c>
      <c r="E297" s="14">
        <f t="shared" si="94"/>
        <v>0</v>
      </c>
      <c r="F297" s="14">
        <f t="shared" si="94"/>
        <v>0</v>
      </c>
      <c r="G297" s="14">
        <f t="shared" si="94"/>
        <v>0</v>
      </c>
      <c r="H297" s="14">
        <f t="shared" si="94"/>
        <v>22967</v>
      </c>
      <c r="I297" s="14">
        <f t="shared" si="94"/>
        <v>5940</v>
      </c>
      <c r="J297" s="14">
        <f t="shared" si="94"/>
        <v>0</v>
      </c>
      <c r="K297" s="14">
        <f t="shared" si="94"/>
        <v>-10</v>
      </c>
      <c r="L297" s="14">
        <f t="shared" si="94"/>
        <v>-10</v>
      </c>
      <c r="M297" s="14">
        <f t="shared" si="94"/>
        <v>-10</v>
      </c>
      <c r="N297" s="14">
        <f t="shared" si="94"/>
        <v>-10</v>
      </c>
      <c r="O297" s="14">
        <f t="shared" si="94"/>
        <v>-10</v>
      </c>
    </row>
    <row r="298" spans="1:18" x14ac:dyDescent="0.25">
      <c r="A298" s="27" t="s">
        <v>181</v>
      </c>
      <c r="C298" s="17">
        <v>0</v>
      </c>
      <c r="D298" s="17">
        <v>0</v>
      </c>
      <c r="E298" s="17">
        <v>0</v>
      </c>
      <c r="F298" s="17">
        <v>0</v>
      </c>
      <c r="G298" s="17">
        <v>22967</v>
      </c>
      <c r="H298" s="17">
        <v>-17027</v>
      </c>
      <c r="I298" s="17">
        <v>0</v>
      </c>
      <c r="J298" s="17">
        <v>0</v>
      </c>
      <c r="K298" s="17">
        <v>0</v>
      </c>
      <c r="L298" s="17">
        <v>0</v>
      </c>
      <c r="M298" s="17">
        <v>0</v>
      </c>
      <c r="N298" s="17">
        <v>0</v>
      </c>
      <c r="O298" s="17">
        <v>0</v>
      </c>
      <c r="P298" s="14">
        <f t="shared" ref="P298:P307" si="95">SUM(D298:O298)</f>
        <v>5940</v>
      </c>
      <c r="Q298" s="17">
        <f t="shared" ref="Q298:Q307" si="96">SUM(D298:J298)</f>
        <v>5940</v>
      </c>
      <c r="R298" s="14">
        <f t="shared" ref="R298:R307" si="97">P298-Q298</f>
        <v>0</v>
      </c>
    </row>
    <row r="299" spans="1:18" x14ac:dyDescent="0.25">
      <c r="A299" s="27" t="s">
        <v>182</v>
      </c>
      <c r="C299" s="17"/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-5940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  <c r="O299" s="17">
        <v>0</v>
      </c>
      <c r="P299" s="14">
        <f t="shared" si="95"/>
        <v>-5940</v>
      </c>
      <c r="Q299" s="17">
        <f t="shared" si="96"/>
        <v>-5940</v>
      </c>
      <c r="R299" s="14">
        <f t="shared" si="97"/>
        <v>0</v>
      </c>
    </row>
    <row r="300" spans="1:18" x14ac:dyDescent="0.25">
      <c r="A300" s="27" t="s">
        <v>40</v>
      </c>
      <c r="C300" s="17"/>
      <c r="D300" s="17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-10</v>
      </c>
      <c r="K300" s="17">
        <v>0</v>
      </c>
      <c r="L300" s="17">
        <v>0</v>
      </c>
      <c r="M300" s="17">
        <v>0</v>
      </c>
      <c r="N300" s="17">
        <v>0</v>
      </c>
      <c r="O300" s="17">
        <v>0</v>
      </c>
      <c r="P300" s="14">
        <f t="shared" si="95"/>
        <v>-10</v>
      </c>
      <c r="Q300" s="17">
        <f t="shared" si="96"/>
        <v>-10</v>
      </c>
      <c r="R300" s="14">
        <f t="shared" si="97"/>
        <v>0</v>
      </c>
    </row>
    <row r="301" spans="1:18" x14ac:dyDescent="0.25">
      <c r="A301" s="27" t="s">
        <v>40</v>
      </c>
      <c r="B301" s="18"/>
      <c r="C301" s="17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14">
        <f t="shared" si="95"/>
        <v>0</v>
      </c>
      <c r="Q301" s="17">
        <f t="shared" si="96"/>
        <v>0</v>
      </c>
      <c r="R301" s="14">
        <f t="shared" si="97"/>
        <v>0</v>
      </c>
    </row>
    <row r="302" spans="1:18" x14ac:dyDescent="0.25">
      <c r="A302" s="27" t="s">
        <v>40</v>
      </c>
      <c r="B302" s="18"/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14">
        <f t="shared" si="95"/>
        <v>0</v>
      </c>
      <c r="Q302" s="17">
        <f t="shared" si="96"/>
        <v>0</v>
      </c>
      <c r="R302" s="14">
        <f t="shared" si="97"/>
        <v>0</v>
      </c>
    </row>
    <row r="303" spans="1:18" x14ac:dyDescent="0.25">
      <c r="A303" s="27" t="s">
        <v>40</v>
      </c>
      <c r="C303" s="17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14">
        <f t="shared" si="95"/>
        <v>0</v>
      </c>
      <c r="Q303" s="17">
        <f t="shared" si="96"/>
        <v>0</v>
      </c>
      <c r="R303" s="14">
        <f t="shared" si="97"/>
        <v>0</v>
      </c>
    </row>
    <row r="304" spans="1:18" x14ac:dyDescent="0.25">
      <c r="A304" s="27" t="s">
        <v>40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14">
        <f t="shared" si="95"/>
        <v>0</v>
      </c>
      <c r="Q304" s="17">
        <f t="shared" si="96"/>
        <v>0</v>
      </c>
      <c r="R304" s="14">
        <f t="shared" si="97"/>
        <v>0</v>
      </c>
    </row>
    <row r="305" spans="1:18" x14ac:dyDescent="0.25">
      <c r="A305" s="27" t="s">
        <v>40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4">
        <f t="shared" si="95"/>
        <v>0</v>
      </c>
      <c r="Q305" s="17">
        <f t="shared" si="96"/>
        <v>0</v>
      </c>
      <c r="R305" s="14">
        <f t="shared" si="97"/>
        <v>0</v>
      </c>
    </row>
    <row r="306" spans="1:18" x14ac:dyDescent="0.25">
      <c r="A306" s="27" t="s">
        <v>40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14">
        <f t="shared" si="95"/>
        <v>0</v>
      </c>
      <c r="Q306" s="17">
        <f t="shared" si="96"/>
        <v>0</v>
      </c>
      <c r="R306" s="14">
        <f t="shared" si="97"/>
        <v>0</v>
      </c>
    </row>
    <row r="307" spans="1:18" x14ac:dyDescent="0.25">
      <c r="A307" s="27" t="s">
        <v>178</v>
      </c>
      <c r="C307" s="25">
        <v>0</v>
      </c>
      <c r="D307" s="25">
        <v>0</v>
      </c>
      <c r="E307" s="25">
        <v>0</v>
      </c>
      <c r="F307" s="25">
        <v>0</v>
      </c>
      <c r="G307" s="25">
        <v>0</v>
      </c>
      <c r="H307" s="25">
        <v>0</v>
      </c>
      <c r="I307" s="25">
        <v>0</v>
      </c>
      <c r="J307" s="25">
        <v>0</v>
      </c>
      <c r="K307" s="25">
        <v>0</v>
      </c>
      <c r="L307" s="25">
        <v>0</v>
      </c>
      <c r="M307" s="25">
        <v>0</v>
      </c>
      <c r="N307" s="25">
        <v>0</v>
      </c>
      <c r="O307" s="25">
        <v>0</v>
      </c>
      <c r="P307" s="16">
        <f t="shared" si="95"/>
        <v>0</v>
      </c>
      <c r="Q307" s="25">
        <f t="shared" si="96"/>
        <v>0</v>
      </c>
      <c r="R307" s="16">
        <f t="shared" si="97"/>
        <v>0</v>
      </c>
    </row>
    <row r="308" spans="1:18" ht="3.9" customHeight="1" x14ac:dyDescent="0.2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x14ac:dyDescent="0.25">
      <c r="A309" s="26" t="s">
        <v>180</v>
      </c>
      <c r="C309" s="14">
        <f t="shared" ref="C309:O309" si="98">SUM(C297:C308)</f>
        <v>0</v>
      </c>
      <c r="D309" s="14">
        <f t="shared" si="98"/>
        <v>0</v>
      </c>
      <c r="E309" s="14">
        <f t="shared" si="98"/>
        <v>0</v>
      </c>
      <c r="F309" s="14">
        <f t="shared" si="98"/>
        <v>0</v>
      </c>
      <c r="G309" s="14">
        <f t="shared" si="98"/>
        <v>22967</v>
      </c>
      <c r="H309" s="14">
        <f t="shared" si="98"/>
        <v>5940</v>
      </c>
      <c r="I309" s="14">
        <f t="shared" si="98"/>
        <v>0</v>
      </c>
      <c r="J309" s="14">
        <f t="shared" si="98"/>
        <v>-10</v>
      </c>
      <c r="K309" s="14">
        <f t="shared" si="98"/>
        <v>-10</v>
      </c>
      <c r="L309" s="14">
        <f t="shared" si="98"/>
        <v>-10</v>
      </c>
      <c r="M309" s="14">
        <f t="shared" si="98"/>
        <v>-10</v>
      </c>
      <c r="N309" s="14">
        <f t="shared" si="98"/>
        <v>-10</v>
      </c>
      <c r="O309" s="14">
        <f t="shared" si="98"/>
        <v>-10</v>
      </c>
    </row>
    <row r="310" spans="1:18" ht="3.9" customHeight="1" x14ac:dyDescent="0.25"/>
    <row r="311" spans="1:18" x14ac:dyDescent="0.25">
      <c r="A311" s="27" t="s">
        <v>30</v>
      </c>
      <c r="D311" s="14">
        <f t="shared" ref="D311:O311" si="99">D309-C309</f>
        <v>0</v>
      </c>
      <c r="E311" s="14">
        <f t="shared" si="99"/>
        <v>0</v>
      </c>
      <c r="F311" s="14">
        <f t="shared" si="99"/>
        <v>0</v>
      </c>
      <c r="G311" s="14">
        <f t="shared" si="99"/>
        <v>22967</v>
      </c>
      <c r="H311" s="14">
        <f t="shared" si="99"/>
        <v>-17027</v>
      </c>
      <c r="I311" s="14">
        <f t="shared" si="99"/>
        <v>-5940</v>
      </c>
      <c r="J311" s="14">
        <f t="shared" si="99"/>
        <v>-10</v>
      </c>
      <c r="K311" s="14">
        <f t="shared" si="99"/>
        <v>0</v>
      </c>
      <c r="L311" s="14">
        <f t="shared" si="99"/>
        <v>0</v>
      </c>
      <c r="M311" s="14">
        <f t="shared" si="99"/>
        <v>0</v>
      </c>
      <c r="N311" s="14">
        <f t="shared" si="99"/>
        <v>0</v>
      </c>
      <c r="O311" s="14">
        <f t="shared" si="99"/>
        <v>0</v>
      </c>
      <c r="P311" s="14">
        <f>SUM(D311:O311)</f>
        <v>-10</v>
      </c>
      <c r="Q311" s="14">
        <f>SUM(Q298:Q308)</f>
        <v>-10</v>
      </c>
      <c r="R311" s="14">
        <f>P311-Q311</f>
        <v>0</v>
      </c>
    </row>
    <row r="313" spans="1:18" ht="8.1" customHeight="1" x14ac:dyDescent="0.25"/>
    <row r="314" spans="1:18" x14ac:dyDescent="0.25">
      <c r="A314" s="26" t="s">
        <v>183</v>
      </c>
      <c r="D314" s="14">
        <f t="shared" ref="D314:O314" si="100">C317</f>
        <v>7331</v>
      </c>
      <c r="E314" s="14">
        <f t="shared" si="100"/>
        <v>8570</v>
      </c>
      <c r="F314" s="14">
        <f t="shared" si="100"/>
        <v>6683</v>
      </c>
      <c r="G314" s="14">
        <f t="shared" si="100"/>
        <v>8636</v>
      </c>
      <c r="H314" s="14">
        <f t="shared" si="100"/>
        <v>10593</v>
      </c>
      <c r="I314" s="14">
        <f t="shared" si="100"/>
        <v>11431</v>
      </c>
      <c r="J314" s="14">
        <f t="shared" si="100"/>
        <v>12007</v>
      </c>
      <c r="K314" s="14">
        <f t="shared" si="100"/>
        <v>13191</v>
      </c>
      <c r="L314" s="14">
        <f t="shared" si="100"/>
        <v>13191</v>
      </c>
      <c r="M314" s="14">
        <f t="shared" si="100"/>
        <v>13191</v>
      </c>
      <c r="N314" s="14">
        <f t="shared" si="100"/>
        <v>13191</v>
      </c>
      <c r="O314" s="14">
        <f t="shared" si="100"/>
        <v>13191</v>
      </c>
      <c r="P314" s="14"/>
    </row>
    <row r="315" spans="1:18" x14ac:dyDescent="0.25">
      <c r="A315" s="27" t="s">
        <v>178</v>
      </c>
      <c r="C315" s="25">
        <v>0</v>
      </c>
      <c r="D315" s="25">
        <v>1239</v>
      </c>
      <c r="E315" s="25">
        <v>-1887</v>
      </c>
      <c r="F315" s="25">
        <v>1953</v>
      </c>
      <c r="G315" s="25">
        <v>1957</v>
      </c>
      <c r="H315" s="25">
        <v>838</v>
      </c>
      <c r="I315" s="25">
        <v>576</v>
      </c>
      <c r="J315" s="25">
        <v>1184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6">
        <f>SUM(D315:O315)</f>
        <v>5860</v>
      </c>
      <c r="Q315" s="25">
        <f>SUM(D315:J315)</f>
        <v>5860</v>
      </c>
      <c r="R315" s="16">
        <f>P315-Q315</f>
        <v>0</v>
      </c>
    </row>
    <row r="316" spans="1:18" ht="3.9" customHeight="1" x14ac:dyDescent="0.2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x14ac:dyDescent="0.25">
      <c r="A317" s="26" t="s">
        <v>184</v>
      </c>
      <c r="C317" s="17">
        <v>7331</v>
      </c>
      <c r="D317" s="14">
        <f t="shared" ref="D317:O317" si="101">D314+D315</f>
        <v>8570</v>
      </c>
      <c r="E317" s="14">
        <f t="shared" si="101"/>
        <v>6683</v>
      </c>
      <c r="F317" s="14">
        <f t="shared" si="101"/>
        <v>8636</v>
      </c>
      <c r="G317" s="14">
        <f t="shared" si="101"/>
        <v>10593</v>
      </c>
      <c r="H317" s="14">
        <f t="shared" si="101"/>
        <v>11431</v>
      </c>
      <c r="I317" s="14">
        <f t="shared" si="101"/>
        <v>12007</v>
      </c>
      <c r="J317" s="14">
        <f t="shared" si="101"/>
        <v>13191</v>
      </c>
      <c r="K317" s="14">
        <f t="shared" si="101"/>
        <v>13191</v>
      </c>
      <c r="L317" s="14">
        <f t="shared" si="101"/>
        <v>13191</v>
      </c>
      <c r="M317" s="14">
        <f t="shared" si="101"/>
        <v>13191</v>
      </c>
      <c r="N317" s="14">
        <f t="shared" si="101"/>
        <v>13191</v>
      </c>
      <c r="O317" s="14">
        <f t="shared" si="101"/>
        <v>13191</v>
      </c>
      <c r="P317" s="14"/>
    </row>
    <row r="318" spans="1:18" ht="3.9" customHeight="1" x14ac:dyDescent="0.25"/>
    <row r="319" spans="1:18" x14ac:dyDescent="0.25">
      <c r="A319" s="27" t="s">
        <v>30</v>
      </c>
      <c r="D319" s="14">
        <f t="shared" ref="D319:O319" si="102">D317-C317</f>
        <v>1239</v>
      </c>
      <c r="E319" s="14">
        <f t="shared" si="102"/>
        <v>-1887</v>
      </c>
      <c r="F319" s="14">
        <f t="shared" si="102"/>
        <v>1953</v>
      </c>
      <c r="G319" s="14">
        <f t="shared" si="102"/>
        <v>1957</v>
      </c>
      <c r="H319" s="14">
        <f t="shared" si="102"/>
        <v>838</v>
      </c>
      <c r="I319" s="14">
        <f t="shared" si="102"/>
        <v>576</v>
      </c>
      <c r="J319" s="14">
        <f t="shared" si="102"/>
        <v>1184</v>
      </c>
      <c r="K319" s="14">
        <f t="shared" si="102"/>
        <v>0</v>
      </c>
      <c r="L319" s="14">
        <f t="shared" si="102"/>
        <v>0</v>
      </c>
      <c r="M319" s="14">
        <f t="shared" si="102"/>
        <v>0</v>
      </c>
      <c r="N319" s="14">
        <f t="shared" si="102"/>
        <v>0</v>
      </c>
      <c r="O319" s="14">
        <f t="shared" si="102"/>
        <v>0</v>
      </c>
      <c r="P319" s="14">
        <f>SUM(D319:O319)</f>
        <v>5860</v>
      </c>
      <c r="Q319" s="14">
        <f>Q315</f>
        <v>5860</v>
      </c>
      <c r="R319" s="14">
        <f>P319-Q319</f>
        <v>0</v>
      </c>
    </row>
    <row r="322" spans="1:18" x14ac:dyDescent="0.25">
      <c r="A322" s="26" t="s">
        <v>185</v>
      </c>
    </row>
    <row r="323" spans="1:18" x14ac:dyDescent="0.25">
      <c r="A323" s="27" t="s">
        <v>186</v>
      </c>
      <c r="B323" s="18" t="s">
        <v>34</v>
      </c>
      <c r="C323" s="14"/>
      <c r="D323" s="153">
        <f>[1]Source!D41</f>
        <v>956</v>
      </c>
      <c r="E323" s="153">
        <f>[1]Source!E41</f>
        <v>1007</v>
      </c>
      <c r="F323" s="153">
        <f>[1]Source!F41</f>
        <v>914</v>
      </c>
      <c r="G323" s="153">
        <f>[1]Source!G41</f>
        <v>909</v>
      </c>
      <c r="H323" s="153">
        <f>[1]Source!H41</f>
        <v>913</v>
      </c>
      <c r="I323" s="153">
        <f>[1]Source!I41</f>
        <v>917</v>
      </c>
      <c r="J323" s="153">
        <f>[1]Source!J41</f>
        <v>905</v>
      </c>
      <c r="K323" s="153">
        <f>[1]Source!K41</f>
        <v>901</v>
      </c>
      <c r="L323" s="153">
        <f>[1]Source!L41</f>
        <v>919</v>
      </c>
      <c r="M323" s="153">
        <f>[1]Source!M41</f>
        <v>917</v>
      </c>
      <c r="N323" s="153">
        <f>[1]Source!N41</f>
        <v>917</v>
      </c>
      <c r="O323" s="153">
        <f>[1]Source!O41</f>
        <v>917</v>
      </c>
      <c r="P323" s="14">
        <f>SUM(D323:O323)</f>
        <v>11092</v>
      </c>
      <c r="Q323" s="17">
        <f>SUM(D323:J323)</f>
        <v>6521</v>
      </c>
      <c r="R323" s="14">
        <f>P323-Q323</f>
        <v>4571</v>
      </c>
    </row>
    <row r="324" spans="1:18" x14ac:dyDescent="0.25">
      <c r="A324" s="27" t="s">
        <v>187</v>
      </c>
      <c r="C324" s="14"/>
      <c r="D324" s="17">
        <v>-1083</v>
      </c>
      <c r="E324" s="17">
        <v>176</v>
      </c>
      <c r="F324" s="17">
        <v>-55</v>
      </c>
      <c r="G324" s="17">
        <v>-3329</v>
      </c>
      <c r="H324" s="17">
        <v>-727</v>
      </c>
      <c r="I324" s="17">
        <v>-99</v>
      </c>
      <c r="J324" s="17">
        <v>0</v>
      </c>
      <c r="K324" s="17">
        <v>0</v>
      </c>
      <c r="L324" s="17">
        <v>0</v>
      </c>
      <c r="M324" s="17">
        <v>-3327</v>
      </c>
      <c r="N324" s="17">
        <v>0</v>
      </c>
      <c r="O324" s="17">
        <v>-1106</v>
      </c>
      <c r="P324" s="14">
        <f>SUM(D324:O324)</f>
        <v>-9550</v>
      </c>
      <c r="Q324" s="17">
        <f>SUM(D324:J324)</f>
        <v>-5117</v>
      </c>
      <c r="R324" s="14">
        <f>P324-Q324</f>
        <v>-4433</v>
      </c>
    </row>
    <row r="325" spans="1:18" x14ac:dyDescent="0.25">
      <c r="A325" s="27" t="s">
        <v>188</v>
      </c>
      <c r="C325" s="14"/>
      <c r="D325" s="17">
        <v>0</v>
      </c>
      <c r="E325" s="17">
        <v>-199</v>
      </c>
      <c r="F325" s="17">
        <v>0</v>
      </c>
      <c r="G325" s="17">
        <v>0</v>
      </c>
      <c r="H325" s="17">
        <v>0</v>
      </c>
      <c r="I325" s="17">
        <v>-197</v>
      </c>
      <c r="J325" s="17">
        <v>0</v>
      </c>
      <c r="K325" s="17">
        <v>-215</v>
      </c>
      <c r="L325" s="17">
        <v>0</v>
      </c>
      <c r="M325" s="17">
        <v>0</v>
      </c>
      <c r="N325" s="17">
        <v>-200</v>
      </c>
      <c r="O325" s="17">
        <v>-100</v>
      </c>
      <c r="P325" s="14">
        <f>SUM(D325:O325)</f>
        <v>-911</v>
      </c>
      <c r="Q325" s="17">
        <f>SUM(D325:J325)</f>
        <v>-396</v>
      </c>
      <c r="R325" s="14">
        <f>P325-Q325</f>
        <v>-515</v>
      </c>
    </row>
    <row r="326" spans="1:18" x14ac:dyDescent="0.25">
      <c r="A326" s="27" t="s">
        <v>189</v>
      </c>
      <c r="B326" s="18" t="s">
        <v>34</v>
      </c>
      <c r="C326" s="14"/>
      <c r="D326" s="161">
        <f>[1]Source!D40</f>
        <v>-130</v>
      </c>
      <c r="E326" s="161">
        <f>[1]Source!E40</f>
        <v>-178</v>
      </c>
      <c r="F326" s="161">
        <f>[1]Source!F40</f>
        <v>-90</v>
      </c>
      <c r="G326" s="161">
        <f>[1]Source!G40</f>
        <v>-84</v>
      </c>
      <c r="H326" s="161">
        <f>[1]Source!H40</f>
        <v>-89</v>
      </c>
      <c r="I326" s="161">
        <f>[1]Source!I40</f>
        <v>-88</v>
      </c>
      <c r="J326" s="161">
        <f>[1]Source!J40</f>
        <v>-80</v>
      </c>
      <c r="K326" s="161">
        <f>[1]Source!K40</f>
        <v>-76</v>
      </c>
      <c r="L326" s="161">
        <f>[1]Source!L40</f>
        <v>-94</v>
      </c>
      <c r="M326" s="161">
        <f>[1]Source!M40</f>
        <v>-92</v>
      </c>
      <c r="N326" s="161">
        <f>[1]Source!N40</f>
        <v>-92</v>
      </c>
      <c r="O326" s="161">
        <f>[1]Source!O40</f>
        <v>-92</v>
      </c>
      <c r="P326" s="16">
        <f>SUM(D326:O326)</f>
        <v>-1185</v>
      </c>
      <c r="Q326" s="25">
        <f>SUM(D326:J326)</f>
        <v>-739</v>
      </c>
      <c r="R326" s="16">
        <f>P326-Q326</f>
        <v>-446</v>
      </c>
    </row>
    <row r="327" spans="1:18" ht="3.9" customHeight="1" x14ac:dyDescent="0.2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x14ac:dyDescent="0.25">
      <c r="A328" s="27" t="s">
        <v>190</v>
      </c>
      <c r="C328" s="14"/>
      <c r="D328" s="16">
        <f t="shared" ref="D328:Q328" si="103">SUM(D323:D327)</f>
        <v>-257</v>
      </c>
      <c r="E328" s="16">
        <f t="shared" si="103"/>
        <v>806</v>
      </c>
      <c r="F328" s="16">
        <f t="shared" si="103"/>
        <v>769</v>
      </c>
      <c r="G328" s="16">
        <f t="shared" si="103"/>
        <v>-2504</v>
      </c>
      <c r="H328" s="16">
        <f t="shared" si="103"/>
        <v>97</v>
      </c>
      <c r="I328" s="16">
        <f t="shared" si="103"/>
        <v>533</v>
      </c>
      <c r="J328" s="16">
        <f t="shared" si="103"/>
        <v>825</v>
      </c>
      <c r="K328" s="16">
        <f t="shared" si="103"/>
        <v>610</v>
      </c>
      <c r="L328" s="16">
        <f t="shared" si="103"/>
        <v>825</v>
      </c>
      <c r="M328" s="16">
        <f t="shared" si="103"/>
        <v>-2502</v>
      </c>
      <c r="N328" s="16">
        <f t="shared" si="103"/>
        <v>625</v>
      </c>
      <c r="O328" s="16">
        <f t="shared" si="103"/>
        <v>-381</v>
      </c>
      <c r="P328" s="16">
        <f t="shared" si="103"/>
        <v>-554</v>
      </c>
      <c r="Q328" s="16">
        <f t="shared" si="103"/>
        <v>269</v>
      </c>
      <c r="R328" s="16">
        <f>P328-Q328</f>
        <v>-823</v>
      </c>
    </row>
    <row r="329" spans="1:18" ht="6" customHeight="1" x14ac:dyDescent="0.2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1:18" x14ac:dyDescent="0.25">
      <c r="A330" s="27" t="s">
        <v>191</v>
      </c>
      <c r="B330" s="18" t="s">
        <v>34</v>
      </c>
      <c r="C330" s="14"/>
      <c r="D330" s="161">
        <f>[1]Source!D55</f>
        <v>4269</v>
      </c>
      <c r="E330" s="161">
        <f>[1]Source!E55</f>
        <v>5462</v>
      </c>
      <c r="F330" s="161">
        <f>[1]Source!F55</f>
        <v>2160</v>
      </c>
      <c r="G330" s="161">
        <f>[1]Source!G55</f>
        <v>5223</v>
      </c>
      <c r="H330" s="161">
        <f>[1]Source!H55</f>
        <v>4858</v>
      </c>
      <c r="I330" s="161">
        <f>[1]Source!I55</f>
        <v>4043</v>
      </c>
      <c r="J330" s="161">
        <f>[1]Source!J55</f>
        <v>4434</v>
      </c>
      <c r="K330" s="161">
        <f>[1]Source!K55</f>
        <v>4137</v>
      </c>
      <c r="L330" s="161">
        <f>[1]Source!L55</f>
        <v>4207</v>
      </c>
      <c r="M330" s="161">
        <f>[1]Source!M55</f>
        <v>3852</v>
      </c>
      <c r="N330" s="161">
        <f>[1]Source!N55</f>
        <v>3525</v>
      </c>
      <c r="O330" s="161">
        <f>[1]Source!O55</f>
        <v>3838</v>
      </c>
      <c r="P330" s="16">
        <f>SUM(D330:O330)</f>
        <v>50008</v>
      </c>
      <c r="Q330" s="25">
        <f>SUM(D330:J330)</f>
        <v>30449</v>
      </c>
      <c r="R330" s="16">
        <f>P330-Q330</f>
        <v>19559</v>
      </c>
    </row>
    <row r="331" spans="1:18" ht="6" customHeight="1" x14ac:dyDescent="0.2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1:18" x14ac:dyDescent="0.25">
      <c r="A332" s="27" t="s">
        <v>192</v>
      </c>
      <c r="B332" s="18" t="s">
        <v>34</v>
      </c>
      <c r="C332" s="14"/>
      <c r="D332" s="153">
        <f>-[1]Source!D51</f>
        <v>3944</v>
      </c>
      <c r="E332" s="153">
        <f>-[1]Source!E51</f>
        <v>5194</v>
      </c>
      <c r="F332" s="153">
        <f>-[1]Source!F51</f>
        <v>6678</v>
      </c>
      <c r="G332" s="153">
        <f>-[1]Source!G51</f>
        <v>4247</v>
      </c>
      <c r="H332" s="153">
        <f>-[1]Source!H51</f>
        <v>4424</v>
      </c>
      <c r="I332" s="153">
        <f>-[1]Source!I51</f>
        <v>3863</v>
      </c>
      <c r="J332" s="153">
        <f>-[1]Source!J51</f>
        <v>4002</v>
      </c>
      <c r="K332" s="153">
        <f>-[1]Source!K51</f>
        <v>3862</v>
      </c>
      <c r="L332" s="153">
        <f>-[1]Source!L51</f>
        <v>3285</v>
      </c>
      <c r="M332" s="153">
        <f>-[1]Source!M51</f>
        <v>420</v>
      </c>
      <c r="N332" s="153">
        <f>-[1]Source!N51</f>
        <v>4103</v>
      </c>
      <c r="O332" s="153">
        <f>-[1]Source!O51</f>
        <v>3723</v>
      </c>
      <c r="P332" s="14">
        <f>SUM(D332:O332)</f>
        <v>47745</v>
      </c>
      <c r="Q332" s="17">
        <f>SUM(D332:J332)</f>
        <v>32352</v>
      </c>
      <c r="R332" s="14">
        <f>P332-Q332</f>
        <v>15393</v>
      </c>
    </row>
    <row r="333" spans="1:18" x14ac:dyDescent="0.25">
      <c r="A333" s="27" t="s">
        <v>193</v>
      </c>
      <c r="C333" s="14"/>
      <c r="D333" s="214">
        <f>-4101-175</f>
        <v>-4276</v>
      </c>
      <c r="E333" s="214">
        <f>-5348-175</f>
        <v>-5523</v>
      </c>
      <c r="F333" s="214">
        <f>(-7193+368)-175</f>
        <v>-7000</v>
      </c>
      <c r="G333" s="214">
        <f>-4546-175</f>
        <v>-4721</v>
      </c>
      <c r="H333" s="214">
        <f>-4067-175</f>
        <v>-4242</v>
      </c>
      <c r="I333" s="214">
        <f>-4059-175</f>
        <v>-4234</v>
      </c>
      <c r="J333" s="214">
        <f>-4122-175</f>
        <v>-4297</v>
      </c>
      <c r="K333" s="16">
        <f>-K332</f>
        <v>-3862</v>
      </c>
      <c r="L333" s="16">
        <f>-L332</f>
        <v>-3285</v>
      </c>
      <c r="M333" s="16">
        <f>-M332</f>
        <v>-420</v>
      </c>
      <c r="N333" s="16">
        <f>-N332</f>
        <v>-4103</v>
      </c>
      <c r="O333" s="16">
        <f>-O332</f>
        <v>-3723</v>
      </c>
      <c r="P333" s="16">
        <f>SUM(D333:O333)</f>
        <v>-49686</v>
      </c>
      <c r="Q333" s="25">
        <f>SUM(D333:J333)</f>
        <v>-34293</v>
      </c>
      <c r="R333" s="16">
        <f>P333-Q333</f>
        <v>-15393</v>
      </c>
    </row>
    <row r="334" spans="1:18" ht="3.9" customHeight="1" x14ac:dyDescent="0.2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x14ac:dyDescent="0.25">
      <c r="A335" s="27" t="s">
        <v>194</v>
      </c>
      <c r="C335" s="14"/>
      <c r="D335" s="14">
        <f t="shared" ref="D335:Q335" si="104">D332+D333</f>
        <v>-332</v>
      </c>
      <c r="E335" s="14">
        <f t="shared" si="104"/>
        <v>-329</v>
      </c>
      <c r="F335" s="14">
        <f t="shared" si="104"/>
        <v>-322</v>
      </c>
      <c r="G335" s="14">
        <f t="shared" si="104"/>
        <v>-474</v>
      </c>
      <c r="H335" s="14">
        <f t="shared" si="104"/>
        <v>182</v>
      </c>
      <c r="I335" s="14">
        <f t="shared" si="104"/>
        <v>-371</v>
      </c>
      <c r="J335" s="14">
        <f t="shared" si="104"/>
        <v>-295</v>
      </c>
      <c r="K335" s="14">
        <f t="shared" si="104"/>
        <v>0</v>
      </c>
      <c r="L335" s="14">
        <f t="shared" si="104"/>
        <v>0</v>
      </c>
      <c r="M335" s="14">
        <f t="shared" si="104"/>
        <v>0</v>
      </c>
      <c r="N335" s="14">
        <f t="shared" si="104"/>
        <v>0</v>
      </c>
      <c r="O335" s="14">
        <f t="shared" si="104"/>
        <v>0</v>
      </c>
      <c r="P335" s="14">
        <f t="shared" si="104"/>
        <v>-1941</v>
      </c>
      <c r="Q335" s="14">
        <f t="shared" si="104"/>
        <v>-1941</v>
      </c>
      <c r="R335" s="14">
        <f>P335-Q335</f>
        <v>0</v>
      </c>
    </row>
    <row r="336" spans="1:18" x14ac:dyDescent="0.25">
      <c r="A336" s="27" t="s">
        <v>190</v>
      </c>
      <c r="C336" s="14"/>
      <c r="D336" s="16">
        <f t="shared" ref="D336:Q336" si="105">D328</f>
        <v>-257</v>
      </c>
      <c r="E336" s="16">
        <f t="shared" si="105"/>
        <v>806</v>
      </c>
      <c r="F336" s="16">
        <f t="shared" si="105"/>
        <v>769</v>
      </c>
      <c r="G336" s="16">
        <f t="shared" si="105"/>
        <v>-2504</v>
      </c>
      <c r="H336" s="16">
        <f t="shared" si="105"/>
        <v>97</v>
      </c>
      <c r="I336" s="16">
        <f t="shared" si="105"/>
        <v>533</v>
      </c>
      <c r="J336" s="16">
        <f t="shared" si="105"/>
        <v>825</v>
      </c>
      <c r="K336" s="16">
        <f t="shared" si="105"/>
        <v>610</v>
      </c>
      <c r="L336" s="16">
        <f t="shared" si="105"/>
        <v>825</v>
      </c>
      <c r="M336" s="16">
        <f t="shared" si="105"/>
        <v>-2502</v>
      </c>
      <c r="N336" s="16">
        <f t="shared" si="105"/>
        <v>625</v>
      </c>
      <c r="O336" s="16">
        <f t="shared" si="105"/>
        <v>-381</v>
      </c>
      <c r="P336" s="16">
        <f t="shared" si="105"/>
        <v>-554</v>
      </c>
      <c r="Q336" s="16">
        <f t="shared" si="105"/>
        <v>269</v>
      </c>
      <c r="R336" s="16">
        <f>P336-Q336</f>
        <v>-823</v>
      </c>
    </row>
    <row r="337" spans="1:18" ht="3.9" customHeight="1" x14ac:dyDescent="0.2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x14ac:dyDescent="0.25">
      <c r="A338" s="27" t="s">
        <v>195</v>
      </c>
      <c r="C338" s="14"/>
      <c r="D338" s="14">
        <f t="shared" ref="D338:Q338" si="106">D335+D336</f>
        <v>-589</v>
      </c>
      <c r="E338" s="14">
        <f t="shared" si="106"/>
        <v>477</v>
      </c>
      <c r="F338" s="14">
        <f t="shared" si="106"/>
        <v>447</v>
      </c>
      <c r="G338" s="14">
        <f t="shared" si="106"/>
        <v>-2978</v>
      </c>
      <c r="H338" s="14">
        <f t="shared" si="106"/>
        <v>279</v>
      </c>
      <c r="I338" s="14">
        <f t="shared" si="106"/>
        <v>162</v>
      </c>
      <c r="J338" s="14">
        <f t="shared" si="106"/>
        <v>530</v>
      </c>
      <c r="K338" s="14">
        <f t="shared" si="106"/>
        <v>610</v>
      </c>
      <c r="L338" s="14">
        <f t="shared" si="106"/>
        <v>825</v>
      </c>
      <c r="M338" s="14">
        <f t="shared" si="106"/>
        <v>-2502</v>
      </c>
      <c r="N338" s="14">
        <f t="shared" si="106"/>
        <v>625</v>
      </c>
      <c r="O338" s="14">
        <f t="shared" si="106"/>
        <v>-381</v>
      </c>
      <c r="P338" s="14">
        <f t="shared" si="106"/>
        <v>-2495</v>
      </c>
      <c r="Q338" s="14">
        <f t="shared" si="106"/>
        <v>-1672</v>
      </c>
      <c r="R338" s="14">
        <f>P338-Q338</f>
        <v>-823</v>
      </c>
    </row>
    <row r="339" spans="1:18" x14ac:dyDescent="0.25">
      <c r="A339" s="27" t="s">
        <v>196</v>
      </c>
      <c r="C339" s="14"/>
      <c r="D339" s="14">
        <f t="shared" ref="D339:O339" si="107">C342</f>
        <v>6126</v>
      </c>
      <c r="E339" s="14">
        <f t="shared" si="107"/>
        <v>5393</v>
      </c>
      <c r="F339" s="14">
        <f t="shared" si="107"/>
        <v>6454</v>
      </c>
      <c r="G339" s="14">
        <f t="shared" si="107"/>
        <v>7503</v>
      </c>
      <c r="H339" s="14">
        <f t="shared" si="107"/>
        <v>5021</v>
      </c>
      <c r="I339" s="14">
        <f t="shared" si="107"/>
        <v>5095</v>
      </c>
      <c r="J339" s="14">
        <f t="shared" si="107"/>
        <v>5668</v>
      </c>
      <c r="K339" s="14">
        <f t="shared" si="107"/>
        <v>6430</v>
      </c>
      <c r="L339" s="14">
        <f t="shared" si="107"/>
        <v>7040</v>
      </c>
      <c r="M339" s="14">
        <f t="shared" si="107"/>
        <v>7865</v>
      </c>
      <c r="N339" s="14">
        <f t="shared" si="107"/>
        <v>5363</v>
      </c>
      <c r="O339" s="14">
        <f t="shared" si="107"/>
        <v>5988</v>
      </c>
      <c r="P339" s="14"/>
    </row>
    <row r="340" spans="1:18" x14ac:dyDescent="0.25">
      <c r="A340" s="27" t="s">
        <v>178</v>
      </c>
      <c r="C340" s="25">
        <v>0</v>
      </c>
      <c r="D340" s="25">
        <v>-144</v>
      </c>
      <c r="E340" s="25">
        <v>584</v>
      </c>
      <c r="F340" s="25">
        <v>602</v>
      </c>
      <c r="G340" s="25">
        <v>496</v>
      </c>
      <c r="H340" s="25">
        <v>-205</v>
      </c>
      <c r="I340" s="25">
        <v>411</v>
      </c>
      <c r="J340" s="25">
        <v>232</v>
      </c>
      <c r="K340" s="25">
        <v>0</v>
      </c>
      <c r="L340" s="25">
        <v>0</v>
      </c>
      <c r="M340" s="25">
        <v>0</v>
      </c>
      <c r="N340" s="25">
        <v>0</v>
      </c>
      <c r="O340" s="25">
        <v>0</v>
      </c>
      <c r="P340" s="16">
        <f>SUM(D340:O340)</f>
        <v>1976</v>
      </c>
      <c r="Q340" s="25">
        <f>SUM(D340:J340)</f>
        <v>1976</v>
      </c>
      <c r="R340" s="16">
        <f>P340-Q340</f>
        <v>0</v>
      </c>
    </row>
    <row r="341" spans="1:18" ht="3.9" customHeight="1" x14ac:dyDescent="0.2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x14ac:dyDescent="0.25">
      <c r="A342" s="26" t="s">
        <v>197</v>
      </c>
      <c r="C342" s="17">
        <v>6126</v>
      </c>
      <c r="D342" s="14">
        <f t="shared" ref="D342:O342" si="108">SUM(D338:D341)</f>
        <v>5393</v>
      </c>
      <c r="E342" s="14">
        <f t="shared" si="108"/>
        <v>6454</v>
      </c>
      <c r="F342" s="14">
        <f t="shared" si="108"/>
        <v>7503</v>
      </c>
      <c r="G342" s="14">
        <f t="shared" si="108"/>
        <v>5021</v>
      </c>
      <c r="H342" s="14">
        <f t="shared" si="108"/>
        <v>5095</v>
      </c>
      <c r="I342" s="14">
        <f t="shared" si="108"/>
        <v>5668</v>
      </c>
      <c r="J342" s="14">
        <f t="shared" si="108"/>
        <v>6430</v>
      </c>
      <c r="K342" s="14">
        <f t="shared" si="108"/>
        <v>7040</v>
      </c>
      <c r="L342" s="14">
        <f t="shared" si="108"/>
        <v>7865</v>
      </c>
      <c r="M342" s="14">
        <f t="shared" si="108"/>
        <v>5363</v>
      </c>
      <c r="N342" s="14">
        <f t="shared" si="108"/>
        <v>5988</v>
      </c>
      <c r="O342" s="14">
        <f t="shared" si="108"/>
        <v>5607</v>
      </c>
      <c r="P342" s="14"/>
    </row>
    <row r="343" spans="1:18" ht="3.9" customHeight="1" x14ac:dyDescent="0.25"/>
    <row r="344" spans="1:18" x14ac:dyDescent="0.25">
      <c r="A344" s="27" t="s">
        <v>30</v>
      </c>
      <c r="C344" s="14"/>
      <c r="D344" s="14">
        <f t="shared" ref="D344:O344" si="109">D342-C342</f>
        <v>-733</v>
      </c>
      <c r="E344" s="14">
        <f t="shared" si="109"/>
        <v>1061</v>
      </c>
      <c r="F344" s="14">
        <f t="shared" si="109"/>
        <v>1049</v>
      </c>
      <c r="G344" s="14">
        <f t="shared" si="109"/>
        <v>-2482</v>
      </c>
      <c r="H344" s="14">
        <f t="shared" si="109"/>
        <v>74</v>
      </c>
      <c r="I344" s="14">
        <f t="shared" si="109"/>
        <v>573</v>
      </c>
      <c r="J344" s="14">
        <f t="shared" si="109"/>
        <v>762</v>
      </c>
      <c r="K344" s="14">
        <f t="shared" si="109"/>
        <v>610</v>
      </c>
      <c r="L344" s="14">
        <f t="shared" si="109"/>
        <v>825</v>
      </c>
      <c r="M344" s="14">
        <f t="shared" si="109"/>
        <v>-2502</v>
      </c>
      <c r="N344" s="14">
        <f t="shared" si="109"/>
        <v>625</v>
      </c>
      <c r="O344" s="14">
        <f t="shared" si="109"/>
        <v>-381</v>
      </c>
      <c r="P344" s="14">
        <f>SUM(D344:O344)</f>
        <v>-519</v>
      </c>
      <c r="Q344" s="14">
        <f>Q338+Q340</f>
        <v>304</v>
      </c>
      <c r="R344" s="14">
        <f>P344-Q344</f>
        <v>-823</v>
      </c>
    </row>
    <row r="347" spans="1:18" x14ac:dyDescent="0.25">
      <c r="A347" s="26" t="s">
        <v>198</v>
      </c>
      <c r="C347" s="14"/>
      <c r="D347" s="14">
        <f t="shared" ref="D347:O347" si="110">C352</f>
        <v>2129</v>
      </c>
      <c r="E347" s="14">
        <f t="shared" si="110"/>
        <v>2129</v>
      </c>
      <c r="F347" s="14">
        <f t="shared" si="110"/>
        <v>2129</v>
      </c>
      <c r="G347" s="14">
        <f t="shared" si="110"/>
        <v>2129</v>
      </c>
      <c r="H347" s="14">
        <f t="shared" si="110"/>
        <v>879</v>
      </c>
      <c r="I347" s="14">
        <f t="shared" si="110"/>
        <v>6632</v>
      </c>
      <c r="J347" s="14">
        <f t="shared" si="110"/>
        <v>2129</v>
      </c>
      <c r="K347" s="14">
        <f t="shared" si="110"/>
        <v>2119</v>
      </c>
      <c r="L347" s="14">
        <f t="shared" si="110"/>
        <v>2119</v>
      </c>
      <c r="M347" s="14">
        <f t="shared" si="110"/>
        <v>2119</v>
      </c>
      <c r="N347" s="14">
        <f t="shared" si="110"/>
        <v>2119</v>
      </c>
      <c r="O347" s="14">
        <f t="shared" si="110"/>
        <v>2119</v>
      </c>
      <c r="P347" s="14"/>
    </row>
    <row r="348" spans="1:18" x14ac:dyDescent="0.25">
      <c r="A348" s="27" t="s">
        <v>199</v>
      </c>
      <c r="B348" s="18" t="s">
        <v>34</v>
      </c>
      <c r="C348" s="14"/>
      <c r="D348" s="153">
        <f>[1]Source!D52</f>
        <v>0</v>
      </c>
      <c r="E348" s="153">
        <f>[1]Source!E52</f>
        <v>0</v>
      </c>
      <c r="F348" s="153">
        <f>[1]Source!F52</f>
        <v>0</v>
      </c>
      <c r="G348" s="153">
        <f>[1]Source!G52</f>
        <v>0</v>
      </c>
      <c r="H348" s="153">
        <f>[1]Source!H52</f>
        <v>0</v>
      </c>
      <c r="I348" s="153">
        <f>[1]Source!I52</f>
        <v>0</v>
      </c>
      <c r="J348" s="153">
        <f>[1]Source!J52</f>
        <v>0</v>
      </c>
      <c r="K348" s="153">
        <f>[1]Source!K52</f>
        <v>0</v>
      </c>
      <c r="L348" s="153">
        <f>[1]Source!L52</f>
        <v>0</v>
      </c>
      <c r="M348" s="153">
        <f>[1]Source!M52</f>
        <v>0</v>
      </c>
      <c r="N348" s="153">
        <f>[1]Source!N52</f>
        <v>0</v>
      </c>
      <c r="O348" s="153">
        <f>[1]Source!O52</f>
        <v>0</v>
      </c>
      <c r="P348" s="14">
        <f>SUM(D348:O348)</f>
        <v>0</v>
      </c>
      <c r="Q348" s="17">
        <f>SUM(D348:J348)</f>
        <v>0</v>
      </c>
      <c r="R348" s="14">
        <f>P348-Q348</f>
        <v>0</v>
      </c>
    </row>
    <row r="349" spans="1:18" x14ac:dyDescent="0.25">
      <c r="A349" s="27" t="s">
        <v>200</v>
      </c>
      <c r="B349" s="18"/>
      <c r="C349" s="14"/>
      <c r="D349" s="28">
        <v>0</v>
      </c>
      <c r="E349" s="28">
        <v>0</v>
      </c>
      <c r="F349" s="28">
        <v>0</v>
      </c>
      <c r="G349" s="28">
        <v>-1250</v>
      </c>
      <c r="H349" s="28">
        <v>5753</v>
      </c>
      <c r="I349" s="28">
        <v>-4503</v>
      </c>
      <c r="J349" s="28">
        <v>-10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  <c r="P349" s="14">
        <f>SUM(D349:O349)</f>
        <v>-10</v>
      </c>
      <c r="Q349" s="17">
        <f>SUM(D349:J349)</f>
        <v>-10</v>
      </c>
      <c r="R349" s="14">
        <f>P349-Q349</f>
        <v>0</v>
      </c>
    </row>
    <row r="350" spans="1:18" x14ac:dyDescent="0.25">
      <c r="A350" s="27" t="s">
        <v>178</v>
      </c>
      <c r="C350" s="25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16">
        <f>SUM(D350:O350)</f>
        <v>0</v>
      </c>
      <c r="Q350" s="25">
        <f>SUM(D350:J350)</f>
        <v>0</v>
      </c>
      <c r="R350" s="16">
        <f>P350-Q350</f>
        <v>0</v>
      </c>
    </row>
    <row r="351" spans="1:18" ht="3.9" customHeight="1" x14ac:dyDescent="0.25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x14ac:dyDescent="0.25">
      <c r="A352" s="26" t="s">
        <v>201</v>
      </c>
      <c r="C352" s="17">
        <v>2129</v>
      </c>
      <c r="D352" s="14">
        <f t="shared" ref="D352:O352" si="111">SUM(D347:D351)</f>
        <v>2129</v>
      </c>
      <c r="E352" s="14">
        <f t="shared" si="111"/>
        <v>2129</v>
      </c>
      <c r="F352" s="14">
        <f t="shared" si="111"/>
        <v>2129</v>
      </c>
      <c r="G352" s="14">
        <f t="shared" si="111"/>
        <v>879</v>
      </c>
      <c r="H352" s="14">
        <f t="shared" si="111"/>
        <v>6632</v>
      </c>
      <c r="I352" s="14">
        <f t="shared" si="111"/>
        <v>2129</v>
      </c>
      <c r="J352" s="14">
        <f t="shared" si="111"/>
        <v>2119</v>
      </c>
      <c r="K352" s="14">
        <f t="shared" si="111"/>
        <v>2119</v>
      </c>
      <c r="L352" s="14">
        <f t="shared" si="111"/>
        <v>2119</v>
      </c>
      <c r="M352" s="14">
        <f t="shared" si="111"/>
        <v>2119</v>
      </c>
      <c r="N352" s="14">
        <f t="shared" si="111"/>
        <v>2119</v>
      </c>
      <c r="O352" s="14">
        <f t="shared" si="111"/>
        <v>2119</v>
      </c>
      <c r="P352" s="14"/>
    </row>
    <row r="353" spans="1:18" ht="3.9" customHeight="1" x14ac:dyDescent="0.25"/>
    <row r="354" spans="1:18" x14ac:dyDescent="0.25">
      <c r="A354" s="27" t="s">
        <v>30</v>
      </c>
      <c r="C354" s="14"/>
      <c r="D354" s="14">
        <f t="shared" ref="D354:O354" si="112">D352-C352</f>
        <v>0</v>
      </c>
      <c r="E354" s="14">
        <f t="shared" si="112"/>
        <v>0</v>
      </c>
      <c r="F354" s="14">
        <f t="shared" si="112"/>
        <v>0</v>
      </c>
      <c r="G354" s="14">
        <f t="shared" si="112"/>
        <v>-1250</v>
      </c>
      <c r="H354" s="14">
        <f t="shared" si="112"/>
        <v>5753</v>
      </c>
      <c r="I354" s="14">
        <f t="shared" si="112"/>
        <v>-4503</v>
      </c>
      <c r="J354" s="14">
        <f t="shared" si="112"/>
        <v>-10</v>
      </c>
      <c r="K354" s="14">
        <f t="shared" si="112"/>
        <v>0</v>
      </c>
      <c r="L354" s="14">
        <f t="shared" si="112"/>
        <v>0</v>
      </c>
      <c r="M354" s="14">
        <f t="shared" si="112"/>
        <v>0</v>
      </c>
      <c r="N354" s="14">
        <f t="shared" si="112"/>
        <v>0</v>
      </c>
      <c r="O354" s="14">
        <f t="shared" si="112"/>
        <v>0</v>
      </c>
      <c r="P354" s="14">
        <f>SUM(D354:O354)</f>
        <v>-10</v>
      </c>
      <c r="Q354" s="14">
        <f>SUM(Q348:Q351)</f>
        <v>-10</v>
      </c>
      <c r="R354" s="14">
        <f>P354-Q354</f>
        <v>0</v>
      </c>
    </row>
    <row r="356" spans="1:18" x14ac:dyDescent="0.25">
      <c r="A356" s="26" t="s">
        <v>202</v>
      </c>
      <c r="C356" s="14"/>
      <c r="D356" s="14">
        <f t="shared" ref="D356:O356" si="113">C362</f>
        <v>238702</v>
      </c>
      <c r="E356" s="14">
        <f t="shared" si="113"/>
        <v>238852</v>
      </c>
      <c r="F356" s="14">
        <f t="shared" si="113"/>
        <v>238944</v>
      </c>
      <c r="G356" s="14">
        <f t="shared" si="113"/>
        <v>220220</v>
      </c>
      <c r="H356" s="14">
        <f t="shared" si="113"/>
        <v>226075</v>
      </c>
      <c r="I356" s="14">
        <f t="shared" si="113"/>
        <v>232744</v>
      </c>
      <c r="J356" s="14">
        <f t="shared" si="113"/>
        <v>235318</v>
      </c>
      <c r="K356" s="14">
        <f t="shared" si="113"/>
        <v>235584</v>
      </c>
      <c r="L356" s="14">
        <f t="shared" si="113"/>
        <v>235684</v>
      </c>
      <c r="M356" s="14">
        <f t="shared" si="113"/>
        <v>236431</v>
      </c>
      <c r="N356" s="14">
        <f t="shared" si="113"/>
        <v>239688</v>
      </c>
      <c r="O356" s="14">
        <f t="shared" si="113"/>
        <v>238935</v>
      </c>
      <c r="P356" s="14"/>
    </row>
    <row r="357" spans="1:18" x14ac:dyDescent="0.25">
      <c r="A357" s="27" t="s">
        <v>199</v>
      </c>
      <c r="B357" s="18" t="s">
        <v>34</v>
      </c>
      <c r="C357" s="14"/>
      <c r="D357" s="153">
        <f>[1]Source!D53</f>
        <v>150</v>
      </c>
      <c r="E357" s="153">
        <f>[1]Source!E53</f>
        <v>92</v>
      </c>
      <c r="F357" s="153">
        <f>[1]Source!F53</f>
        <v>-4693</v>
      </c>
      <c r="G357" s="153">
        <f>[1]Source!G53</f>
        <v>802</v>
      </c>
      <c r="H357" s="153">
        <f>[1]Source!H53</f>
        <v>259</v>
      </c>
      <c r="I357" s="153">
        <f>[1]Source!I53</f>
        <v>6</v>
      </c>
      <c r="J357" s="153">
        <f>[1]Source!J53</f>
        <v>256</v>
      </c>
      <c r="K357" s="153">
        <f>[1]Source!K53</f>
        <v>100</v>
      </c>
      <c r="L357" s="153">
        <f>[1]Source!L53</f>
        <v>747</v>
      </c>
      <c r="M357" s="153">
        <f>[1]Source!M53</f>
        <v>3257</v>
      </c>
      <c r="N357" s="153">
        <f>[1]Source!N53</f>
        <v>-753</v>
      </c>
      <c r="O357" s="153">
        <f>[1]Source!O53</f>
        <v>-60</v>
      </c>
      <c r="P357" s="14">
        <f>SUM(D357:O357)</f>
        <v>163</v>
      </c>
      <c r="Q357" s="17">
        <f>SUM(D357:J357)</f>
        <v>-3128</v>
      </c>
      <c r="R357" s="14">
        <f>P357-Q357</f>
        <v>3291</v>
      </c>
    </row>
    <row r="358" spans="1:18" x14ac:dyDescent="0.25">
      <c r="A358" s="27" t="s">
        <v>200</v>
      </c>
      <c r="B358" s="18"/>
      <c r="C358" s="14"/>
      <c r="D358" s="153">
        <f>-D349</f>
        <v>0</v>
      </c>
      <c r="E358" s="153">
        <f t="shared" ref="E358:O358" si="114">-E349</f>
        <v>0</v>
      </c>
      <c r="F358" s="153">
        <f t="shared" si="114"/>
        <v>0</v>
      </c>
      <c r="G358" s="153">
        <f t="shared" si="114"/>
        <v>1250</v>
      </c>
      <c r="H358" s="153">
        <f t="shared" si="114"/>
        <v>-5753</v>
      </c>
      <c r="I358" s="153">
        <f t="shared" si="114"/>
        <v>4503</v>
      </c>
      <c r="J358" s="153">
        <f t="shared" si="114"/>
        <v>10</v>
      </c>
      <c r="K358" s="153">
        <f t="shared" si="114"/>
        <v>0</v>
      </c>
      <c r="L358" s="153">
        <f t="shared" si="114"/>
        <v>0</v>
      </c>
      <c r="M358" s="153">
        <f t="shared" si="114"/>
        <v>0</v>
      </c>
      <c r="N358" s="153">
        <f t="shared" si="114"/>
        <v>0</v>
      </c>
      <c r="O358" s="153">
        <f t="shared" si="114"/>
        <v>0</v>
      </c>
      <c r="P358" s="14">
        <f>SUM(D358:O358)</f>
        <v>10</v>
      </c>
      <c r="Q358" s="17">
        <f>SUM(D358:J358)</f>
        <v>10</v>
      </c>
      <c r="R358" s="14">
        <f>P358-Q358</f>
        <v>0</v>
      </c>
    </row>
    <row r="359" spans="1:18" x14ac:dyDescent="0.25">
      <c r="A359" s="27" t="s">
        <v>203</v>
      </c>
      <c r="B359" s="18"/>
      <c r="C359" s="14"/>
      <c r="D359" s="28">
        <v>0</v>
      </c>
      <c r="E359" s="28">
        <v>0</v>
      </c>
      <c r="F359" s="28">
        <v>-14032</v>
      </c>
      <c r="G359" s="28">
        <v>3804</v>
      </c>
      <c r="H359" s="28">
        <v>12163</v>
      </c>
      <c r="I359" s="28">
        <v>-1935</v>
      </c>
      <c r="J359" s="28">
        <v>0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14">
        <f>SUM(D359:O359)</f>
        <v>0</v>
      </c>
      <c r="Q359" s="17">
        <f>SUM(D359:J359)</f>
        <v>0</v>
      </c>
      <c r="R359" s="14">
        <f>P359-Q359</f>
        <v>0</v>
      </c>
    </row>
    <row r="360" spans="1:18" x14ac:dyDescent="0.25">
      <c r="A360" s="27" t="s">
        <v>178</v>
      </c>
      <c r="C360" s="25">
        <v>0</v>
      </c>
      <c r="D360" s="25">
        <v>0</v>
      </c>
      <c r="E360" s="25">
        <v>0</v>
      </c>
      <c r="F360" s="25">
        <f>1</f>
        <v>1</v>
      </c>
      <c r="G360" s="25">
        <v>-1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  <c r="N360" s="25">
        <v>0</v>
      </c>
      <c r="O360" s="25">
        <v>0</v>
      </c>
      <c r="P360" s="16">
        <f>SUM(D360:O360)</f>
        <v>0</v>
      </c>
      <c r="Q360" s="25">
        <f>SUM(D360:J360)</f>
        <v>0</v>
      </c>
      <c r="R360" s="16">
        <f>P360-Q360</f>
        <v>0</v>
      </c>
    </row>
    <row r="361" spans="1:18" ht="3.9" customHeight="1" x14ac:dyDescent="0.25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x14ac:dyDescent="0.25">
      <c r="A362" s="26" t="s">
        <v>204</v>
      </c>
      <c r="C362" s="17">
        <v>238702</v>
      </c>
      <c r="D362" s="14">
        <f t="shared" ref="D362:O362" si="115">SUM(D356:D361)</f>
        <v>238852</v>
      </c>
      <c r="E362" s="14">
        <f t="shared" si="115"/>
        <v>238944</v>
      </c>
      <c r="F362" s="14">
        <f t="shared" si="115"/>
        <v>220220</v>
      </c>
      <c r="G362" s="14">
        <f t="shared" si="115"/>
        <v>226075</v>
      </c>
      <c r="H362" s="14">
        <f t="shared" si="115"/>
        <v>232744</v>
      </c>
      <c r="I362" s="14">
        <f t="shared" si="115"/>
        <v>235318</v>
      </c>
      <c r="J362" s="14">
        <f t="shared" si="115"/>
        <v>235584</v>
      </c>
      <c r="K362" s="14">
        <f t="shared" si="115"/>
        <v>235684</v>
      </c>
      <c r="L362" s="14">
        <f t="shared" si="115"/>
        <v>236431</v>
      </c>
      <c r="M362" s="14">
        <f t="shared" si="115"/>
        <v>239688</v>
      </c>
      <c r="N362" s="14">
        <f t="shared" si="115"/>
        <v>238935</v>
      </c>
      <c r="O362" s="14">
        <f t="shared" si="115"/>
        <v>238875</v>
      </c>
      <c r="P362" s="14"/>
    </row>
    <row r="363" spans="1:18" ht="3.9" customHeight="1" x14ac:dyDescent="0.25"/>
    <row r="364" spans="1:18" x14ac:dyDescent="0.25">
      <c r="A364" s="27" t="s">
        <v>30</v>
      </c>
      <c r="C364" s="14"/>
      <c r="D364" s="14">
        <f t="shared" ref="D364:O364" si="116">D362-C362</f>
        <v>150</v>
      </c>
      <c r="E364" s="14">
        <f t="shared" si="116"/>
        <v>92</v>
      </c>
      <c r="F364" s="14">
        <f t="shared" si="116"/>
        <v>-18724</v>
      </c>
      <c r="G364" s="14">
        <f t="shared" si="116"/>
        <v>5855</v>
      </c>
      <c r="H364" s="14">
        <f t="shared" si="116"/>
        <v>6669</v>
      </c>
      <c r="I364" s="14">
        <f t="shared" si="116"/>
        <v>2574</v>
      </c>
      <c r="J364" s="14">
        <f t="shared" si="116"/>
        <v>266</v>
      </c>
      <c r="K364" s="14">
        <f t="shared" si="116"/>
        <v>100</v>
      </c>
      <c r="L364" s="14">
        <f t="shared" si="116"/>
        <v>747</v>
      </c>
      <c r="M364" s="14">
        <f t="shared" si="116"/>
        <v>3257</v>
      </c>
      <c r="N364" s="14">
        <f t="shared" si="116"/>
        <v>-753</v>
      </c>
      <c r="O364" s="14">
        <f t="shared" si="116"/>
        <v>-60</v>
      </c>
      <c r="P364" s="14">
        <f>SUM(D364:O364)</f>
        <v>173</v>
      </c>
      <c r="Q364" s="14">
        <f>SUM(Q357:Q361)</f>
        <v>-3118</v>
      </c>
      <c r="R364" s="14">
        <f>P364-Q364</f>
        <v>3291</v>
      </c>
    </row>
    <row r="367" spans="1:18" x14ac:dyDescent="0.25">
      <c r="A367" s="26" t="s">
        <v>205</v>
      </c>
      <c r="C367" s="14"/>
      <c r="D367" s="14">
        <f t="shared" ref="D367:O367" si="117">C372</f>
        <v>3012</v>
      </c>
      <c r="E367" s="14">
        <f t="shared" si="117"/>
        <v>4055</v>
      </c>
      <c r="F367" s="14">
        <f t="shared" si="117"/>
        <v>5099</v>
      </c>
      <c r="G367" s="14">
        <f t="shared" si="117"/>
        <v>6142</v>
      </c>
      <c r="H367" s="14">
        <f t="shared" si="117"/>
        <v>1367</v>
      </c>
      <c r="I367" s="14">
        <f t="shared" si="117"/>
        <v>1453</v>
      </c>
      <c r="J367" s="14">
        <f t="shared" si="117"/>
        <v>237</v>
      </c>
      <c r="K367" s="14">
        <f t="shared" si="117"/>
        <v>355</v>
      </c>
      <c r="L367" s="14">
        <f t="shared" si="117"/>
        <v>473</v>
      </c>
      <c r="M367" s="14">
        <f t="shared" si="117"/>
        <v>592</v>
      </c>
      <c r="N367" s="14">
        <f t="shared" si="117"/>
        <v>710</v>
      </c>
      <c r="O367" s="14">
        <f t="shared" si="117"/>
        <v>119</v>
      </c>
      <c r="P367" s="14"/>
      <c r="Q367" s="14"/>
      <c r="R367" s="14"/>
    </row>
    <row r="368" spans="1:18" x14ac:dyDescent="0.25">
      <c r="A368" s="27" t="s">
        <v>206</v>
      </c>
      <c r="D368" s="17">
        <f>925+118</f>
        <v>1043</v>
      </c>
      <c r="E368" s="17">
        <v>1044</v>
      </c>
      <c r="F368" s="17">
        <v>1043</v>
      </c>
      <c r="G368" s="17">
        <f>118+657</f>
        <v>775</v>
      </c>
      <c r="H368" s="17">
        <f>118+678</f>
        <v>796</v>
      </c>
      <c r="I368" s="17">
        <f>119+613</f>
        <v>732</v>
      </c>
      <c r="J368" s="194">
        <f>118+678-678</f>
        <v>118</v>
      </c>
      <c r="K368" s="194">
        <f>118+678-678</f>
        <v>118</v>
      </c>
      <c r="L368" s="194">
        <f>119+657-657</f>
        <v>119</v>
      </c>
      <c r="M368" s="194">
        <f>118+678-678</f>
        <v>118</v>
      </c>
      <c r="N368" s="194">
        <f>89+657-657</f>
        <v>89</v>
      </c>
      <c r="O368" s="194">
        <f>89+678-678</f>
        <v>89</v>
      </c>
      <c r="P368" s="14">
        <f>SUM(D368:O368)</f>
        <v>6084</v>
      </c>
      <c r="Q368" s="17">
        <f>SUM(D368:J368)</f>
        <v>5551</v>
      </c>
      <c r="R368" s="14">
        <f>P368-Q368</f>
        <v>533</v>
      </c>
    </row>
    <row r="369" spans="1:18" x14ac:dyDescent="0.25">
      <c r="A369" s="27" t="s">
        <v>207</v>
      </c>
      <c r="D369" s="17">
        <v>0</v>
      </c>
      <c r="E369" s="17">
        <v>0</v>
      </c>
      <c r="F369" s="17">
        <v>0</v>
      </c>
      <c r="G369" s="17">
        <v>-5550</v>
      </c>
      <c r="H369" s="17">
        <v>-710</v>
      </c>
      <c r="I369" s="17">
        <v>-1948</v>
      </c>
      <c r="J369" s="17">
        <v>0</v>
      </c>
      <c r="K369" s="17">
        <v>0</v>
      </c>
      <c r="L369" s="194">
        <f>-1991+1991</f>
        <v>0</v>
      </c>
      <c r="M369" s="17">
        <v>0</v>
      </c>
      <c r="N369" s="17">
        <v>-680</v>
      </c>
      <c r="O369" s="194">
        <f>-2079+2079</f>
        <v>0</v>
      </c>
      <c r="P369" s="14">
        <f>SUM(D369:O369)</f>
        <v>-8888</v>
      </c>
      <c r="Q369" s="17">
        <f>SUM(D369:J369)</f>
        <v>-8208</v>
      </c>
      <c r="R369" s="14">
        <f>P369-Q369</f>
        <v>-680</v>
      </c>
    </row>
    <row r="370" spans="1:18" x14ac:dyDescent="0.25">
      <c r="A370" s="27" t="s">
        <v>178</v>
      </c>
      <c r="C370" s="25">
        <v>0</v>
      </c>
      <c r="D370" s="25">
        <v>0</v>
      </c>
      <c r="E370" s="25">
        <v>0</v>
      </c>
      <c r="F370" s="25">
        <v>0</v>
      </c>
      <c r="G370" s="25">
        <v>0</v>
      </c>
      <c r="H370" s="25">
        <v>0</v>
      </c>
      <c r="I370" s="25">
        <v>0</v>
      </c>
      <c r="J370" s="25">
        <v>0</v>
      </c>
      <c r="K370" s="25">
        <v>0</v>
      </c>
      <c r="L370" s="25">
        <v>0</v>
      </c>
      <c r="M370" s="25">
        <v>0</v>
      </c>
      <c r="N370" s="25">
        <v>0</v>
      </c>
      <c r="O370" s="25">
        <v>0</v>
      </c>
      <c r="P370" s="16">
        <f>SUM(D370:O370)</f>
        <v>0</v>
      </c>
      <c r="Q370" s="25">
        <f>SUM(D370:J370)</f>
        <v>0</v>
      </c>
      <c r="R370" s="16">
        <f>P370-Q370</f>
        <v>0</v>
      </c>
    </row>
    <row r="371" spans="1:18" ht="3.9" customHeight="1" x14ac:dyDescent="0.25"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x14ac:dyDescent="0.25">
      <c r="A372" s="26" t="s">
        <v>208</v>
      </c>
      <c r="C372" s="17">
        <v>3012</v>
      </c>
      <c r="D372" s="14">
        <f t="shared" ref="D372:O372" si="118">SUM(D367:D371)</f>
        <v>4055</v>
      </c>
      <c r="E372" s="14">
        <f t="shared" si="118"/>
        <v>5099</v>
      </c>
      <c r="F372" s="14">
        <f t="shared" si="118"/>
        <v>6142</v>
      </c>
      <c r="G372" s="14">
        <f t="shared" si="118"/>
        <v>1367</v>
      </c>
      <c r="H372" s="14">
        <f t="shared" si="118"/>
        <v>1453</v>
      </c>
      <c r="I372" s="14">
        <f t="shared" si="118"/>
        <v>237</v>
      </c>
      <c r="J372" s="14">
        <f t="shared" si="118"/>
        <v>355</v>
      </c>
      <c r="K372" s="14">
        <f t="shared" si="118"/>
        <v>473</v>
      </c>
      <c r="L372" s="14">
        <f t="shared" si="118"/>
        <v>592</v>
      </c>
      <c r="M372" s="14">
        <f t="shared" si="118"/>
        <v>710</v>
      </c>
      <c r="N372" s="14">
        <f t="shared" si="118"/>
        <v>119</v>
      </c>
      <c r="O372" s="14">
        <f t="shared" si="118"/>
        <v>208</v>
      </c>
      <c r="P372" s="14"/>
      <c r="Q372" s="14"/>
      <c r="R372" s="14"/>
    </row>
    <row r="373" spans="1:18" ht="3.9" customHeight="1" x14ac:dyDescent="0.25"/>
    <row r="374" spans="1:18" x14ac:dyDescent="0.25">
      <c r="A374" s="27" t="s">
        <v>30</v>
      </c>
      <c r="C374" s="14"/>
      <c r="D374" s="14">
        <f t="shared" ref="D374:O374" si="119">D372-C372</f>
        <v>1043</v>
      </c>
      <c r="E374" s="14">
        <f t="shared" si="119"/>
        <v>1044</v>
      </c>
      <c r="F374" s="14">
        <f t="shared" si="119"/>
        <v>1043</v>
      </c>
      <c r="G374" s="14">
        <f t="shared" si="119"/>
        <v>-4775</v>
      </c>
      <c r="H374" s="14">
        <f t="shared" si="119"/>
        <v>86</v>
      </c>
      <c r="I374" s="14">
        <f t="shared" si="119"/>
        <v>-1216</v>
      </c>
      <c r="J374" s="14">
        <f t="shared" si="119"/>
        <v>118</v>
      </c>
      <c r="K374" s="14">
        <f t="shared" si="119"/>
        <v>118</v>
      </c>
      <c r="L374" s="14">
        <f t="shared" si="119"/>
        <v>119</v>
      </c>
      <c r="M374" s="14">
        <f t="shared" si="119"/>
        <v>118</v>
      </c>
      <c r="N374" s="14">
        <f t="shared" si="119"/>
        <v>-591</v>
      </c>
      <c r="O374" s="14">
        <f t="shared" si="119"/>
        <v>89</v>
      </c>
      <c r="P374" s="14">
        <f>SUM(D374:O374)</f>
        <v>-2804</v>
      </c>
      <c r="Q374" s="14">
        <f>SUM(Q368:Q371)</f>
        <v>-2657</v>
      </c>
      <c r="R374" s="14">
        <f>P374-Q374</f>
        <v>-147</v>
      </c>
    </row>
    <row r="375" spans="1:18" ht="8.1" customHeight="1" x14ac:dyDescent="0.25">
      <c r="A375"/>
    </row>
    <row r="377" spans="1:18" x14ac:dyDescent="0.25">
      <c r="A377" s="26" t="s">
        <v>209</v>
      </c>
      <c r="C377" s="14"/>
      <c r="D377" s="14">
        <f t="shared" ref="D377:O377" si="120">C393</f>
        <v>276</v>
      </c>
      <c r="E377" s="14">
        <f t="shared" si="120"/>
        <v>-387</v>
      </c>
      <c r="F377" s="14">
        <f t="shared" si="120"/>
        <v>271</v>
      </c>
      <c r="G377" s="14">
        <f t="shared" si="120"/>
        <v>11822</v>
      </c>
      <c r="H377" s="14">
        <f t="shared" si="120"/>
        <v>12241</v>
      </c>
      <c r="I377" s="14">
        <f t="shared" si="120"/>
        <v>12248</v>
      </c>
      <c r="J377" s="14">
        <f t="shared" si="120"/>
        <v>12599</v>
      </c>
      <c r="K377" s="14">
        <f t="shared" si="120"/>
        <v>12645</v>
      </c>
      <c r="L377" s="14">
        <f t="shared" si="120"/>
        <v>12889</v>
      </c>
      <c r="M377" s="14">
        <f t="shared" si="120"/>
        <v>12645</v>
      </c>
      <c r="N377" s="14">
        <f t="shared" si="120"/>
        <v>12645</v>
      </c>
      <c r="O377" s="14">
        <f t="shared" si="120"/>
        <v>12645</v>
      </c>
      <c r="P377" s="14"/>
    </row>
    <row r="378" spans="1:18" x14ac:dyDescent="0.25">
      <c r="A378" s="27" t="s">
        <v>210</v>
      </c>
      <c r="B378" s="18"/>
      <c r="C378" s="17">
        <v>0</v>
      </c>
      <c r="D378" s="17">
        <v>0</v>
      </c>
      <c r="E378" s="17">
        <v>0</v>
      </c>
      <c r="F378" s="17">
        <v>0</v>
      </c>
      <c r="G378" s="17">
        <v>0</v>
      </c>
      <c r="H378" s="17">
        <v>0</v>
      </c>
      <c r="I378" s="17">
        <v>0</v>
      </c>
      <c r="J378" s="17">
        <v>0</v>
      </c>
      <c r="K378" s="17">
        <v>0</v>
      </c>
      <c r="L378" s="17">
        <v>0</v>
      </c>
      <c r="M378" s="17">
        <v>0</v>
      </c>
      <c r="N378" s="17">
        <v>0</v>
      </c>
      <c r="O378" s="17">
        <v>0</v>
      </c>
      <c r="P378" s="14">
        <f>SUM(D378:O378)</f>
        <v>0</v>
      </c>
      <c r="Q378" s="17">
        <f t="shared" ref="Q378:Q391" si="121">SUM(D378:J378)</f>
        <v>0</v>
      </c>
      <c r="R378" s="14">
        <f>P378-Q378</f>
        <v>0</v>
      </c>
    </row>
    <row r="379" spans="1:18" x14ac:dyDescent="0.25">
      <c r="A379" s="27" t="s">
        <v>211</v>
      </c>
      <c r="C379" s="17">
        <v>63</v>
      </c>
      <c r="D379" s="17">
        <v>9</v>
      </c>
      <c r="E379" s="17">
        <v>0</v>
      </c>
      <c r="F379" s="17">
        <v>12</v>
      </c>
      <c r="G379" s="17">
        <v>9</v>
      </c>
      <c r="H379" s="17">
        <v>5</v>
      </c>
      <c r="I379" s="17">
        <v>0</v>
      </c>
      <c r="J379" s="17">
        <v>36</v>
      </c>
      <c r="K379" s="17">
        <v>0</v>
      </c>
      <c r="L379" s="17">
        <v>0</v>
      </c>
      <c r="M379" s="17">
        <v>0</v>
      </c>
      <c r="N379" s="17">
        <v>0</v>
      </c>
      <c r="O379" s="17">
        <v>0</v>
      </c>
      <c r="P379" s="14">
        <f t="shared" ref="P379:P384" si="122">SUM(D379:O379)</f>
        <v>71</v>
      </c>
      <c r="Q379" s="17">
        <f t="shared" si="121"/>
        <v>71</v>
      </c>
      <c r="R379" s="14">
        <f t="shared" ref="R379:R384" si="123">P379-Q379</f>
        <v>0</v>
      </c>
    </row>
    <row r="380" spans="1:18" x14ac:dyDescent="0.25">
      <c r="A380" s="27" t="s">
        <v>212</v>
      </c>
      <c r="B380" s="18" t="s">
        <v>34</v>
      </c>
      <c r="C380" s="17">
        <v>0</v>
      </c>
      <c r="D380" s="153">
        <f>[1]Source!D45</f>
        <v>0</v>
      </c>
      <c r="E380" s="153">
        <f>[1]Source!E45</f>
        <v>0</v>
      </c>
      <c r="F380" s="153">
        <f>[1]Source!F45</f>
        <v>0</v>
      </c>
      <c r="G380" s="199">
        <f>[1]Source!G45+48+331</f>
        <v>379</v>
      </c>
      <c r="H380" s="199">
        <f>[1]Source!H45-331</f>
        <v>-331</v>
      </c>
      <c r="I380" s="153">
        <f>[1]Source!I45</f>
        <v>0</v>
      </c>
      <c r="J380" s="153">
        <f>[1]Source!J45</f>
        <v>0</v>
      </c>
      <c r="K380" s="153">
        <f>[1]Source!K45</f>
        <v>0</v>
      </c>
      <c r="L380" s="153">
        <f>[1]Source!L45</f>
        <v>0</v>
      </c>
      <c r="M380" s="153">
        <f>[1]Source!M45</f>
        <v>0</v>
      </c>
      <c r="N380" s="153">
        <f>[1]Source!N45</f>
        <v>0</v>
      </c>
      <c r="O380" s="153">
        <f>[1]Source!O45</f>
        <v>0</v>
      </c>
      <c r="P380" s="14">
        <f t="shared" si="122"/>
        <v>48</v>
      </c>
      <c r="Q380" s="17">
        <f t="shared" si="121"/>
        <v>48</v>
      </c>
      <c r="R380" s="14">
        <f t="shared" si="123"/>
        <v>0</v>
      </c>
    </row>
    <row r="381" spans="1:18" x14ac:dyDescent="0.25">
      <c r="A381" s="27" t="s">
        <v>213</v>
      </c>
      <c r="B381" s="18" t="s">
        <v>34</v>
      </c>
      <c r="C381" s="17">
        <v>0</v>
      </c>
      <c r="D381" s="153">
        <f>[1]Source!D46</f>
        <v>0</v>
      </c>
      <c r="E381" s="153">
        <f>[1]Source!E46</f>
        <v>0</v>
      </c>
      <c r="F381" s="153">
        <f>[1]Source!F46</f>
        <v>11540</v>
      </c>
      <c r="G381" s="199">
        <f>[1]Source!G46-48</f>
        <v>367</v>
      </c>
      <c r="H381" s="153">
        <f>[1]Source!H46</f>
        <v>0</v>
      </c>
      <c r="I381" s="153">
        <f>[1]Source!I46</f>
        <v>325</v>
      </c>
      <c r="J381" s="153">
        <f>[1]Source!J46</f>
        <v>8</v>
      </c>
      <c r="K381" s="153">
        <f>[1]Source!K46</f>
        <v>244</v>
      </c>
      <c r="L381" s="153">
        <f>[1]Source!L46</f>
        <v>-244</v>
      </c>
      <c r="M381" s="153">
        <f>[1]Source!M46</f>
        <v>0</v>
      </c>
      <c r="N381" s="153">
        <f>[1]Source!N46</f>
        <v>0</v>
      </c>
      <c r="O381" s="153">
        <f>[1]Source!O46</f>
        <v>161</v>
      </c>
      <c r="P381" s="14">
        <f t="shared" si="122"/>
        <v>12401</v>
      </c>
      <c r="Q381" s="17">
        <f t="shared" si="121"/>
        <v>12240</v>
      </c>
      <c r="R381" s="14">
        <f t="shared" si="123"/>
        <v>161</v>
      </c>
    </row>
    <row r="382" spans="1:18" x14ac:dyDescent="0.25">
      <c r="A382" s="27" t="s">
        <v>214</v>
      </c>
      <c r="C382" s="17">
        <v>0</v>
      </c>
      <c r="D382" s="17">
        <v>0</v>
      </c>
      <c r="E382" s="17">
        <v>200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0</v>
      </c>
      <c r="L382" s="17">
        <v>0</v>
      </c>
      <c r="M382" s="17">
        <v>0</v>
      </c>
      <c r="N382" s="17">
        <v>0</v>
      </c>
      <c r="O382" s="17">
        <v>0</v>
      </c>
      <c r="P382" s="14">
        <f t="shared" si="122"/>
        <v>200</v>
      </c>
      <c r="Q382" s="17">
        <f t="shared" si="121"/>
        <v>200</v>
      </c>
      <c r="R382" s="14">
        <f t="shared" si="123"/>
        <v>0</v>
      </c>
    </row>
    <row r="383" spans="1:18" x14ac:dyDescent="0.25">
      <c r="A383" s="27" t="s">
        <v>215</v>
      </c>
      <c r="C383" s="17">
        <v>0</v>
      </c>
      <c r="D383" s="17">
        <v>-660</v>
      </c>
      <c r="E383" s="17">
        <v>657</v>
      </c>
      <c r="F383" s="17">
        <v>0</v>
      </c>
      <c r="G383" s="17">
        <v>0</v>
      </c>
      <c r="H383" s="17">
        <v>0</v>
      </c>
      <c r="I383" s="17">
        <v>0</v>
      </c>
      <c r="J383" s="17">
        <v>0</v>
      </c>
      <c r="K383" s="17">
        <v>0</v>
      </c>
      <c r="L383" s="17">
        <v>0</v>
      </c>
      <c r="M383" s="17">
        <v>0</v>
      </c>
      <c r="N383" s="17">
        <v>0</v>
      </c>
      <c r="O383" s="17">
        <v>0</v>
      </c>
      <c r="P383" s="14">
        <f t="shared" si="122"/>
        <v>-3</v>
      </c>
      <c r="Q383" s="17">
        <f t="shared" si="121"/>
        <v>-3</v>
      </c>
      <c r="R383" s="14">
        <f t="shared" si="123"/>
        <v>0</v>
      </c>
    </row>
    <row r="384" spans="1:18" x14ac:dyDescent="0.25">
      <c r="A384" s="27" t="s">
        <v>216</v>
      </c>
      <c r="B384" s="18"/>
      <c r="C384" s="17">
        <v>0</v>
      </c>
      <c r="D384" s="17">
        <v>0</v>
      </c>
      <c r="E384" s="17">
        <v>0</v>
      </c>
      <c r="F384" s="17">
        <v>0</v>
      </c>
      <c r="G384" s="17">
        <v>0</v>
      </c>
      <c r="H384" s="17">
        <v>0</v>
      </c>
      <c r="I384" s="17">
        <v>0</v>
      </c>
      <c r="J384" s="17">
        <v>0</v>
      </c>
      <c r="K384" s="17">
        <v>0</v>
      </c>
      <c r="L384" s="17">
        <v>0</v>
      </c>
      <c r="M384" s="17">
        <v>0</v>
      </c>
      <c r="N384" s="17">
        <v>0</v>
      </c>
      <c r="O384" s="17">
        <v>0</v>
      </c>
      <c r="P384" s="14">
        <f t="shared" si="122"/>
        <v>0</v>
      </c>
      <c r="Q384" s="17">
        <f t="shared" si="121"/>
        <v>0</v>
      </c>
      <c r="R384" s="14">
        <f t="shared" si="123"/>
        <v>0</v>
      </c>
    </row>
    <row r="385" spans="1:18" x14ac:dyDescent="0.25">
      <c r="A385" s="27" t="s">
        <v>217</v>
      </c>
      <c r="C385" s="17">
        <v>0</v>
      </c>
      <c r="D385" s="17">
        <v>0</v>
      </c>
      <c r="E385" s="17">
        <v>0</v>
      </c>
      <c r="F385" s="17">
        <v>0</v>
      </c>
      <c r="G385" s="17">
        <v>0</v>
      </c>
      <c r="H385" s="17">
        <v>0</v>
      </c>
      <c r="I385" s="17">
        <v>0</v>
      </c>
      <c r="J385" s="17">
        <v>0</v>
      </c>
      <c r="K385" s="17">
        <v>0</v>
      </c>
      <c r="L385" s="17">
        <v>0</v>
      </c>
      <c r="M385" s="17">
        <v>0</v>
      </c>
      <c r="N385" s="17">
        <v>0</v>
      </c>
      <c r="O385" s="17">
        <v>0</v>
      </c>
      <c r="P385" s="14">
        <f t="shared" ref="P385:P391" si="124">SUM(D385:O385)</f>
        <v>0</v>
      </c>
      <c r="Q385" s="17">
        <f t="shared" si="121"/>
        <v>0</v>
      </c>
      <c r="R385" s="14">
        <f t="shared" ref="R385:R391" si="125">P385-Q385</f>
        <v>0</v>
      </c>
    </row>
    <row r="386" spans="1:18" x14ac:dyDescent="0.25">
      <c r="A386" s="27" t="s">
        <v>218</v>
      </c>
      <c r="C386" s="17">
        <v>213</v>
      </c>
      <c r="D386" s="194">
        <v>-12</v>
      </c>
      <c r="E386" s="194">
        <f>-200+1</f>
        <v>-199</v>
      </c>
      <c r="F386" s="194">
        <v>-1</v>
      </c>
      <c r="G386" s="194">
        <v>-5</v>
      </c>
      <c r="H386" s="17">
        <v>7</v>
      </c>
      <c r="I386" s="17">
        <v>0</v>
      </c>
      <c r="J386" s="17">
        <v>0</v>
      </c>
      <c r="K386" s="17">
        <v>0</v>
      </c>
      <c r="L386" s="17">
        <v>0</v>
      </c>
      <c r="M386" s="17">
        <v>0</v>
      </c>
      <c r="N386" s="17">
        <v>0</v>
      </c>
      <c r="O386" s="17">
        <v>0</v>
      </c>
      <c r="P386" s="14">
        <f t="shared" si="124"/>
        <v>-210</v>
      </c>
      <c r="Q386" s="17">
        <f t="shared" si="121"/>
        <v>-210</v>
      </c>
      <c r="R386" s="14">
        <f t="shared" si="125"/>
        <v>0</v>
      </c>
    </row>
    <row r="387" spans="1:18" x14ac:dyDescent="0.25">
      <c r="A387" s="27" t="s">
        <v>218</v>
      </c>
      <c r="C387" s="17">
        <v>0</v>
      </c>
      <c r="D387" s="17">
        <v>0</v>
      </c>
      <c r="E387" s="17">
        <v>0</v>
      </c>
      <c r="F387" s="17">
        <v>0</v>
      </c>
      <c r="G387" s="17">
        <v>-331</v>
      </c>
      <c r="H387" s="17">
        <v>326</v>
      </c>
      <c r="I387" s="17">
        <v>26</v>
      </c>
      <c r="J387" s="17">
        <v>2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4">
        <f t="shared" si="124"/>
        <v>23</v>
      </c>
      <c r="Q387" s="17">
        <f t="shared" si="121"/>
        <v>23</v>
      </c>
      <c r="R387" s="14">
        <f t="shared" si="125"/>
        <v>0</v>
      </c>
    </row>
    <row r="388" spans="1:18" x14ac:dyDescent="0.25">
      <c r="A388" s="27" t="s">
        <v>218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  <c r="K388" s="17">
        <v>0</v>
      </c>
      <c r="L388" s="17">
        <v>0</v>
      </c>
      <c r="M388" s="17">
        <v>0</v>
      </c>
      <c r="N388" s="17">
        <v>0</v>
      </c>
      <c r="O388" s="17">
        <v>0</v>
      </c>
      <c r="P388" s="14">
        <f t="shared" si="124"/>
        <v>0</v>
      </c>
      <c r="Q388" s="17">
        <f t="shared" si="121"/>
        <v>0</v>
      </c>
      <c r="R388" s="14">
        <f t="shared" si="125"/>
        <v>0</v>
      </c>
    </row>
    <row r="389" spans="1:18" x14ac:dyDescent="0.25">
      <c r="A389" s="27" t="s">
        <v>218</v>
      </c>
      <c r="C389" s="17">
        <v>0</v>
      </c>
      <c r="D389" s="17">
        <v>0</v>
      </c>
      <c r="E389" s="17">
        <v>0</v>
      </c>
      <c r="F389" s="17">
        <v>0</v>
      </c>
      <c r="G389" s="17">
        <v>0</v>
      </c>
      <c r="H389" s="17">
        <v>0</v>
      </c>
      <c r="I389" s="17">
        <v>0</v>
      </c>
      <c r="J389" s="17">
        <v>0</v>
      </c>
      <c r="K389" s="17">
        <v>0</v>
      </c>
      <c r="L389" s="17">
        <v>0</v>
      </c>
      <c r="M389" s="17">
        <v>0</v>
      </c>
      <c r="N389" s="17">
        <v>0</v>
      </c>
      <c r="O389" s="17">
        <v>0</v>
      </c>
      <c r="P389" s="14">
        <f t="shared" si="124"/>
        <v>0</v>
      </c>
      <c r="Q389" s="17">
        <f t="shared" si="121"/>
        <v>0</v>
      </c>
      <c r="R389" s="14">
        <f t="shared" si="125"/>
        <v>0</v>
      </c>
    </row>
    <row r="390" spans="1:18" x14ac:dyDescent="0.25">
      <c r="A390" s="27" t="s">
        <v>219</v>
      </c>
      <c r="C390" s="17">
        <v>0</v>
      </c>
      <c r="D390" s="17">
        <v>0</v>
      </c>
      <c r="E390" s="17">
        <v>0</v>
      </c>
      <c r="F390" s="17">
        <v>0</v>
      </c>
      <c r="G390" s="17">
        <v>0</v>
      </c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17">
        <v>0</v>
      </c>
      <c r="N390" s="17">
        <v>0</v>
      </c>
      <c r="O390" s="17">
        <v>0</v>
      </c>
      <c r="P390" s="14">
        <f t="shared" si="124"/>
        <v>0</v>
      </c>
      <c r="Q390" s="17">
        <f t="shared" si="121"/>
        <v>0</v>
      </c>
      <c r="R390" s="14">
        <f t="shared" si="125"/>
        <v>0</v>
      </c>
    </row>
    <row r="391" spans="1:18" x14ac:dyDescent="0.25">
      <c r="A391" s="27" t="s">
        <v>178</v>
      </c>
      <c r="C391" s="25">
        <v>0</v>
      </c>
      <c r="D391" s="25">
        <v>0</v>
      </c>
      <c r="E391" s="25">
        <v>0</v>
      </c>
      <c r="F391" s="25">
        <v>0</v>
      </c>
      <c r="G391" s="25">
        <v>0</v>
      </c>
      <c r="H391" s="25">
        <v>0</v>
      </c>
      <c r="I391" s="25">
        <v>0</v>
      </c>
      <c r="J391" s="25">
        <v>0</v>
      </c>
      <c r="K391" s="25">
        <v>0</v>
      </c>
      <c r="L391" s="25">
        <v>0</v>
      </c>
      <c r="M391" s="25">
        <v>0</v>
      </c>
      <c r="N391" s="25">
        <v>0</v>
      </c>
      <c r="O391" s="25">
        <v>0</v>
      </c>
      <c r="P391" s="16">
        <f t="shared" si="124"/>
        <v>0</v>
      </c>
      <c r="Q391" s="25">
        <f t="shared" si="121"/>
        <v>0</v>
      </c>
      <c r="R391" s="16">
        <f t="shared" si="125"/>
        <v>0</v>
      </c>
    </row>
    <row r="392" spans="1:18" ht="3.9" customHeight="1" x14ac:dyDescent="0.25"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x14ac:dyDescent="0.25">
      <c r="A393" s="26" t="s">
        <v>220</v>
      </c>
      <c r="C393" s="14">
        <f>SUM(C378:C392)</f>
        <v>276</v>
      </c>
      <c r="D393" s="14">
        <f t="shared" ref="D393:O393" si="126">SUM(D377:D392)</f>
        <v>-387</v>
      </c>
      <c r="E393" s="14">
        <f t="shared" si="126"/>
        <v>271</v>
      </c>
      <c r="F393" s="14">
        <f t="shared" si="126"/>
        <v>11822</v>
      </c>
      <c r="G393" s="14">
        <f t="shared" si="126"/>
        <v>12241</v>
      </c>
      <c r="H393" s="14">
        <f t="shared" si="126"/>
        <v>12248</v>
      </c>
      <c r="I393" s="14">
        <f t="shared" si="126"/>
        <v>12599</v>
      </c>
      <c r="J393" s="14">
        <f t="shared" si="126"/>
        <v>12645</v>
      </c>
      <c r="K393" s="14">
        <f t="shared" si="126"/>
        <v>12889</v>
      </c>
      <c r="L393" s="14">
        <f t="shared" si="126"/>
        <v>12645</v>
      </c>
      <c r="M393" s="14">
        <f t="shared" si="126"/>
        <v>12645</v>
      </c>
      <c r="N393" s="14">
        <f t="shared" si="126"/>
        <v>12645</v>
      </c>
      <c r="O393" s="14">
        <f t="shared" si="126"/>
        <v>12806</v>
      </c>
      <c r="P393" s="14"/>
    </row>
    <row r="394" spans="1:18" ht="3.9" customHeight="1" x14ac:dyDescent="0.25"/>
    <row r="395" spans="1:18" x14ac:dyDescent="0.25">
      <c r="A395" s="27" t="s">
        <v>30</v>
      </c>
      <c r="C395" s="14"/>
      <c r="D395" s="14">
        <f t="shared" ref="D395:O395" si="127">D393-C393</f>
        <v>-663</v>
      </c>
      <c r="E395" s="14">
        <f t="shared" si="127"/>
        <v>658</v>
      </c>
      <c r="F395" s="14">
        <f t="shared" si="127"/>
        <v>11551</v>
      </c>
      <c r="G395" s="14">
        <f t="shared" si="127"/>
        <v>419</v>
      </c>
      <c r="H395" s="14">
        <f t="shared" si="127"/>
        <v>7</v>
      </c>
      <c r="I395" s="14">
        <f t="shared" si="127"/>
        <v>351</v>
      </c>
      <c r="J395" s="14">
        <f t="shared" si="127"/>
        <v>46</v>
      </c>
      <c r="K395" s="14">
        <f t="shared" si="127"/>
        <v>244</v>
      </c>
      <c r="L395" s="14">
        <f t="shared" si="127"/>
        <v>-244</v>
      </c>
      <c r="M395" s="14">
        <f t="shared" si="127"/>
        <v>0</v>
      </c>
      <c r="N395" s="14">
        <f t="shared" si="127"/>
        <v>0</v>
      </c>
      <c r="O395" s="14">
        <f t="shared" si="127"/>
        <v>161</v>
      </c>
      <c r="P395" s="14">
        <f>SUM(D395:O395)</f>
        <v>12530</v>
      </c>
      <c r="Q395" s="14">
        <f>SUM(Q378:Q392)</f>
        <v>12369</v>
      </c>
      <c r="R395" s="14">
        <f>P395-Q395</f>
        <v>161</v>
      </c>
    </row>
    <row r="397" spans="1:18" x14ac:dyDescent="0.25">
      <c r="A397" s="26" t="s">
        <v>221</v>
      </c>
      <c r="D397" s="14">
        <f t="shared" ref="D397:O397" si="128">C402</f>
        <v>0</v>
      </c>
      <c r="E397" s="14">
        <f t="shared" si="128"/>
        <v>0</v>
      </c>
      <c r="F397" s="14">
        <f t="shared" si="128"/>
        <v>0</v>
      </c>
      <c r="G397" s="14">
        <f t="shared" si="128"/>
        <v>0</v>
      </c>
      <c r="H397" s="14">
        <f t="shared" si="128"/>
        <v>0</v>
      </c>
      <c r="I397" s="14">
        <f t="shared" si="128"/>
        <v>0</v>
      </c>
      <c r="J397" s="14">
        <f t="shared" si="128"/>
        <v>0</v>
      </c>
      <c r="K397" s="14">
        <f t="shared" si="128"/>
        <v>0</v>
      </c>
      <c r="L397" s="14">
        <f t="shared" si="128"/>
        <v>0</v>
      </c>
      <c r="M397" s="14">
        <f t="shared" si="128"/>
        <v>0</v>
      </c>
      <c r="N397" s="14">
        <f t="shared" si="128"/>
        <v>0</v>
      </c>
      <c r="O397" s="14">
        <f t="shared" si="128"/>
        <v>0</v>
      </c>
    </row>
    <row r="398" spans="1:18" x14ac:dyDescent="0.25">
      <c r="A398" s="15" t="s">
        <v>40</v>
      </c>
      <c r="C398" s="17">
        <v>0</v>
      </c>
      <c r="D398" s="17">
        <v>0</v>
      </c>
      <c r="E398" s="17">
        <v>0</v>
      </c>
      <c r="F398" s="17">
        <v>0</v>
      </c>
      <c r="G398" s="17">
        <v>0</v>
      </c>
      <c r="H398" s="17">
        <v>0</v>
      </c>
      <c r="I398" s="17">
        <v>0</v>
      </c>
      <c r="J398" s="17">
        <v>0</v>
      </c>
      <c r="K398" s="17">
        <v>0</v>
      </c>
      <c r="L398" s="17">
        <v>0</v>
      </c>
      <c r="M398" s="17">
        <v>0</v>
      </c>
      <c r="N398" s="17">
        <v>0</v>
      </c>
      <c r="O398" s="17">
        <v>0</v>
      </c>
      <c r="P398" s="14">
        <f>SUM(D398:O398)</f>
        <v>0</v>
      </c>
      <c r="Q398" s="17">
        <f>SUM(D398:J398)</f>
        <v>0</v>
      </c>
      <c r="R398" s="14">
        <f>P398-Q398</f>
        <v>0</v>
      </c>
    </row>
    <row r="399" spans="1:18" x14ac:dyDescent="0.25">
      <c r="A399" s="15" t="s">
        <v>40</v>
      </c>
      <c r="B399" s="18"/>
      <c r="C399" s="17">
        <v>0</v>
      </c>
      <c r="D399" s="28">
        <v>0</v>
      </c>
      <c r="E399" s="28">
        <v>0</v>
      </c>
      <c r="F399" s="28">
        <v>0</v>
      </c>
      <c r="G399" s="28">
        <v>0</v>
      </c>
      <c r="H399" s="28">
        <v>0</v>
      </c>
      <c r="I399" s="28">
        <v>0</v>
      </c>
      <c r="J399" s="28">
        <v>0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  <c r="P399" s="14">
        <f>SUM(D399:O399)</f>
        <v>0</v>
      </c>
      <c r="Q399" s="17">
        <f>SUM(D399:J399)</f>
        <v>0</v>
      </c>
      <c r="R399" s="14">
        <f>P399-Q399</f>
        <v>0</v>
      </c>
    </row>
    <row r="400" spans="1:18" x14ac:dyDescent="0.25">
      <c r="A400" s="27" t="s">
        <v>178</v>
      </c>
      <c r="C400" s="25">
        <v>0</v>
      </c>
      <c r="D400" s="25">
        <v>0</v>
      </c>
      <c r="E400" s="25">
        <v>0</v>
      </c>
      <c r="F400" s="25">
        <v>0</v>
      </c>
      <c r="G400" s="25">
        <v>0</v>
      </c>
      <c r="H400" s="25">
        <v>0</v>
      </c>
      <c r="I400" s="25">
        <v>0</v>
      </c>
      <c r="J400" s="25">
        <v>0</v>
      </c>
      <c r="K400" s="25">
        <v>0</v>
      </c>
      <c r="L400" s="25">
        <v>0</v>
      </c>
      <c r="M400" s="25">
        <v>0</v>
      </c>
      <c r="N400" s="25">
        <v>0</v>
      </c>
      <c r="O400" s="25">
        <v>0</v>
      </c>
      <c r="P400" s="16">
        <f>SUM(D400:O400)</f>
        <v>0</v>
      </c>
      <c r="Q400" s="25">
        <f>SUM(D400:J400)</f>
        <v>0</v>
      </c>
      <c r="R400" s="16">
        <f>P400-Q400</f>
        <v>0</v>
      </c>
    </row>
    <row r="401" spans="1:18" ht="3.9" customHeight="1" x14ac:dyDescent="0.25"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x14ac:dyDescent="0.25">
      <c r="A402" s="26" t="s">
        <v>221</v>
      </c>
      <c r="C402" s="14">
        <f t="shared" ref="C402:O402" si="129">SUM(C397:C401)</f>
        <v>0</v>
      </c>
      <c r="D402" s="14">
        <f t="shared" si="129"/>
        <v>0</v>
      </c>
      <c r="E402" s="14">
        <f t="shared" si="129"/>
        <v>0</v>
      </c>
      <c r="F402" s="14">
        <f t="shared" si="129"/>
        <v>0</v>
      </c>
      <c r="G402" s="14">
        <f t="shared" si="129"/>
        <v>0</v>
      </c>
      <c r="H402" s="14">
        <f t="shared" si="129"/>
        <v>0</v>
      </c>
      <c r="I402" s="14">
        <f t="shared" si="129"/>
        <v>0</v>
      </c>
      <c r="J402" s="14">
        <f t="shared" si="129"/>
        <v>0</v>
      </c>
      <c r="K402" s="14">
        <f t="shared" si="129"/>
        <v>0</v>
      </c>
      <c r="L402" s="14">
        <f t="shared" si="129"/>
        <v>0</v>
      </c>
      <c r="M402" s="14">
        <f t="shared" si="129"/>
        <v>0</v>
      </c>
      <c r="N402" s="14">
        <f t="shared" si="129"/>
        <v>0</v>
      </c>
      <c r="O402" s="14">
        <f t="shared" si="129"/>
        <v>0</v>
      </c>
      <c r="P402" s="14"/>
    </row>
    <row r="403" spans="1:18" ht="3.9" customHeight="1" x14ac:dyDescent="0.25"/>
    <row r="404" spans="1:18" x14ac:dyDescent="0.25">
      <c r="A404" s="27" t="s">
        <v>30</v>
      </c>
      <c r="C404" s="14"/>
      <c r="D404" s="14">
        <f t="shared" ref="D404:O404" si="130">D402-C402</f>
        <v>0</v>
      </c>
      <c r="E404" s="14">
        <f t="shared" si="130"/>
        <v>0</v>
      </c>
      <c r="F404" s="14">
        <f t="shared" si="130"/>
        <v>0</v>
      </c>
      <c r="G404" s="14">
        <f t="shared" si="130"/>
        <v>0</v>
      </c>
      <c r="H404" s="14">
        <f t="shared" si="130"/>
        <v>0</v>
      </c>
      <c r="I404" s="14">
        <f t="shared" si="130"/>
        <v>0</v>
      </c>
      <c r="J404" s="14">
        <f t="shared" si="130"/>
        <v>0</v>
      </c>
      <c r="K404" s="14">
        <f t="shared" si="130"/>
        <v>0</v>
      </c>
      <c r="L404" s="14">
        <f t="shared" si="130"/>
        <v>0</v>
      </c>
      <c r="M404" s="14">
        <f t="shared" si="130"/>
        <v>0</v>
      </c>
      <c r="N404" s="14">
        <f t="shared" si="130"/>
        <v>0</v>
      </c>
      <c r="O404" s="14">
        <f t="shared" si="130"/>
        <v>0</v>
      </c>
      <c r="P404" s="14">
        <f>SUM(D404:O404)</f>
        <v>0</v>
      </c>
      <c r="Q404" s="14">
        <f>SUM(Q398:Q401)</f>
        <v>0</v>
      </c>
      <c r="R404" s="14">
        <f>P404-Q404</f>
        <v>0</v>
      </c>
    </row>
    <row r="406" spans="1:18" x14ac:dyDescent="0.25">
      <c r="A406" s="26" t="s">
        <v>222</v>
      </c>
      <c r="D406" s="14">
        <f t="shared" ref="D406:O406" si="131">C411</f>
        <v>0</v>
      </c>
      <c r="E406" s="14">
        <f t="shared" si="131"/>
        <v>0</v>
      </c>
      <c r="F406" s="14">
        <f t="shared" si="131"/>
        <v>0</v>
      </c>
      <c r="G406" s="14">
        <f t="shared" si="131"/>
        <v>0</v>
      </c>
      <c r="H406" s="14">
        <f t="shared" si="131"/>
        <v>0</v>
      </c>
      <c r="I406" s="14">
        <f t="shared" si="131"/>
        <v>0</v>
      </c>
      <c r="J406" s="14">
        <f t="shared" si="131"/>
        <v>0</v>
      </c>
      <c r="K406" s="14">
        <f t="shared" si="131"/>
        <v>0</v>
      </c>
      <c r="L406" s="14">
        <f t="shared" si="131"/>
        <v>0</v>
      </c>
      <c r="M406" s="14">
        <f t="shared" si="131"/>
        <v>0</v>
      </c>
      <c r="N406" s="14">
        <f t="shared" si="131"/>
        <v>0</v>
      </c>
      <c r="O406" s="14">
        <f t="shared" si="131"/>
        <v>0</v>
      </c>
    </row>
    <row r="407" spans="1:18" x14ac:dyDescent="0.25">
      <c r="A407" s="15" t="s">
        <v>40</v>
      </c>
      <c r="B407" s="18"/>
      <c r="C407" s="17">
        <v>0</v>
      </c>
      <c r="D407" s="28">
        <v>0</v>
      </c>
      <c r="E407" s="28">
        <v>0</v>
      </c>
      <c r="F407" s="28">
        <v>0</v>
      </c>
      <c r="G407" s="28">
        <v>0</v>
      </c>
      <c r="H407" s="28">
        <v>0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14">
        <f>SUM(D407:O407)</f>
        <v>0</v>
      </c>
      <c r="Q407" s="17">
        <f>SUM(D407:J407)</f>
        <v>0</v>
      </c>
      <c r="R407" s="14">
        <f>P407-Q407</f>
        <v>0</v>
      </c>
    </row>
    <row r="408" spans="1:18" x14ac:dyDescent="0.25">
      <c r="A408" s="15" t="s">
        <v>40</v>
      </c>
      <c r="B408" s="18"/>
      <c r="C408" s="17">
        <v>0</v>
      </c>
      <c r="D408" s="28">
        <v>0</v>
      </c>
      <c r="E408" s="28">
        <v>0</v>
      </c>
      <c r="F408" s="28">
        <v>0</v>
      </c>
      <c r="G408" s="28">
        <v>0</v>
      </c>
      <c r="H408" s="28">
        <v>0</v>
      </c>
      <c r="I408" s="28">
        <v>0</v>
      </c>
      <c r="J408" s="28">
        <v>0</v>
      </c>
      <c r="K408" s="28">
        <v>0</v>
      </c>
      <c r="L408" s="28">
        <v>0</v>
      </c>
      <c r="M408" s="28">
        <v>0</v>
      </c>
      <c r="N408" s="28">
        <v>0</v>
      </c>
      <c r="O408" s="28">
        <v>0</v>
      </c>
      <c r="P408" s="14">
        <f>SUM(D408:O408)</f>
        <v>0</v>
      </c>
      <c r="Q408" s="17">
        <f>SUM(D408:J408)</f>
        <v>0</v>
      </c>
      <c r="R408" s="14">
        <f>P408-Q408</f>
        <v>0</v>
      </c>
    </row>
    <row r="409" spans="1:18" x14ac:dyDescent="0.25">
      <c r="A409" s="27" t="s">
        <v>178</v>
      </c>
      <c r="C409" s="25">
        <v>0</v>
      </c>
      <c r="D409" s="25">
        <v>0</v>
      </c>
      <c r="E409" s="25">
        <v>0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  <c r="P409" s="16">
        <f>SUM(D409:O409)</f>
        <v>0</v>
      </c>
      <c r="Q409" s="25">
        <f>SUM(D409:J409)</f>
        <v>0</v>
      </c>
      <c r="R409" s="16">
        <f>P409-Q409</f>
        <v>0</v>
      </c>
    </row>
    <row r="410" spans="1:18" ht="3.9" customHeight="1" x14ac:dyDescent="0.25"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x14ac:dyDescent="0.25">
      <c r="A411" s="26" t="s">
        <v>223</v>
      </c>
      <c r="C411" s="14">
        <f t="shared" ref="C411:O411" si="132">SUM(C406:C410)</f>
        <v>0</v>
      </c>
      <c r="D411" s="14">
        <f t="shared" si="132"/>
        <v>0</v>
      </c>
      <c r="E411" s="14">
        <f t="shared" si="132"/>
        <v>0</v>
      </c>
      <c r="F411" s="14">
        <f t="shared" si="132"/>
        <v>0</v>
      </c>
      <c r="G411" s="14">
        <f t="shared" si="132"/>
        <v>0</v>
      </c>
      <c r="H411" s="14">
        <f t="shared" si="132"/>
        <v>0</v>
      </c>
      <c r="I411" s="14">
        <f t="shared" si="132"/>
        <v>0</v>
      </c>
      <c r="J411" s="14">
        <f t="shared" si="132"/>
        <v>0</v>
      </c>
      <c r="K411" s="14">
        <f t="shared" si="132"/>
        <v>0</v>
      </c>
      <c r="L411" s="14">
        <f t="shared" si="132"/>
        <v>0</v>
      </c>
      <c r="M411" s="14">
        <f t="shared" si="132"/>
        <v>0</v>
      </c>
      <c r="N411" s="14">
        <f t="shared" si="132"/>
        <v>0</v>
      </c>
      <c r="O411" s="14">
        <f t="shared" si="132"/>
        <v>0</v>
      </c>
      <c r="P411" s="14"/>
    </row>
    <row r="412" spans="1:18" ht="3.9" customHeight="1" x14ac:dyDescent="0.25"/>
    <row r="413" spans="1:18" x14ac:dyDescent="0.25">
      <c r="A413" s="27" t="s">
        <v>30</v>
      </c>
      <c r="C413" s="14"/>
      <c r="D413" s="14">
        <f t="shared" ref="D413:O413" si="133">D411-C411</f>
        <v>0</v>
      </c>
      <c r="E413" s="14">
        <f t="shared" si="133"/>
        <v>0</v>
      </c>
      <c r="F413" s="14">
        <f t="shared" si="133"/>
        <v>0</v>
      </c>
      <c r="G413" s="14">
        <f t="shared" si="133"/>
        <v>0</v>
      </c>
      <c r="H413" s="14">
        <f t="shared" si="133"/>
        <v>0</v>
      </c>
      <c r="I413" s="14">
        <f t="shared" si="133"/>
        <v>0</v>
      </c>
      <c r="J413" s="14">
        <f t="shared" si="133"/>
        <v>0</v>
      </c>
      <c r="K413" s="14">
        <f t="shared" si="133"/>
        <v>0</v>
      </c>
      <c r="L413" s="14">
        <f t="shared" si="133"/>
        <v>0</v>
      </c>
      <c r="M413" s="14">
        <f t="shared" si="133"/>
        <v>0</v>
      </c>
      <c r="N413" s="14">
        <f t="shared" si="133"/>
        <v>0</v>
      </c>
      <c r="O413" s="14">
        <f t="shared" si="133"/>
        <v>0</v>
      </c>
      <c r="P413" s="14">
        <f>SUM(D413:O413)</f>
        <v>0</v>
      </c>
      <c r="Q413" s="14">
        <f>SUM(Q409:Q410)</f>
        <v>0</v>
      </c>
      <c r="R413" s="14">
        <f>P413-Q413</f>
        <v>0</v>
      </c>
    </row>
    <row r="415" spans="1:18" x14ac:dyDescent="0.25">
      <c r="A415" s="26" t="s">
        <v>224</v>
      </c>
      <c r="C415" s="14"/>
      <c r="D415" s="14">
        <f t="shared" ref="D415:O415" si="134">C424</f>
        <v>2661</v>
      </c>
      <c r="E415" s="14">
        <f t="shared" si="134"/>
        <v>2637</v>
      </c>
      <c r="F415" s="14">
        <f t="shared" si="134"/>
        <v>2614</v>
      </c>
      <c r="G415" s="14">
        <f t="shared" si="134"/>
        <v>2592</v>
      </c>
      <c r="H415" s="14">
        <f t="shared" si="134"/>
        <v>2570</v>
      </c>
      <c r="I415" s="14">
        <f t="shared" si="134"/>
        <v>2542</v>
      </c>
      <c r="J415" s="14">
        <f t="shared" si="134"/>
        <v>2520</v>
      </c>
      <c r="K415" s="14">
        <f t="shared" si="134"/>
        <v>2497</v>
      </c>
      <c r="L415" s="14">
        <f t="shared" si="134"/>
        <v>2473</v>
      </c>
      <c r="M415" s="14">
        <f t="shared" si="134"/>
        <v>2449</v>
      </c>
      <c r="N415" s="14">
        <f t="shared" si="134"/>
        <v>2425</v>
      </c>
      <c r="O415" s="14">
        <f t="shared" si="134"/>
        <v>2401</v>
      </c>
      <c r="P415" s="14"/>
    </row>
    <row r="416" spans="1:18" x14ac:dyDescent="0.25">
      <c r="A416" s="27" t="s">
        <v>225</v>
      </c>
      <c r="B416" s="18" t="s">
        <v>34</v>
      </c>
      <c r="C416" s="17">
        <v>0</v>
      </c>
      <c r="D416" s="153">
        <f>[1]Source!D48</f>
        <v>0</v>
      </c>
      <c r="E416" s="153">
        <f>[1]Source!E48</f>
        <v>0</v>
      </c>
      <c r="F416" s="153">
        <f>[1]Source!F48</f>
        <v>0</v>
      </c>
      <c r="G416" s="153">
        <f>[1]Source!G48</f>
        <v>0</v>
      </c>
      <c r="H416" s="153">
        <f>[1]Source!H48</f>
        <v>0</v>
      </c>
      <c r="I416" s="153">
        <f>[1]Source!I48</f>
        <v>0</v>
      </c>
      <c r="J416" s="153">
        <f>[1]Source!J48</f>
        <v>0</v>
      </c>
      <c r="K416" s="153">
        <f>[1]Source!K48</f>
        <v>0</v>
      </c>
      <c r="L416" s="153">
        <f>[1]Source!L48</f>
        <v>0</v>
      </c>
      <c r="M416" s="153">
        <f>[1]Source!M48</f>
        <v>0</v>
      </c>
      <c r="N416" s="153">
        <f>[1]Source!N48</f>
        <v>0</v>
      </c>
      <c r="O416" s="153">
        <f>[1]Source!O48</f>
        <v>0</v>
      </c>
      <c r="P416" s="14">
        <f t="shared" ref="P416:P422" si="135">SUM(D416:O416)</f>
        <v>0</v>
      </c>
      <c r="Q416" s="17">
        <f t="shared" ref="Q416:Q422" si="136">SUM(D416:J416)</f>
        <v>0</v>
      </c>
      <c r="R416" s="14">
        <f t="shared" ref="R416:R422" si="137">P416-Q416</f>
        <v>0</v>
      </c>
    </row>
    <row r="417" spans="1:18" x14ac:dyDescent="0.25">
      <c r="A417" s="27" t="s">
        <v>218</v>
      </c>
      <c r="B417" s="18"/>
      <c r="C417" s="17">
        <v>0</v>
      </c>
      <c r="D417" s="17">
        <v>0</v>
      </c>
      <c r="E417" s="17">
        <v>0</v>
      </c>
      <c r="F417" s="17">
        <v>0</v>
      </c>
      <c r="G417" s="17">
        <v>0</v>
      </c>
      <c r="H417" s="17">
        <v>0</v>
      </c>
      <c r="I417" s="17">
        <v>0</v>
      </c>
      <c r="J417" s="17">
        <v>0</v>
      </c>
      <c r="K417" s="17">
        <v>0</v>
      </c>
      <c r="L417" s="17">
        <v>0</v>
      </c>
      <c r="M417" s="17">
        <v>0</v>
      </c>
      <c r="N417" s="17">
        <v>0</v>
      </c>
      <c r="O417" s="17">
        <v>0</v>
      </c>
      <c r="P417" s="14">
        <f t="shared" si="135"/>
        <v>0</v>
      </c>
      <c r="Q417" s="17">
        <f t="shared" si="136"/>
        <v>0</v>
      </c>
      <c r="R417" s="14">
        <f t="shared" si="137"/>
        <v>0</v>
      </c>
    </row>
    <row r="418" spans="1:18" x14ac:dyDescent="0.25">
      <c r="A418" s="27" t="s">
        <v>226</v>
      </c>
      <c r="C418" s="17">
        <v>0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17">
        <v>0</v>
      </c>
      <c r="L418" s="17">
        <v>0</v>
      </c>
      <c r="M418" s="17">
        <v>0</v>
      </c>
      <c r="N418" s="17">
        <v>0</v>
      </c>
      <c r="O418" s="17">
        <v>0</v>
      </c>
      <c r="P418" s="14">
        <f t="shared" si="135"/>
        <v>0</v>
      </c>
      <c r="Q418" s="17">
        <f t="shared" si="136"/>
        <v>0</v>
      </c>
      <c r="R418" s="14">
        <f t="shared" si="137"/>
        <v>0</v>
      </c>
    </row>
    <row r="419" spans="1:18" x14ac:dyDescent="0.25">
      <c r="A419" s="15" t="s">
        <v>227</v>
      </c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17">
        <v>0</v>
      </c>
      <c r="L419" s="17">
        <v>0</v>
      </c>
      <c r="M419" s="17">
        <v>0</v>
      </c>
      <c r="N419" s="17">
        <v>0</v>
      </c>
      <c r="O419" s="17">
        <v>0</v>
      </c>
      <c r="P419" s="14">
        <f t="shared" si="135"/>
        <v>0</v>
      </c>
      <c r="Q419" s="17">
        <f t="shared" si="136"/>
        <v>0</v>
      </c>
      <c r="R419" s="14">
        <f t="shared" si="137"/>
        <v>0</v>
      </c>
    </row>
    <row r="420" spans="1:18" x14ac:dyDescent="0.25">
      <c r="A420" s="27" t="s">
        <v>228</v>
      </c>
      <c r="B420" s="18"/>
      <c r="C420" s="17">
        <v>0</v>
      </c>
      <c r="D420" s="17">
        <v>0</v>
      </c>
      <c r="E420" s="17">
        <v>0</v>
      </c>
      <c r="F420" s="17">
        <v>0</v>
      </c>
      <c r="G420" s="17">
        <v>0</v>
      </c>
      <c r="H420" s="17">
        <v>0</v>
      </c>
      <c r="I420" s="17">
        <v>0</v>
      </c>
      <c r="J420" s="17">
        <v>0</v>
      </c>
      <c r="K420" s="17">
        <v>0</v>
      </c>
      <c r="L420" s="17">
        <v>0</v>
      </c>
      <c r="M420" s="17">
        <v>0</v>
      </c>
      <c r="N420" s="17">
        <v>0</v>
      </c>
      <c r="O420" s="17">
        <v>0</v>
      </c>
      <c r="P420" s="14">
        <f t="shared" si="135"/>
        <v>0</v>
      </c>
      <c r="Q420" s="17">
        <f t="shared" si="136"/>
        <v>0</v>
      </c>
      <c r="R420" s="14">
        <f t="shared" si="137"/>
        <v>0</v>
      </c>
    </row>
    <row r="421" spans="1:18" x14ac:dyDescent="0.25">
      <c r="A421" s="27" t="s">
        <v>229</v>
      </c>
      <c r="B421" s="18"/>
      <c r="C421" s="17">
        <v>2664</v>
      </c>
      <c r="D421" s="17">
        <v>-24</v>
      </c>
      <c r="E421" s="17">
        <v>-23</v>
      </c>
      <c r="F421" s="17">
        <v>-22</v>
      </c>
      <c r="G421" s="17">
        <v>-22</v>
      </c>
      <c r="H421" s="17">
        <v>-24</v>
      </c>
      <c r="I421" s="17">
        <v>-24</v>
      </c>
      <c r="J421" s="17">
        <v>-24</v>
      </c>
      <c r="K421" s="17">
        <v>-24</v>
      </c>
      <c r="L421" s="17">
        <v>-24</v>
      </c>
      <c r="M421" s="17">
        <v>-24</v>
      </c>
      <c r="N421" s="17">
        <v>-24</v>
      </c>
      <c r="O421" s="17">
        <v>-24</v>
      </c>
      <c r="P421" s="14">
        <f t="shared" si="135"/>
        <v>-283</v>
      </c>
      <c r="Q421" s="17">
        <f t="shared" si="136"/>
        <v>-163</v>
      </c>
      <c r="R421" s="14">
        <f t="shared" si="137"/>
        <v>-120</v>
      </c>
    </row>
    <row r="422" spans="1:18" x14ac:dyDescent="0.25">
      <c r="A422" s="27" t="s">
        <v>178</v>
      </c>
      <c r="C422" s="25">
        <v>-3</v>
      </c>
      <c r="D422" s="25">
        <v>0</v>
      </c>
      <c r="E422" s="25">
        <v>0</v>
      </c>
      <c r="F422" s="25">
        <v>0</v>
      </c>
      <c r="G422" s="25">
        <v>0</v>
      </c>
      <c r="H422" s="25">
        <v>-4</v>
      </c>
      <c r="I422" s="25">
        <v>2</v>
      </c>
      <c r="J422" s="25">
        <v>1</v>
      </c>
      <c r="K422" s="25">
        <v>0</v>
      </c>
      <c r="L422" s="25">
        <v>0</v>
      </c>
      <c r="M422" s="25">
        <v>0</v>
      </c>
      <c r="N422" s="25">
        <v>0</v>
      </c>
      <c r="O422" s="25">
        <v>0</v>
      </c>
      <c r="P422" s="16">
        <f t="shared" si="135"/>
        <v>-1</v>
      </c>
      <c r="Q422" s="25">
        <f t="shared" si="136"/>
        <v>-1</v>
      </c>
      <c r="R422" s="16">
        <f t="shared" si="137"/>
        <v>0</v>
      </c>
    </row>
    <row r="423" spans="1:18" ht="3.9" customHeight="1" x14ac:dyDescent="0.25"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x14ac:dyDescent="0.25">
      <c r="A424" s="26" t="s">
        <v>230</v>
      </c>
      <c r="C424" s="14">
        <f t="shared" ref="C424:O424" si="138">SUM(C415:C423)</f>
        <v>2661</v>
      </c>
      <c r="D424" s="14">
        <f t="shared" si="138"/>
        <v>2637</v>
      </c>
      <c r="E424" s="14">
        <f t="shared" si="138"/>
        <v>2614</v>
      </c>
      <c r="F424" s="14">
        <f t="shared" si="138"/>
        <v>2592</v>
      </c>
      <c r="G424" s="14">
        <f t="shared" si="138"/>
        <v>2570</v>
      </c>
      <c r="H424" s="14">
        <f t="shared" si="138"/>
        <v>2542</v>
      </c>
      <c r="I424" s="14">
        <f t="shared" si="138"/>
        <v>2520</v>
      </c>
      <c r="J424" s="14">
        <f t="shared" si="138"/>
        <v>2497</v>
      </c>
      <c r="K424" s="14">
        <f t="shared" si="138"/>
        <v>2473</v>
      </c>
      <c r="L424" s="14">
        <f t="shared" si="138"/>
        <v>2449</v>
      </c>
      <c r="M424" s="14">
        <f t="shared" si="138"/>
        <v>2425</v>
      </c>
      <c r="N424" s="14">
        <f t="shared" si="138"/>
        <v>2401</v>
      </c>
      <c r="O424" s="14">
        <f t="shared" si="138"/>
        <v>2377</v>
      </c>
      <c r="P424" s="14"/>
    </row>
    <row r="425" spans="1:18" ht="3.9" customHeight="1" x14ac:dyDescent="0.25"/>
    <row r="426" spans="1:18" x14ac:dyDescent="0.25">
      <c r="A426" s="27" t="s">
        <v>30</v>
      </c>
      <c r="C426" s="14"/>
      <c r="D426" s="14">
        <f t="shared" ref="D426:O426" si="139">D424-C424</f>
        <v>-24</v>
      </c>
      <c r="E426" s="14">
        <f t="shared" si="139"/>
        <v>-23</v>
      </c>
      <c r="F426" s="14">
        <f t="shared" si="139"/>
        <v>-22</v>
      </c>
      <c r="G426" s="14">
        <f t="shared" si="139"/>
        <v>-22</v>
      </c>
      <c r="H426" s="14">
        <f t="shared" si="139"/>
        <v>-28</v>
      </c>
      <c r="I426" s="14">
        <f t="shared" si="139"/>
        <v>-22</v>
      </c>
      <c r="J426" s="14">
        <f t="shared" si="139"/>
        <v>-23</v>
      </c>
      <c r="K426" s="14">
        <f t="shared" si="139"/>
        <v>-24</v>
      </c>
      <c r="L426" s="14">
        <f t="shared" si="139"/>
        <v>-24</v>
      </c>
      <c r="M426" s="14">
        <f t="shared" si="139"/>
        <v>-24</v>
      </c>
      <c r="N426" s="14">
        <f t="shared" si="139"/>
        <v>-24</v>
      </c>
      <c r="O426" s="14">
        <f t="shared" si="139"/>
        <v>-24</v>
      </c>
      <c r="P426" s="14">
        <f>SUM(D426:O426)</f>
        <v>-284</v>
      </c>
      <c r="Q426" s="14">
        <f>SUM(Q416:Q423)</f>
        <v>-164</v>
      </c>
      <c r="R426" s="14">
        <f>P426-Q426</f>
        <v>-120</v>
      </c>
    </row>
    <row r="428" spans="1:18" x14ac:dyDescent="0.25">
      <c r="A428" s="26" t="s">
        <v>231</v>
      </c>
      <c r="D428" s="14">
        <f t="shared" ref="D428:O428" si="140">C434</f>
        <v>0</v>
      </c>
      <c r="E428" s="14">
        <f t="shared" si="140"/>
        <v>26217</v>
      </c>
      <c r="F428" s="14">
        <f t="shared" si="140"/>
        <v>17748</v>
      </c>
      <c r="G428" s="14">
        <f t="shared" si="140"/>
        <v>36081</v>
      </c>
      <c r="H428" s="14">
        <f t="shared" si="140"/>
        <v>3332</v>
      </c>
      <c r="I428" s="14">
        <f t="shared" si="140"/>
        <v>0</v>
      </c>
      <c r="J428" s="14">
        <f t="shared" si="140"/>
        <v>0</v>
      </c>
      <c r="K428" s="14">
        <f t="shared" si="140"/>
        <v>0</v>
      </c>
      <c r="L428" s="14">
        <f t="shared" si="140"/>
        <v>0</v>
      </c>
      <c r="M428" s="14">
        <f t="shared" si="140"/>
        <v>0</v>
      </c>
      <c r="N428" s="14">
        <f t="shared" si="140"/>
        <v>0</v>
      </c>
      <c r="O428" s="14">
        <f t="shared" si="140"/>
        <v>0</v>
      </c>
    </row>
    <row r="429" spans="1:18" x14ac:dyDescent="0.25">
      <c r="A429" s="27" t="s">
        <v>232</v>
      </c>
      <c r="C429" s="17">
        <v>0</v>
      </c>
      <c r="D429" s="17">
        <v>26217</v>
      </c>
      <c r="E429" s="17">
        <v>-8469</v>
      </c>
      <c r="F429" s="17">
        <v>18333</v>
      </c>
      <c r="G429" s="17">
        <v>-9782</v>
      </c>
      <c r="H429" s="17">
        <v>-31283</v>
      </c>
      <c r="I429" s="17">
        <v>0</v>
      </c>
      <c r="J429" s="17">
        <v>0</v>
      </c>
      <c r="K429" s="17">
        <v>0</v>
      </c>
      <c r="L429" s="17">
        <v>0</v>
      </c>
      <c r="M429" s="17">
        <v>0</v>
      </c>
      <c r="N429" s="17">
        <v>0</v>
      </c>
      <c r="O429" s="17">
        <v>0</v>
      </c>
      <c r="P429" s="14">
        <f>SUM(D429:O429)</f>
        <v>-4984</v>
      </c>
      <c r="Q429" s="17">
        <f>SUM(D429:J429)</f>
        <v>-4984</v>
      </c>
      <c r="R429" s="14">
        <f>P429-Q429</f>
        <v>0</v>
      </c>
    </row>
    <row r="430" spans="1:18" x14ac:dyDescent="0.25">
      <c r="A430" s="27" t="s">
        <v>233</v>
      </c>
      <c r="B430" s="18"/>
      <c r="C430" s="17">
        <v>0</v>
      </c>
      <c r="D430" s="28">
        <v>0</v>
      </c>
      <c r="E430" s="28">
        <v>0</v>
      </c>
      <c r="F430" s="28">
        <v>0</v>
      </c>
      <c r="G430" s="28">
        <v>-22967</v>
      </c>
      <c r="H430" s="28">
        <v>0</v>
      </c>
      <c r="I430" s="28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  <c r="P430" s="14">
        <f>SUM(D430:O430)</f>
        <v>-22967</v>
      </c>
      <c r="Q430" s="17">
        <f>SUM(D430:J430)</f>
        <v>-22967</v>
      </c>
      <c r="R430" s="14">
        <f>P430-Q430</f>
        <v>0</v>
      </c>
    </row>
    <row r="431" spans="1:18" x14ac:dyDescent="0.25">
      <c r="A431" s="15" t="s">
        <v>40</v>
      </c>
      <c r="B431" s="18"/>
      <c r="C431" s="17">
        <v>0</v>
      </c>
      <c r="D431" s="28">
        <v>0</v>
      </c>
      <c r="E431" s="28">
        <v>0</v>
      </c>
      <c r="F431" s="28">
        <v>0</v>
      </c>
      <c r="G431" s="28">
        <v>0</v>
      </c>
      <c r="H431" s="28">
        <v>27951</v>
      </c>
      <c r="I431" s="28">
        <v>0</v>
      </c>
      <c r="J431" s="28">
        <v>0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  <c r="P431" s="14">
        <f>SUM(D431:O431)</f>
        <v>27951</v>
      </c>
      <c r="Q431" s="17">
        <f>SUM(D431:J431)</f>
        <v>27951</v>
      </c>
      <c r="R431" s="14">
        <f>P431-Q431</f>
        <v>0</v>
      </c>
    </row>
    <row r="432" spans="1:18" x14ac:dyDescent="0.25">
      <c r="A432" s="27" t="s">
        <v>178</v>
      </c>
      <c r="C432" s="25">
        <v>0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  <c r="N432" s="25">
        <v>0</v>
      </c>
      <c r="O432" s="25">
        <v>0</v>
      </c>
      <c r="P432" s="16">
        <f>SUM(D432:O432)</f>
        <v>0</v>
      </c>
      <c r="Q432" s="25">
        <f>SUM(D432:J432)</f>
        <v>0</v>
      </c>
      <c r="R432" s="16">
        <f>P432-Q432</f>
        <v>0</v>
      </c>
    </row>
    <row r="433" spans="1:18" ht="3.9" customHeight="1" x14ac:dyDescent="0.25"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x14ac:dyDescent="0.25">
      <c r="A434" s="26" t="s">
        <v>234</v>
      </c>
      <c r="C434" s="14">
        <f t="shared" ref="C434:O434" si="141">SUM(C428:C433)</f>
        <v>0</v>
      </c>
      <c r="D434" s="14">
        <f t="shared" si="141"/>
        <v>26217</v>
      </c>
      <c r="E434" s="14">
        <f t="shared" si="141"/>
        <v>17748</v>
      </c>
      <c r="F434" s="14">
        <f t="shared" si="141"/>
        <v>36081</v>
      </c>
      <c r="G434" s="14">
        <f t="shared" si="141"/>
        <v>3332</v>
      </c>
      <c r="H434" s="14">
        <f t="shared" si="141"/>
        <v>0</v>
      </c>
      <c r="I434" s="14">
        <f t="shared" si="141"/>
        <v>0</v>
      </c>
      <c r="J434" s="14">
        <f t="shared" si="141"/>
        <v>0</v>
      </c>
      <c r="K434" s="14">
        <f t="shared" si="141"/>
        <v>0</v>
      </c>
      <c r="L434" s="14">
        <f t="shared" si="141"/>
        <v>0</v>
      </c>
      <c r="M434" s="14">
        <f t="shared" si="141"/>
        <v>0</v>
      </c>
      <c r="N434" s="14">
        <f t="shared" si="141"/>
        <v>0</v>
      </c>
      <c r="O434" s="14">
        <f t="shared" si="141"/>
        <v>0</v>
      </c>
      <c r="P434" s="14"/>
    </row>
    <row r="435" spans="1:18" ht="3.9" customHeight="1" x14ac:dyDescent="0.25"/>
    <row r="436" spans="1:18" x14ac:dyDescent="0.25">
      <c r="A436" s="27" t="s">
        <v>30</v>
      </c>
      <c r="C436" s="14"/>
      <c r="D436" s="14">
        <f t="shared" ref="D436:O436" si="142">D434-C434</f>
        <v>26217</v>
      </c>
      <c r="E436" s="14">
        <f t="shared" si="142"/>
        <v>-8469</v>
      </c>
      <c r="F436" s="14">
        <f t="shared" si="142"/>
        <v>18333</v>
      </c>
      <c r="G436" s="14">
        <f t="shared" si="142"/>
        <v>-32749</v>
      </c>
      <c r="H436" s="14">
        <f t="shared" si="142"/>
        <v>-3332</v>
      </c>
      <c r="I436" s="14">
        <f t="shared" si="142"/>
        <v>0</v>
      </c>
      <c r="J436" s="14">
        <f t="shared" si="142"/>
        <v>0</v>
      </c>
      <c r="K436" s="14">
        <f t="shared" si="142"/>
        <v>0</v>
      </c>
      <c r="L436" s="14">
        <f t="shared" si="142"/>
        <v>0</v>
      </c>
      <c r="M436" s="14">
        <f t="shared" si="142"/>
        <v>0</v>
      </c>
      <c r="N436" s="14">
        <f t="shared" si="142"/>
        <v>0</v>
      </c>
      <c r="O436" s="14">
        <f t="shared" si="142"/>
        <v>0</v>
      </c>
      <c r="P436" s="14">
        <f>SUM(D436:O436)</f>
        <v>0</v>
      </c>
      <c r="Q436" s="14">
        <f>SUM(Q429:Q433)</f>
        <v>0</v>
      </c>
      <c r="R436" s="14">
        <f>P436-Q436</f>
        <v>0</v>
      </c>
    </row>
    <row r="437" spans="1:18" ht="8.1" customHeight="1" x14ac:dyDescent="0.25"/>
    <row r="439" spans="1:18" x14ac:dyDescent="0.25">
      <c r="A439" s="26" t="s">
        <v>235</v>
      </c>
      <c r="C439" s="14"/>
      <c r="D439" s="14">
        <f t="shared" ref="D439:O439" si="143">C449</f>
        <v>-524956</v>
      </c>
      <c r="E439" s="14">
        <f t="shared" si="143"/>
        <v>-541799</v>
      </c>
      <c r="F439" s="14">
        <f t="shared" si="143"/>
        <v>-560015</v>
      </c>
      <c r="G439" s="14">
        <f t="shared" si="143"/>
        <v>-579696</v>
      </c>
      <c r="H439" s="14">
        <f t="shared" si="143"/>
        <v>-591337</v>
      </c>
      <c r="I439" s="14">
        <f t="shared" si="143"/>
        <v>-587311</v>
      </c>
      <c r="J439" s="14">
        <f t="shared" si="143"/>
        <v>-460025</v>
      </c>
      <c r="K439" s="14">
        <f t="shared" si="143"/>
        <v>-461271</v>
      </c>
      <c r="L439" s="14">
        <f t="shared" si="143"/>
        <v>-476871</v>
      </c>
      <c r="M439" s="14">
        <f t="shared" si="143"/>
        <v>-478771</v>
      </c>
      <c r="N439" s="14">
        <f t="shared" si="143"/>
        <v>-484471</v>
      </c>
      <c r="O439" s="14">
        <f t="shared" si="143"/>
        <v>-484271</v>
      </c>
      <c r="P439" s="14"/>
    </row>
    <row r="440" spans="1:18" x14ac:dyDescent="0.25">
      <c r="A440" s="27" t="s">
        <v>236</v>
      </c>
      <c r="D440" s="17">
        <v>-10623</v>
      </c>
      <c r="E440" s="17">
        <v>-10356</v>
      </c>
      <c r="F440" s="17">
        <v>-14673</v>
      </c>
      <c r="G440" s="17">
        <v>5986</v>
      </c>
      <c r="H440" s="17">
        <v>9459</v>
      </c>
      <c r="I440" s="194">
        <f>132325-40</f>
        <v>132285</v>
      </c>
      <c r="J440" s="225">
        <f>4060+2</f>
        <v>4062</v>
      </c>
      <c r="K440" s="17">
        <v>-10200</v>
      </c>
      <c r="L440" s="17">
        <v>3000</v>
      </c>
      <c r="M440" s="17">
        <v>-3700</v>
      </c>
      <c r="N440" s="17">
        <v>6000</v>
      </c>
      <c r="O440" s="194">
        <v>5600</v>
      </c>
      <c r="P440" s="14">
        <f t="shared" ref="P440:P447" si="144">SUM(D440:O440)</f>
        <v>116840</v>
      </c>
      <c r="Q440" s="17">
        <f t="shared" ref="Q440:Q447" si="145">SUM(D440:J440)</f>
        <v>116140</v>
      </c>
      <c r="R440" s="14">
        <f t="shared" ref="R440:R447" si="146">P440-Q440</f>
        <v>700</v>
      </c>
    </row>
    <row r="441" spans="1:18" x14ac:dyDescent="0.25">
      <c r="A441" s="27" t="s">
        <v>237</v>
      </c>
      <c r="B441" s="162" t="s">
        <v>173</v>
      </c>
      <c r="D441" s="14">
        <f t="shared" ref="D441:O441" si="147">-D286</f>
        <v>-6220</v>
      </c>
      <c r="E441" s="14">
        <f t="shared" si="147"/>
        <v>-7860</v>
      </c>
      <c r="F441" s="14">
        <f t="shared" si="147"/>
        <v>-5008</v>
      </c>
      <c r="G441" s="14">
        <f t="shared" si="147"/>
        <v>-17627</v>
      </c>
      <c r="H441" s="14">
        <f t="shared" si="147"/>
        <v>-5433</v>
      </c>
      <c r="I441" s="14">
        <f t="shared" si="147"/>
        <v>-4999</v>
      </c>
      <c r="J441" s="14">
        <f t="shared" si="147"/>
        <v>-5308</v>
      </c>
      <c r="K441" s="14">
        <f t="shared" si="147"/>
        <v>-5400</v>
      </c>
      <c r="L441" s="14">
        <f t="shared" si="147"/>
        <v>-4900</v>
      </c>
      <c r="M441" s="14">
        <f t="shared" si="147"/>
        <v>-2000</v>
      </c>
      <c r="N441" s="14">
        <f t="shared" si="147"/>
        <v>-5800</v>
      </c>
      <c r="O441" s="14">
        <f t="shared" si="147"/>
        <v>-5400</v>
      </c>
      <c r="P441" s="14">
        <f t="shared" si="144"/>
        <v>-75955</v>
      </c>
      <c r="Q441" s="17">
        <f t="shared" si="145"/>
        <v>-52455</v>
      </c>
      <c r="R441" s="14">
        <f t="shared" si="146"/>
        <v>-23500</v>
      </c>
    </row>
    <row r="442" spans="1:18" x14ac:dyDescent="0.25">
      <c r="A442" s="27" t="s">
        <v>238</v>
      </c>
      <c r="B442" s="162" t="s">
        <v>173</v>
      </c>
      <c r="D442" s="199">
        <f>-D295+D295</f>
        <v>0</v>
      </c>
      <c r="E442" s="199">
        <f t="shared" ref="E442:O442" si="148">-E295+E295</f>
        <v>0</v>
      </c>
      <c r="F442" s="199">
        <f t="shared" si="148"/>
        <v>0</v>
      </c>
      <c r="G442" s="199">
        <f t="shared" si="148"/>
        <v>0</v>
      </c>
      <c r="H442" s="199">
        <f t="shared" si="148"/>
        <v>0</v>
      </c>
      <c r="I442" s="199">
        <f t="shared" si="148"/>
        <v>0</v>
      </c>
      <c r="J442" s="199">
        <f t="shared" si="148"/>
        <v>0</v>
      </c>
      <c r="K442" s="199">
        <f t="shared" si="148"/>
        <v>0</v>
      </c>
      <c r="L442" s="199">
        <f t="shared" si="148"/>
        <v>0</v>
      </c>
      <c r="M442" s="199">
        <f t="shared" si="148"/>
        <v>0</v>
      </c>
      <c r="N442" s="199">
        <f t="shared" si="148"/>
        <v>0</v>
      </c>
      <c r="O442" s="199">
        <f t="shared" si="148"/>
        <v>0</v>
      </c>
      <c r="P442" s="14">
        <f t="shared" si="144"/>
        <v>0</v>
      </c>
      <c r="Q442" s="17">
        <f t="shared" si="145"/>
        <v>0</v>
      </c>
      <c r="R442" s="14">
        <f t="shared" si="146"/>
        <v>0</v>
      </c>
    </row>
    <row r="443" spans="1:18" x14ac:dyDescent="0.25">
      <c r="A443" s="27" t="s">
        <v>239</v>
      </c>
      <c r="B443" s="162" t="s">
        <v>173</v>
      </c>
      <c r="D443" s="14">
        <f t="shared" ref="D443:O443" si="149">-D471</f>
        <v>0</v>
      </c>
      <c r="E443" s="14">
        <f t="shared" si="149"/>
        <v>0</v>
      </c>
      <c r="F443" s="14">
        <f t="shared" si="149"/>
        <v>0</v>
      </c>
      <c r="G443" s="14">
        <f t="shared" si="149"/>
        <v>0</v>
      </c>
      <c r="H443" s="14">
        <f t="shared" si="149"/>
        <v>0</v>
      </c>
      <c r="I443" s="14">
        <f t="shared" si="149"/>
        <v>0</v>
      </c>
      <c r="J443" s="14">
        <f t="shared" si="149"/>
        <v>0</v>
      </c>
      <c r="K443" s="14">
        <f t="shared" si="149"/>
        <v>0</v>
      </c>
      <c r="L443" s="14">
        <f t="shared" si="149"/>
        <v>0</v>
      </c>
      <c r="M443" s="14">
        <f t="shared" si="149"/>
        <v>0</v>
      </c>
      <c r="N443" s="14">
        <f t="shared" si="149"/>
        <v>0</v>
      </c>
      <c r="O443" s="14">
        <f t="shared" si="149"/>
        <v>0</v>
      </c>
      <c r="P443" s="14">
        <f t="shared" si="144"/>
        <v>0</v>
      </c>
      <c r="Q443" s="17">
        <f t="shared" si="145"/>
        <v>0</v>
      </c>
      <c r="R443" s="14">
        <f t="shared" si="146"/>
        <v>0</v>
      </c>
    </row>
    <row r="444" spans="1:18" x14ac:dyDescent="0.25">
      <c r="A444" s="27" t="s">
        <v>240</v>
      </c>
      <c r="B444" s="162" t="s">
        <v>173</v>
      </c>
      <c r="D444" s="14">
        <f>-D459</f>
        <v>0</v>
      </c>
      <c r="E444" s="14">
        <f t="shared" ref="E444:O444" si="150">-E459</f>
        <v>0</v>
      </c>
      <c r="F444" s="14">
        <f t="shared" si="150"/>
        <v>0</v>
      </c>
      <c r="G444" s="14">
        <f t="shared" si="150"/>
        <v>0</v>
      </c>
      <c r="H444" s="14">
        <f t="shared" si="150"/>
        <v>0</v>
      </c>
      <c r="I444" s="14">
        <f t="shared" si="150"/>
        <v>0</v>
      </c>
      <c r="J444" s="14">
        <f t="shared" si="150"/>
        <v>0</v>
      </c>
      <c r="K444" s="14">
        <f t="shared" si="150"/>
        <v>0</v>
      </c>
      <c r="L444" s="14">
        <f t="shared" si="150"/>
        <v>0</v>
      </c>
      <c r="M444" s="14">
        <f t="shared" si="150"/>
        <v>0</v>
      </c>
      <c r="N444" s="14">
        <f t="shared" si="150"/>
        <v>0</v>
      </c>
      <c r="O444" s="14">
        <f t="shared" si="150"/>
        <v>0</v>
      </c>
      <c r="P444" s="14">
        <f t="shared" si="144"/>
        <v>0</v>
      </c>
      <c r="Q444" s="17">
        <f t="shared" si="145"/>
        <v>0</v>
      </c>
      <c r="R444" s="14">
        <f t="shared" si="146"/>
        <v>0</v>
      </c>
    </row>
    <row r="445" spans="1:18" x14ac:dyDescent="0.25">
      <c r="A445" s="15" t="s">
        <v>40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4">
        <f t="shared" si="144"/>
        <v>0</v>
      </c>
      <c r="Q445" s="17">
        <f t="shared" si="145"/>
        <v>0</v>
      </c>
      <c r="R445" s="14">
        <f t="shared" si="146"/>
        <v>0</v>
      </c>
    </row>
    <row r="446" spans="1:18" x14ac:dyDescent="0.25">
      <c r="A446" s="27" t="s">
        <v>241</v>
      </c>
      <c r="C446" s="17"/>
      <c r="D446" s="17">
        <v>0</v>
      </c>
      <c r="E446" s="17">
        <v>0</v>
      </c>
      <c r="F446" s="17">
        <v>0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4">
        <f t="shared" si="144"/>
        <v>0</v>
      </c>
      <c r="Q446" s="17">
        <f t="shared" si="145"/>
        <v>0</v>
      </c>
      <c r="R446" s="14">
        <f t="shared" si="146"/>
        <v>0</v>
      </c>
    </row>
    <row r="447" spans="1:18" x14ac:dyDescent="0.25">
      <c r="A447" s="27" t="s">
        <v>178</v>
      </c>
      <c r="C447" s="25">
        <v>0</v>
      </c>
      <c r="D447" s="25">
        <v>0</v>
      </c>
      <c r="E447" s="25">
        <v>0</v>
      </c>
      <c r="F447" s="25">
        <v>0</v>
      </c>
      <c r="G447" s="25">
        <v>0</v>
      </c>
      <c r="H447" s="25">
        <v>0</v>
      </c>
      <c r="I447" s="25">
        <v>0</v>
      </c>
      <c r="J447" s="25">
        <v>0</v>
      </c>
      <c r="K447" s="25">
        <v>0</v>
      </c>
      <c r="L447" s="25">
        <v>0</v>
      </c>
      <c r="M447" s="25">
        <v>0</v>
      </c>
      <c r="N447" s="25">
        <v>0</v>
      </c>
      <c r="O447" s="25">
        <v>0</v>
      </c>
      <c r="P447" s="16">
        <f t="shared" si="144"/>
        <v>0</v>
      </c>
      <c r="Q447" s="25">
        <f t="shared" si="145"/>
        <v>0</v>
      </c>
      <c r="R447" s="16">
        <f t="shared" si="146"/>
        <v>0</v>
      </c>
    </row>
    <row r="448" spans="1:18" ht="3.9" customHeight="1" x14ac:dyDescent="0.25"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x14ac:dyDescent="0.25">
      <c r="A449" s="26" t="s">
        <v>242</v>
      </c>
      <c r="C449" s="17">
        <v>-524956</v>
      </c>
      <c r="D449" s="14">
        <f t="shared" ref="D449:O449" si="151">SUM(D439:D448)</f>
        <v>-541799</v>
      </c>
      <c r="E449" s="14">
        <f t="shared" si="151"/>
        <v>-560015</v>
      </c>
      <c r="F449" s="14">
        <f t="shared" si="151"/>
        <v>-579696</v>
      </c>
      <c r="G449" s="14">
        <f t="shared" si="151"/>
        <v>-591337</v>
      </c>
      <c r="H449" s="14">
        <f t="shared" si="151"/>
        <v>-587311</v>
      </c>
      <c r="I449" s="14">
        <f t="shared" si="151"/>
        <v>-460025</v>
      </c>
      <c r="J449" s="14">
        <f t="shared" si="151"/>
        <v>-461271</v>
      </c>
      <c r="K449" s="14">
        <f t="shared" si="151"/>
        <v>-476871</v>
      </c>
      <c r="L449" s="14">
        <f t="shared" si="151"/>
        <v>-478771</v>
      </c>
      <c r="M449" s="14">
        <f t="shared" si="151"/>
        <v>-484471</v>
      </c>
      <c r="N449" s="14">
        <f t="shared" si="151"/>
        <v>-484271</v>
      </c>
      <c r="O449" s="14">
        <f t="shared" si="151"/>
        <v>-484071</v>
      </c>
      <c r="P449" s="14"/>
    </row>
    <row r="450" spans="1:18" ht="3.9" customHeight="1" x14ac:dyDescent="0.25"/>
    <row r="451" spans="1:18" x14ac:dyDescent="0.25">
      <c r="A451" s="27" t="s">
        <v>30</v>
      </c>
      <c r="D451" s="14">
        <f t="shared" ref="D451:O451" si="152">D449-C449</f>
        <v>-16843</v>
      </c>
      <c r="E451" s="14">
        <f t="shared" si="152"/>
        <v>-18216</v>
      </c>
      <c r="F451" s="14">
        <f t="shared" si="152"/>
        <v>-19681</v>
      </c>
      <c r="G451" s="14">
        <f t="shared" si="152"/>
        <v>-11641</v>
      </c>
      <c r="H451" s="14">
        <f t="shared" si="152"/>
        <v>4026</v>
      </c>
      <c r="I451" s="14">
        <f t="shared" si="152"/>
        <v>127286</v>
      </c>
      <c r="J451" s="14">
        <f t="shared" si="152"/>
        <v>-1246</v>
      </c>
      <c r="K451" s="14">
        <f t="shared" si="152"/>
        <v>-15600</v>
      </c>
      <c r="L451" s="14">
        <f t="shared" si="152"/>
        <v>-1900</v>
      </c>
      <c r="M451" s="14">
        <f t="shared" si="152"/>
        <v>-5700</v>
      </c>
      <c r="N451" s="14">
        <f t="shared" si="152"/>
        <v>200</v>
      </c>
      <c r="O451" s="14">
        <f t="shared" si="152"/>
        <v>200</v>
      </c>
      <c r="P451" s="14">
        <f>SUM(D451:O451)</f>
        <v>40885</v>
      </c>
      <c r="Q451" s="14">
        <f>SUM(Q447:Q448)</f>
        <v>0</v>
      </c>
      <c r="R451" s="14">
        <f>P451-Q451</f>
        <v>40885</v>
      </c>
    </row>
    <row r="454" spans="1:18" x14ac:dyDescent="0.25">
      <c r="A454" s="26" t="s">
        <v>243</v>
      </c>
      <c r="D454" s="14">
        <f t="shared" ref="D454:O454" si="153">C462</f>
        <v>161600</v>
      </c>
      <c r="E454" s="14">
        <f t="shared" si="153"/>
        <v>161600</v>
      </c>
      <c r="F454" s="14">
        <f t="shared" si="153"/>
        <v>161600</v>
      </c>
      <c r="G454" s="14">
        <f t="shared" si="153"/>
        <v>161600</v>
      </c>
      <c r="H454" s="14">
        <f t="shared" si="153"/>
        <v>161600</v>
      </c>
      <c r="I454" s="14">
        <f t="shared" si="153"/>
        <v>161600</v>
      </c>
      <c r="J454" s="14">
        <f t="shared" si="153"/>
        <v>11600</v>
      </c>
      <c r="K454" s="14">
        <f t="shared" si="153"/>
        <v>11600</v>
      </c>
      <c r="L454" s="14">
        <f t="shared" si="153"/>
        <v>11600</v>
      </c>
      <c r="M454" s="14">
        <f t="shared" si="153"/>
        <v>11600</v>
      </c>
      <c r="N454" s="14">
        <f t="shared" si="153"/>
        <v>11600</v>
      </c>
      <c r="O454" s="14">
        <f t="shared" si="153"/>
        <v>7750</v>
      </c>
    </row>
    <row r="455" spans="1:18" x14ac:dyDescent="0.25">
      <c r="A455" s="27" t="s">
        <v>244</v>
      </c>
      <c r="C455" s="17"/>
      <c r="D455" s="17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4">
        <f t="shared" ref="P455:P460" si="154">SUM(D455:O455)</f>
        <v>0</v>
      </c>
      <c r="Q455" s="17">
        <f t="shared" ref="Q455:Q460" si="155">SUM(D455:J455)</f>
        <v>0</v>
      </c>
      <c r="R455" s="14">
        <f t="shared" ref="R455:R460" si="156">P455-Q455</f>
        <v>0</v>
      </c>
    </row>
    <row r="456" spans="1:18" x14ac:dyDescent="0.25">
      <c r="A456" s="27" t="s">
        <v>245</v>
      </c>
      <c r="C456" s="17">
        <v>150000</v>
      </c>
      <c r="D456" s="17">
        <v>0</v>
      </c>
      <c r="E456" s="17">
        <v>0</v>
      </c>
      <c r="F456" s="17">
        <v>0</v>
      </c>
      <c r="G456" s="17">
        <v>0</v>
      </c>
      <c r="H456" s="17">
        <v>0</v>
      </c>
      <c r="I456" s="17">
        <v>-150000</v>
      </c>
      <c r="J456" s="17">
        <v>0</v>
      </c>
      <c r="K456" s="17">
        <v>0</v>
      </c>
      <c r="L456" s="17">
        <v>0</v>
      </c>
      <c r="M456" s="17">
        <v>0</v>
      </c>
      <c r="N456" s="17">
        <v>0</v>
      </c>
      <c r="O456" s="17">
        <v>0</v>
      </c>
      <c r="P456" s="14">
        <f t="shared" si="154"/>
        <v>-150000</v>
      </c>
      <c r="Q456" s="17">
        <f t="shared" si="155"/>
        <v>-150000</v>
      </c>
      <c r="R456" s="14">
        <f t="shared" si="156"/>
        <v>0</v>
      </c>
    </row>
    <row r="457" spans="1:18" x14ac:dyDescent="0.25">
      <c r="A457" s="27" t="s">
        <v>246</v>
      </c>
      <c r="C457" s="17">
        <v>0</v>
      </c>
      <c r="D457" s="17">
        <v>0</v>
      </c>
      <c r="E457" s="17">
        <v>0</v>
      </c>
      <c r="F457" s="17">
        <v>0</v>
      </c>
      <c r="G457" s="17">
        <v>0</v>
      </c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0</v>
      </c>
      <c r="N457" s="17">
        <v>0</v>
      </c>
      <c r="O457" s="17">
        <v>0</v>
      </c>
      <c r="P457" s="14">
        <f t="shared" si="154"/>
        <v>0</v>
      </c>
      <c r="Q457" s="17">
        <f t="shared" si="155"/>
        <v>0</v>
      </c>
      <c r="R457" s="14">
        <f t="shared" si="156"/>
        <v>0</v>
      </c>
    </row>
    <row r="458" spans="1:18" x14ac:dyDescent="0.25">
      <c r="A458" s="27" t="s">
        <v>247</v>
      </c>
      <c r="C458" s="17">
        <f>27000-3850-3850-3850-3850</f>
        <v>11600</v>
      </c>
      <c r="D458" s="17">
        <v>0</v>
      </c>
      <c r="E458" s="17">
        <v>0</v>
      </c>
      <c r="F458" s="17">
        <v>0</v>
      </c>
      <c r="G458" s="17">
        <v>0</v>
      </c>
      <c r="H458" s="17">
        <v>0</v>
      </c>
      <c r="I458" s="17">
        <v>0</v>
      </c>
      <c r="J458" s="17">
        <v>0</v>
      </c>
      <c r="K458" s="17">
        <v>0</v>
      </c>
      <c r="L458" s="17">
        <v>0</v>
      </c>
      <c r="M458" s="17">
        <v>0</v>
      </c>
      <c r="N458" s="17">
        <v>-3850</v>
      </c>
      <c r="O458" s="17">
        <v>0</v>
      </c>
      <c r="P458" s="14">
        <f t="shared" si="154"/>
        <v>-3850</v>
      </c>
      <c r="Q458" s="17">
        <f t="shared" si="155"/>
        <v>0</v>
      </c>
      <c r="R458" s="14">
        <f t="shared" si="156"/>
        <v>-3850</v>
      </c>
    </row>
    <row r="459" spans="1:18" x14ac:dyDescent="0.25">
      <c r="A459" s="27" t="s">
        <v>248</v>
      </c>
      <c r="C459" s="17"/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0</v>
      </c>
      <c r="J459" s="17">
        <v>0</v>
      </c>
      <c r="K459" s="17">
        <v>0</v>
      </c>
      <c r="L459" s="17">
        <v>0</v>
      </c>
      <c r="M459" s="17">
        <v>0</v>
      </c>
      <c r="N459" s="17">
        <v>0</v>
      </c>
      <c r="O459" s="17">
        <v>0</v>
      </c>
      <c r="P459" s="14">
        <f t="shared" si="154"/>
        <v>0</v>
      </c>
      <c r="Q459" s="17">
        <f t="shared" si="155"/>
        <v>0</v>
      </c>
      <c r="R459" s="14">
        <f t="shared" si="156"/>
        <v>0</v>
      </c>
    </row>
    <row r="460" spans="1:18" x14ac:dyDescent="0.25">
      <c r="A460" s="27" t="s">
        <v>178</v>
      </c>
      <c r="C460" s="25">
        <v>0</v>
      </c>
      <c r="D460" s="25">
        <v>0</v>
      </c>
      <c r="E460" s="25">
        <v>0</v>
      </c>
      <c r="F460" s="25">
        <v>0</v>
      </c>
      <c r="G460" s="25">
        <v>0</v>
      </c>
      <c r="H460" s="25">
        <v>0</v>
      </c>
      <c r="I460" s="25">
        <v>0</v>
      </c>
      <c r="J460" s="25">
        <v>0</v>
      </c>
      <c r="K460" s="25">
        <v>0</v>
      </c>
      <c r="L460" s="25">
        <v>0</v>
      </c>
      <c r="M460" s="25">
        <v>0</v>
      </c>
      <c r="N460" s="25">
        <v>0</v>
      </c>
      <c r="O460" s="25">
        <v>0</v>
      </c>
      <c r="P460" s="16">
        <f t="shared" si="154"/>
        <v>0</v>
      </c>
      <c r="Q460" s="25">
        <f t="shared" si="155"/>
        <v>0</v>
      </c>
      <c r="R460" s="16">
        <f t="shared" si="156"/>
        <v>0</v>
      </c>
    </row>
    <row r="461" spans="1:18" ht="3.9" customHeight="1" x14ac:dyDescent="0.25"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x14ac:dyDescent="0.25">
      <c r="A462" s="26" t="s">
        <v>249</v>
      </c>
      <c r="C462" s="14">
        <f t="shared" ref="C462:O462" si="157">SUM(C454:C461)</f>
        <v>161600</v>
      </c>
      <c r="D462" s="14">
        <f t="shared" si="157"/>
        <v>161600</v>
      </c>
      <c r="E462" s="14">
        <f t="shared" si="157"/>
        <v>161600</v>
      </c>
      <c r="F462" s="14">
        <f t="shared" si="157"/>
        <v>161600</v>
      </c>
      <c r="G462" s="14">
        <f t="shared" si="157"/>
        <v>161600</v>
      </c>
      <c r="H462" s="14">
        <f t="shared" si="157"/>
        <v>161600</v>
      </c>
      <c r="I462" s="14">
        <f t="shared" si="157"/>
        <v>11600</v>
      </c>
      <c r="J462" s="14">
        <f t="shared" si="157"/>
        <v>11600</v>
      </c>
      <c r="K462" s="14">
        <f t="shared" si="157"/>
        <v>11600</v>
      </c>
      <c r="L462" s="14">
        <f t="shared" si="157"/>
        <v>11600</v>
      </c>
      <c r="M462" s="14">
        <f t="shared" si="157"/>
        <v>11600</v>
      </c>
      <c r="N462" s="14">
        <f t="shared" si="157"/>
        <v>7750</v>
      </c>
      <c r="O462" s="14">
        <f t="shared" si="157"/>
        <v>7750</v>
      </c>
      <c r="P462" s="14"/>
      <c r="Q462" s="14"/>
      <c r="R462" s="14"/>
    </row>
    <row r="463" spans="1:18" ht="3.9" customHeight="1" x14ac:dyDescent="0.25"/>
    <row r="464" spans="1:18" x14ac:dyDescent="0.25">
      <c r="A464" s="27" t="s">
        <v>30</v>
      </c>
      <c r="D464" s="14">
        <f t="shared" ref="D464:O464" si="158">D462-C462</f>
        <v>0</v>
      </c>
      <c r="E464" s="14">
        <f t="shared" si="158"/>
        <v>0</v>
      </c>
      <c r="F464" s="14">
        <f t="shared" si="158"/>
        <v>0</v>
      </c>
      <c r="G464" s="14">
        <f t="shared" si="158"/>
        <v>0</v>
      </c>
      <c r="H464" s="14">
        <f t="shared" si="158"/>
        <v>0</v>
      </c>
      <c r="I464" s="14">
        <f t="shared" si="158"/>
        <v>-150000</v>
      </c>
      <c r="J464" s="14">
        <f t="shared" si="158"/>
        <v>0</v>
      </c>
      <c r="K464" s="14">
        <f t="shared" si="158"/>
        <v>0</v>
      </c>
      <c r="L464" s="14">
        <f t="shared" si="158"/>
        <v>0</v>
      </c>
      <c r="M464" s="14">
        <f t="shared" si="158"/>
        <v>0</v>
      </c>
      <c r="N464" s="14">
        <f t="shared" si="158"/>
        <v>-3850</v>
      </c>
      <c r="O464" s="14">
        <f t="shared" si="158"/>
        <v>0</v>
      </c>
      <c r="P464" s="14">
        <f>SUM(D464:O464)</f>
        <v>-153850</v>
      </c>
      <c r="Q464" s="14">
        <f>SUM(Q455:Q461)</f>
        <v>-150000</v>
      </c>
      <c r="R464" s="14">
        <f>P464-Q464</f>
        <v>-3850</v>
      </c>
    </row>
    <row r="466" spans="1:18" x14ac:dyDescent="0.25">
      <c r="C466" s="14"/>
      <c r="D466" s="14"/>
    </row>
    <row r="467" spans="1:18" x14ac:dyDescent="0.25">
      <c r="A467" s="26" t="s">
        <v>250</v>
      </c>
      <c r="D467" s="14">
        <f t="shared" ref="D467:O467" si="159">C476</f>
        <v>942827</v>
      </c>
      <c r="E467" s="14">
        <f t="shared" si="159"/>
        <v>923268</v>
      </c>
      <c r="F467" s="14">
        <f t="shared" si="159"/>
        <v>940277</v>
      </c>
      <c r="G467" s="14">
        <f t="shared" si="159"/>
        <v>939317</v>
      </c>
      <c r="H467" s="14">
        <f t="shared" si="159"/>
        <v>953449</v>
      </c>
      <c r="I467" s="14">
        <f t="shared" si="159"/>
        <v>980136</v>
      </c>
      <c r="J467" s="14">
        <f t="shared" si="159"/>
        <v>1003347</v>
      </c>
      <c r="K467" s="14">
        <f t="shared" si="159"/>
        <v>1009761</v>
      </c>
      <c r="L467" s="14">
        <f t="shared" si="159"/>
        <v>1016213</v>
      </c>
      <c r="M467" s="14">
        <f t="shared" si="159"/>
        <v>1022771</v>
      </c>
      <c r="N467" s="14">
        <f t="shared" si="159"/>
        <v>1028769</v>
      </c>
      <c r="O467" s="14">
        <f t="shared" si="159"/>
        <v>1034255</v>
      </c>
    </row>
    <row r="468" spans="1:18" x14ac:dyDescent="0.25">
      <c r="A468" s="27" t="s">
        <v>251</v>
      </c>
      <c r="B468" s="18" t="s">
        <v>34</v>
      </c>
      <c r="C468" s="14"/>
      <c r="D468" s="153">
        <f>[1]Source!D56</f>
        <v>6658</v>
      </c>
      <c r="E468" s="153">
        <f>[1]Source!E56</f>
        <v>8540</v>
      </c>
      <c r="F468" s="153">
        <f>[1]Source!F56</f>
        <v>3341</v>
      </c>
      <c r="G468" s="14">
        <f>[1]Source!G56</f>
        <v>8154</v>
      </c>
      <c r="H468" s="14">
        <f>[1]Source!H56</f>
        <v>7578</v>
      </c>
      <c r="I468" s="153">
        <f>[1]Source!I56</f>
        <v>6296</v>
      </c>
      <c r="J468" s="153">
        <f>[1]Source!J56</f>
        <v>6915</v>
      </c>
      <c r="K468" s="153">
        <f>[1]Source!K56</f>
        <v>6452</v>
      </c>
      <c r="L468" s="153">
        <f>[1]Source!L56</f>
        <v>6558</v>
      </c>
      <c r="M468" s="153">
        <f>[1]Source!M56</f>
        <v>5998</v>
      </c>
      <c r="N468" s="153">
        <f>[1]Source!N56</f>
        <v>5486</v>
      </c>
      <c r="O468" s="153">
        <f>[1]Source!O56</f>
        <v>5977</v>
      </c>
      <c r="P468" s="14">
        <f t="shared" ref="P468:P474" si="160">SUM(D468:O468)</f>
        <v>77953</v>
      </c>
      <c r="Q468" s="17">
        <f t="shared" ref="Q468:Q474" si="161">SUM(D468:J468)</f>
        <v>47482</v>
      </c>
      <c r="R468" s="14">
        <f t="shared" ref="R468:R474" si="162">P468-Q468</f>
        <v>30471</v>
      </c>
    </row>
    <row r="469" spans="1:18" x14ac:dyDescent="0.25">
      <c r="A469" s="27" t="s">
        <v>252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4">
        <f t="shared" si="160"/>
        <v>0</v>
      </c>
      <c r="Q469" s="17">
        <f t="shared" si="161"/>
        <v>0</v>
      </c>
      <c r="R469" s="14">
        <f t="shared" si="162"/>
        <v>0</v>
      </c>
    </row>
    <row r="470" spans="1:18" x14ac:dyDescent="0.25">
      <c r="A470" s="27" t="s">
        <v>253</v>
      </c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4">
        <f t="shared" si="160"/>
        <v>0</v>
      </c>
      <c r="Q470" s="17">
        <f t="shared" si="161"/>
        <v>0</v>
      </c>
      <c r="R470" s="14">
        <f t="shared" si="162"/>
        <v>0</v>
      </c>
    </row>
    <row r="471" spans="1:18" x14ac:dyDescent="0.25">
      <c r="A471" s="27" t="s">
        <v>239</v>
      </c>
      <c r="D471" s="17">
        <v>0</v>
      </c>
      <c r="E471" s="17">
        <v>0</v>
      </c>
      <c r="F471" s="17">
        <v>0</v>
      </c>
      <c r="G471" s="17">
        <v>0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7">
        <v>0</v>
      </c>
      <c r="P471" s="14">
        <f t="shared" si="160"/>
        <v>0</v>
      </c>
      <c r="Q471" s="17">
        <f t="shared" si="161"/>
        <v>0</v>
      </c>
      <c r="R471" s="14">
        <f t="shared" si="162"/>
        <v>0</v>
      </c>
    </row>
    <row r="472" spans="1:18" x14ac:dyDescent="0.25">
      <c r="A472" s="15" t="s">
        <v>254</v>
      </c>
      <c r="C472" s="17">
        <v>0</v>
      </c>
      <c r="D472" s="215">
        <f t="shared" ref="D472:O472" si="163">D172-D429</f>
        <v>-26217</v>
      </c>
      <c r="E472" s="215">
        <f t="shared" si="163"/>
        <v>8469</v>
      </c>
      <c r="F472" s="215">
        <f t="shared" si="163"/>
        <v>-18333</v>
      </c>
      <c r="G472" s="215">
        <f t="shared" si="163"/>
        <v>9782</v>
      </c>
      <c r="H472" s="17">
        <f>H172-H429-10923</f>
        <v>31272</v>
      </c>
      <c r="I472" s="17">
        <f>I172-I429+4552</f>
        <v>14980</v>
      </c>
      <c r="J472" s="17">
        <f>J172-J429+832</f>
        <v>-501</v>
      </c>
      <c r="K472" s="215">
        <f t="shared" si="163"/>
        <v>0</v>
      </c>
      <c r="L472" s="215">
        <f t="shared" si="163"/>
        <v>0</v>
      </c>
      <c r="M472" s="215">
        <f t="shared" si="163"/>
        <v>0</v>
      </c>
      <c r="N472" s="215">
        <f t="shared" si="163"/>
        <v>0</v>
      </c>
      <c r="O472" s="215">
        <f t="shared" si="163"/>
        <v>0</v>
      </c>
      <c r="P472" s="14">
        <f>SUM(D472:O472)</f>
        <v>19452</v>
      </c>
      <c r="Q472" s="17">
        <f t="shared" si="161"/>
        <v>19452</v>
      </c>
      <c r="R472" s="14">
        <f t="shared" si="162"/>
        <v>0</v>
      </c>
    </row>
    <row r="473" spans="1:18" x14ac:dyDescent="0.25">
      <c r="A473" s="27" t="s">
        <v>255</v>
      </c>
      <c r="C473" s="17"/>
      <c r="D473" s="212">
        <f>-D359</f>
        <v>0</v>
      </c>
      <c r="E473" s="212">
        <f>-E359</f>
        <v>0</v>
      </c>
      <c r="F473" s="212">
        <f>-F359</f>
        <v>14032</v>
      </c>
      <c r="G473" s="212">
        <f>-G359</f>
        <v>-3804</v>
      </c>
      <c r="H473" s="212">
        <f t="shared" ref="H473:O473" si="164">-H359</f>
        <v>-12163</v>
      </c>
      <c r="I473" s="212">
        <f t="shared" si="164"/>
        <v>1935</v>
      </c>
      <c r="J473" s="212">
        <f t="shared" si="164"/>
        <v>0</v>
      </c>
      <c r="K473" s="212">
        <f t="shared" si="164"/>
        <v>0</v>
      </c>
      <c r="L473" s="212">
        <f t="shared" si="164"/>
        <v>0</v>
      </c>
      <c r="M473" s="212">
        <f t="shared" si="164"/>
        <v>0</v>
      </c>
      <c r="N473" s="212">
        <f t="shared" si="164"/>
        <v>0</v>
      </c>
      <c r="O473" s="212">
        <f t="shared" si="164"/>
        <v>0</v>
      </c>
      <c r="P473" s="14">
        <f>SUM(D473:O473)</f>
        <v>0</v>
      </c>
      <c r="Q473" s="17">
        <f t="shared" si="161"/>
        <v>0</v>
      </c>
      <c r="R473" s="14">
        <f>P473-Q473</f>
        <v>0</v>
      </c>
    </row>
    <row r="474" spans="1:18" x14ac:dyDescent="0.25">
      <c r="A474" s="27" t="s">
        <v>178</v>
      </c>
      <c r="C474" s="25">
        <v>0</v>
      </c>
      <c r="D474" s="25">
        <v>0</v>
      </c>
      <c r="E474" s="25">
        <v>0</v>
      </c>
      <c r="F474" s="25">
        <v>0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0</v>
      </c>
      <c r="N474" s="25">
        <v>0</v>
      </c>
      <c r="O474" s="25">
        <v>0</v>
      </c>
      <c r="P474" s="16">
        <f t="shared" si="160"/>
        <v>0</v>
      </c>
      <c r="Q474" s="25">
        <f t="shared" si="161"/>
        <v>0</v>
      </c>
      <c r="R474" s="16">
        <f t="shared" si="162"/>
        <v>0</v>
      </c>
    </row>
    <row r="475" spans="1:18" ht="3.9" customHeight="1" x14ac:dyDescent="0.25"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x14ac:dyDescent="0.25">
      <c r="A476" s="26" t="s">
        <v>256</v>
      </c>
      <c r="C476" s="17">
        <v>942827</v>
      </c>
      <c r="D476" s="14">
        <f t="shared" ref="D476:O476" si="165">SUM(D467:D475)</f>
        <v>923268</v>
      </c>
      <c r="E476" s="14">
        <f t="shared" si="165"/>
        <v>940277</v>
      </c>
      <c r="F476" s="14">
        <f t="shared" si="165"/>
        <v>939317</v>
      </c>
      <c r="G476" s="14">
        <f t="shared" si="165"/>
        <v>953449</v>
      </c>
      <c r="H476" s="14">
        <f t="shared" si="165"/>
        <v>980136</v>
      </c>
      <c r="I476" s="14">
        <f t="shared" si="165"/>
        <v>1003347</v>
      </c>
      <c r="J476" s="14">
        <f t="shared" si="165"/>
        <v>1009761</v>
      </c>
      <c r="K476" s="14">
        <f t="shared" si="165"/>
        <v>1016213</v>
      </c>
      <c r="L476" s="14">
        <f t="shared" si="165"/>
        <v>1022771</v>
      </c>
      <c r="M476" s="14">
        <f t="shared" si="165"/>
        <v>1028769</v>
      </c>
      <c r="N476" s="14">
        <f t="shared" si="165"/>
        <v>1034255</v>
      </c>
      <c r="O476" s="14">
        <f t="shared" si="165"/>
        <v>1040232</v>
      </c>
      <c r="P476" s="14"/>
      <c r="Q476" s="14"/>
      <c r="R476" s="14"/>
    </row>
    <row r="477" spans="1:18" ht="3.9" customHeight="1" x14ac:dyDescent="0.25"/>
    <row r="478" spans="1:18" x14ac:dyDescent="0.25">
      <c r="A478" s="27" t="s">
        <v>30</v>
      </c>
      <c r="D478" s="14">
        <f t="shared" ref="D478:O478" si="166">D476-C476</f>
        <v>-19559</v>
      </c>
      <c r="E478" s="14">
        <f t="shared" si="166"/>
        <v>17009</v>
      </c>
      <c r="F478" s="14">
        <f t="shared" si="166"/>
        <v>-960</v>
      </c>
      <c r="G478" s="14">
        <f t="shared" si="166"/>
        <v>14132</v>
      </c>
      <c r="H478" s="14">
        <f t="shared" si="166"/>
        <v>26687</v>
      </c>
      <c r="I478" s="14">
        <f t="shared" si="166"/>
        <v>23211</v>
      </c>
      <c r="J478" s="14">
        <f t="shared" si="166"/>
        <v>6414</v>
      </c>
      <c r="K478" s="14">
        <f t="shared" si="166"/>
        <v>6452</v>
      </c>
      <c r="L478" s="14">
        <f t="shared" si="166"/>
        <v>6558</v>
      </c>
      <c r="M478" s="14">
        <f t="shared" si="166"/>
        <v>5998</v>
      </c>
      <c r="N478" s="14">
        <f t="shared" si="166"/>
        <v>5486</v>
      </c>
      <c r="O478" s="14">
        <f t="shared" si="166"/>
        <v>5977</v>
      </c>
      <c r="P478" s="14">
        <f>SUM(D478:O478)</f>
        <v>97405</v>
      </c>
      <c r="Q478" s="14">
        <f>SUM(Q468:Q475)</f>
        <v>66934</v>
      </c>
      <c r="R478" s="14">
        <f>P478-Q478</f>
        <v>30471</v>
      </c>
    </row>
    <row r="481" spans="1:18" x14ac:dyDescent="0.25">
      <c r="A481" s="7" t="s">
        <v>257</v>
      </c>
      <c r="C481" s="20">
        <f>C275+C293+C309+C317+C342+C352+C362+C372+C393+C411+C402+C424+C434+C462+C476</f>
        <v>1372399</v>
      </c>
      <c r="D481" s="20">
        <f>D275+D293+D309+D317+D342+D352+D362+D372+D393+D411+D402+D424+D434+D462+D476</f>
        <v>1382503</v>
      </c>
      <c r="E481" s="20">
        <f>E275+E293+E309+E317+E342+E352+E362+E372+E393+E411+E402+E424+E434+E462+E476</f>
        <v>1391026</v>
      </c>
      <c r="F481" s="20">
        <f>F275+F293+F309+F317+F342+F352+F362+F372+F393+F411+F402+F424+F434+F462+F476</f>
        <v>1416581</v>
      </c>
      <c r="G481" s="20">
        <f>G275+G293+G309+G317+G342+G352+G362+G372+G393+G411+G402+G424+G434+G462+G476</f>
        <v>1408881</v>
      </c>
      <c r="H481" s="20">
        <f t="shared" ref="H481:O481" si="167">H275+H293+H309+H317+H342+H352+H362+H372+H393+H411+H402+H424+H434+H462+H476</f>
        <v>1428255</v>
      </c>
      <c r="I481" s="20">
        <f t="shared" si="167"/>
        <v>1295684</v>
      </c>
      <c r="J481" s="20">
        <f t="shared" si="167"/>
        <v>1301499</v>
      </c>
      <c r="K481" s="20">
        <f t="shared" si="167"/>
        <v>1311570</v>
      </c>
      <c r="L481" s="20">
        <f t="shared" si="167"/>
        <v>1323745</v>
      </c>
      <c r="M481" s="20">
        <f t="shared" si="167"/>
        <v>1330903</v>
      </c>
      <c r="N481" s="20">
        <f t="shared" si="167"/>
        <v>1333488</v>
      </c>
      <c r="O481" s="20">
        <f t="shared" si="167"/>
        <v>1338216</v>
      </c>
    </row>
    <row r="483" spans="1:18" x14ac:dyDescent="0.25">
      <c r="A483" s="27" t="s">
        <v>157</v>
      </c>
      <c r="C483" s="14"/>
      <c r="D483" s="14">
        <f t="shared" ref="D483:O483" si="168">D481-C481</f>
        <v>10104</v>
      </c>
      <c r="E483" s="14">
        <f t="shared" si="168"/>
        <v>8523</v>
      </c>
      <c r="F483" s="14">
        <f t="shared" si="168"/>
        <v>25555</v>
      </c>
      <c r="G483" s="14">
        <f t="shared" si="168"/>
        <v>-7700</v>
      </c>
      <c r="H483" s="14">
        <f t="shared" si="168"/>
        <v>19374</v>
      </c>
      <c r="I483" s="14">
        <f t="shared" si="168"/>
        <v>-132571</v>
      </c>
      <c r="J483" s="14">
        <f t="shared" si="168"/>
        <v>5815</v>
      </c>
      <c r="K483" s="14">
        <f t="shared" si="168"/>
        <v>10071</v>
      </c>
      <c r="L483" s="14">
        <f t="shared" si="168"/>
        <v>12175</v>
      </c>
      <c r="M483" s="14">
        <f t="shared" si="168"/>
        <v>7158</v>
      </c>
      <c r="N483" s="14">
        <f t="shared" si="168"/>
        <v>2585</v>
      </c>
      <c r="O483" s="14">
        <f t="shared" si="168"/>
        <v>4728</v>
      </c>
      <c r="P483" s="14">
        <f>SUM(D483:O483)</f>
        <v>-34183</v>
      </c>
      <c r="Q483" s="17">
        <f>SUM(D483:J483)</f>
        <v>-70900</v>
      </c>
      <c r="R483" s="14">
        <f>P483-Q483</f>
        <v>36717</v>
      </c>
    </row>
    <row r="486" spans="1:18" x14ac:dyDescent="0.25">
      <c r="A486" s="27" t="s">
        <v>258</v>
      </c>
      <c r="C486" s="14">
        <f t="shared" ref="C486:O486" si="169">C249-C481</f>
        <v>0</v>
      </c>
      <c r="D486" s="14">
        <f t="shared" si="169"/>
        <v>0</v>
      </c>
      <c r="E486" s="14">
        <f t="shared" si="169"/>
        <v>0</v>
      </c>
      <c r="F486" s="14">
        <f t="shared" si="169"/>
        <v>0</v>
      </c>
      <c r="G486" s="14">
        <f t="shared" si="169"/>
        <v>0</v>
      </c>
      <c r="H486" s="14">
        <f t="shared" si="169"/>
        <v>0</v>
      </c>
      <c r="I486" s="14">
        <f t="shared" si="169"/>
        <v>0</v>
      </c>
      <c r="J486" s="14">
        <f t="shared" si="169"/>
        <v>0</v>
      </c>
      <c r="K486" s="14">
        <f t="shared" si="169"/>
        <v>0</v>
      </c>
      <c r="L486" s="14">
        <f t="shared" si="169"/>
        <v>0</v>
      </c>
      <c r="M486" s="14">
        <f t="shared" si="169"/>
        <v>0</v>
      </c>
      <c r="N486" s="14">
        <f t="shared" si="169"/>
        <v>0</v>
      </c>
      <c r="O486" s="14">
        <f t="shared" si="169"/>
        <v>0</v>
      </c>
      <c r="P486" s="14"/>
      <c r="Q486" s="14"/>
      <c r="R486" s="14"/>
    </row>
    <row r="487" spans="1:18" x14ac:dyDescent="0.25">
      <c r="A487" s="27" t="s">
        <v>259</v>
      </c>
      <c r="D487" s="14">
        <f t="shared" ref="D487:O487" si="170">D486-C486</f>
        <v>0</v>
      </c>
      <c r="E487" s="14">
        <f t="shared" si="170"/>
        <v>0</v>
      </c>
      <c r="F487" s="14">
        <f t="shared" si="170"/>
        <v>0</v>
      </c>
      <c r="G487" s="14">
        <f t="shared" si="170"/>
        <v>0</v>
      </c>
      <c r="H487" s="14">
        <f t="shared" si="170"/>
        <v>0</v>
      </c>
      <c r="I487" s="14">
        <f t="shared" si="170"/>
        <v>0</v>
      </c>
      <c r="J487" s="14">
        <f t="shared" si="170"/>
        <v>0</v>
      </c>
      <c r="K487" s="14">
        <f t="shared" si="170"/>
        <v>0</v>
      </c>
      <c r="L487" s="14">
        <f t="shared" si="170"/>
        <v>0</v>
      </c>
      <c r="M487" s="14">
        <f t="shared" si="170"/>
        <v>0</v>
      </c>
      <c r="N487" s="14">
        <f t="shared" si="170"/>
        <v>0</v>
      </c>
      <c r="O487" s="14">
        <f t="shared" si="170"/>
        <v>0</v>
      </c>
      <c r="P487" s="14">
        <f>SUM(D487:O487)</f>
        <v>0</v>
      </c>
    </row>
    <row r="488" spans="1:18" ht="8.1" customHeight="1" x14ac:dyDescent="0.25"/>
    <row r="492" spans="1:18" x14ac:dyDescent="0.25">
      <c r="C492" s="15" t="s">
        <v>260</v>
      </c>
      <c r="D492" s="15" t="s">
        <v>261</v>
      </c>
    </row>
    <row r="493" spans="1:18" x14ac:dyDescent="0.25">
      <c r="D493" s="15" t="s">
        <v>262</v>
      </c>
    </row>
    <row r="494" spans="1:18" x14ac:dyDescent="0.25">
      <c r="D494" s="15" t="s">
        <v>263</v>
      </c>
    </row>
    <row r="495" spans="1:18" x14ac:dyDescent="0.25">
      <c r="D495" s="15" t="s">
        <v>264</v>
      </c>
    </row>
    <row r="496" spans="1:18" x14ac:dyDescent="0.25">
      <c r="D496" s="15" t="s">
        <v>265</v>
      </c>
    </row>
    <row r="497" spans="4:4" x14ac:dyDescent="0.25">
      <c r="D497" s="15" t="s">
        <v>266</v>
      </c>
    </row>
    <row r="498" spans="4:4" x14ac:dyDescent="0.25">
      <c r="D498" s="15" t="s">
        <v>267</v>
      </c>
    </row>
    <row r="499" spans="4:4" x14ac:dyDescent="0.25">
      <c r="D499" s="15" t="s">
        <v>268</v>
      </c>
    </row>
    <row r="500" spans="4:4" x14ac:dyDescent="0.25">
      <c r="D500" s="15" t="s">
        <v>269</v>
      </c>
    </row>
    <row r="522" spans="4:4" x14ac:dyDescent="0.25">
      <c r="D522" s="14"/>
    </row>
    <row r="530" spans="3:4" x14ac:dyDescent="0.25">
      <c r="C530" s="14"/>
      <c r="D530" s="14"/>
    </row>
  </sheetData>
  <printOptions gridLinesSet="0"/>
  <pageMargins left="0.25" right="0.25" top="0.25" bottom="0.25" header="0.5" footer="0.5"/>
  <pageSetup paperSize="5" scale="7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AllPages">
                <anchor moveWithCells="1" sizeWithCells="1">
                  <from>
                    <xdr:col>0</xdr:col>
                    <xdr:colOff>609600</xdr:colOff>
                    <xdr:row>4</xdr:row>
                    <xdr:rowOff>0</xdr:rowOff>
                  </from>
                  <to>
                    <xdr:col>0</xdr:col>
                    <xdr:colOff>1714500</xdr:colOff>
                    <xdr:row>7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BO236"/>
  <sheetViews>
    <sheetView showGridLines="0" workbookViewId="0"/>
  </sheetViews>
  <sheetFormatPr defaultColWidth="10.6640625" defaultRowHeight="12.6" x14ac:dyDescent="0.25"/>
  <cols>
    <col min="1" max="1" width="4.6640625" style="1" customWidth="1"/>
    <col min="2" max="2" width="43.6640625" style="1" customWidth="1"/>
    <col min="3" max="16" width="9.6640625" style="1" customWidth="1"/>
    <col min="17" max="26" width="1.6640625" style="1" customWidth="1"/>
    <col min="27" max="27" width="4.6640625" style="1" customWidth="1"/>
    <col min="28" max="28" width="43.6640625" style="1" customWidth="1"/>
    <col min="29" max="42" width="9.6640625" style="1" customWidth="1"/>
    <col min="43" max="52" width="1.6640625" style="1" customWidth="1"/>
    <col min="53" max="53" width="4.6640625" style="1" customWidth="1"/>
    <col min="54" max="54" width="43.6640625" style="1" customWidth="1"/>
    <col min="55" max="69" width="9.6640625" style="1" customWidth="1"/>
    <col min="70" max="16384" width="10.6640625" style="1"/>
  </cols>
  <sheetData>
    <row r="1" spans="1:67" ht="12" customHeight="1" x14ac:dyDescent="0.25">
      <c r="A1" s="168" t="str">
        <f ca="1">BACKUP!A1</f>
        <v>P:\Finance\2001CE\[TW3rdCECF.xls]BACKUP</v>
      </c>
      <c r="B1" s="30"/>
      <c r="C1" s="30"/>
      <c r="D1" s="30"/>
      <c r="E1" s="30"/>
      <c r="F1" s="169" t="str">
        <f>BACKUP!G1</f>
        <v>TRANSWESTERN PIPELINE GROUP (Including Co. 92)</v>
      </c>
      <c r="G1" s="170"/>
      <c r="H1" s="170"/>
      <c r="I1" s="170"/>
      <c r="J1" s="30"/>
      <c r="K1" s="30"/>
      <c r="L1" s="30"/>
      <c r="M1" s="30"/>
      <c r="N1" s="30"/>
      <c r="O1" s="32">
        <f ca="1">NOW()</f>
        <v>37197.64694421296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4" t="str">
        <f ca="1">A1</f>
        <v>P:\Finance\2001CE\[TW3rdCECF.xls]BACKUP</v>
      </c>
      <c r="AB1" s="30"/>
      <c r="AC1" s="30"/>
      <c r="AD1" s="30"/>
      <c r="AE1" s="30"/>
      <c r="AF1" s="202" t="s">
        <v>270</v>
      </c>
      <c r="AG1" s="170"/>
      <c r="AH1" s="170"/>
      <c r="AI1" s="170"/>
      <c r="AJ1" s="30"/>
      <c r="AK1" s="30"/>
      <c r="AL1" s="30"/>
      <c r="AM1" s="30"/>
      <c r="AN1" s="30"/>
      <c r="AO1" s="32">
        <f ca="1">NOW()</f>
        <v>37197.64694421296</v>
      </c>
      <c r="AP1" s="33"/>
      <c r="AQ1" s="35"/>
      <c r="AR1" s="33"/>
      <c r="BA1" s="34" t="str">
        <f ca="1">A1</f>
        <v>P:\Finance\2001CE\[TW3rdCECF.xls]BACKUP</v>
      </c>
      <c r="BB1" s="30"/>
      <c r="BC1" s="30"/>
      <c r="BD1" s="30"/>
      <c r="BE1" s="30"/>
      <c r="BF1" s="202" t="s">
        <v>271</v>
      </c>
      <c r="BG1" s="170"/>
      <c r="BH1" s="170"/>
      <c r="BI1" s="170"/>
      <c r="BJ1" s="30"/>
      <c r="BK1" s="30"/>
      <c r="BL1" s="30"/>
      <c r="BM1" s="30"/>
      <c r="BN1" s="30"/>
      <c r="BO1" s="32">
        <f ca="1">NOW()</f>
        <v>37197.64694421296</v>
      </c>
    </row>
    <row r="2" spans="1:67" ht="12" customHeight="1" x14ac:dyDescent="0.25">
      <c r="A2" s="36"/>
      <c r="B2" s="30"/>
      <c r="C2" s="30"/>
      <c r="D2" s="30"/>
      <c r="E2" s="30"/>
      <c r="F2" s="171" t="s">
        <v>272</v>
      </c>
      <c r="G2" s="170"/>
      <c r="H2" s="170"/>
      <c r="I2" s="170"/>
      <c r="J2" s="30"/>
      <c r="K2" s="30"/>
      <c r="L2" s="30"/>
      <c r="M2" s="30"/>
      <c r="N2" s="30"/>
      <c r="O2" s="37">
        <f ca="1">NOW()</f>
        <v>37197.64694421296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204" t="s">
        <v>273</v>
      </c>
      <c r="AB2" s="30"/>
      <c r="AC2" s="30"/>
      <c r="AD2" s="30"/>
      <c r="AE2" s="30"/>
      <c r="AF2" s="170" t="str">
        <f>F2</f>
        <v>BALANCE SHEET</v>
      </c>
      <c r="AG2" s="170"/>
      <c r="AH2" s="170"/>
      <c r="AI2" s="170"/>
      <c r="AJ2" s="30"/>
      <c r="AK2" s="30"/>
      <c r="AL2" s="30"/>
      <c r="AM2" s="30"/>
      <c r="AN2" s="30"/>
      <c r="AO2" s="37">
        <f ca="1">NOW()</f>
        <v>37197.64694421296</v>
      </c>
      <c r="AP2" s="33"/>
      <c r="AQ2" s="38"/>
      <c r="AR2" s="33"/>
      <c r="BA2" s="204" t="s">
        <v>273</v>
      </c>
      <c r="BB2" s="30"/>
      <c r="BC2" s="30"/>
      <c r="BD2" s="30"/>
      <c r="BE2" s="30"/>
      <c r="BF2" s="170" t="str">
        <f>F2</f>
        <v>BALANCE SHEET</v>
      </c>
      <c r="BG2" s="170"/>
      <c r="BH2" s="170"/>
      <c r="BI2" s="170"/>
      <c r="BJ2" s="30"/>
      <c r="BK2" s="30"/>
      <c r="BL2" s="30"/>
      <c r="BM2" s="30"/>
      <c r="BN2" s="30"/>
      <c r="BO2" s="37">
        <f ca="1">NOW()</f>
        <v>37197.64694421296</v>
      </c>
    </row>
    <row r="3" spans="1:67" ht="12" customHeight="1" x14ac:dyDescent="0.25">
      <c r="A3" s="39"/>
      <c r="B3" s="30"/>
      <c r="C3" s="30"/>
      <c r="D3" s="30"/>
      <c r="E3" s="30"/>
      <c r="F3" s="169" t="str">
        <f>BACKUP!G3</f>
        <v>2001 ACTUAL / ESTIMATE</v>
      </c>
      <c r="G3" s="170"/>
      <c r="H3" s="170"/>
      <c r="I3" s="170"/>
      <c r="J3" s="30"/>
      <c r="K3" s="30"/>
      <c r="L3" s="30"/>
      <c r="M3" s="30"/>
      <c r="N3" s="30"/>
      <c r="O3" s="30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9"/>
      <c r="AB3" s="30"/>
      <c r="AC3" s="30"/>
      <c r="AD3" s="30"/>
      <c r="AE3" s="30"/>
      <c r="AF3" s="170" t="str">
        <f>F3</f>
        <v>2001 ACTUAL / ESTIMATE</v>
      </c>
      <c r="AG3" s="170"/>
      <c r="AH3" s="170"/>
      <c r="AI3" s="170"/>
      <c r="AJ3" s="30"/>
      <c r="AK3" s="30"/>
      <c r="AL3" s="30"/>
      <c r="AM3" s="30"/>
      <c r="AN3" s="30"/>
      <c r="AO3" s="30"/>
      <c r="AP3" s="33"/>
      <c r="AQ3" s="33"/>
      <c r="AR3" s="33"/>
      <c r="BA3" s="39"/>
      <c r="BB3" s="30"/>
      <c r="BC3" s="30"/>
      <c r="BD3" s="30"/>
      <c r="BE3" s="30"/>
      <c r="BF3" s="170" t="str">
        <f>F3</f>
        <v>2001 ACTUAL / ESTIMATE</v>
      </c>
      <c r="BG3" s="170"/>
      <c r="BH3" s="170"/>
      <c r="BI3" s="170"/>
      <c r="BJ3" s="30"/>
      <c r="BK3" s="30"/>
      <c r="BL3" s="30"/>
      <c r="BM3" s="30"/>
      <c r="BN3" s="30"/>
      <c r="BO3" s="30"/>
    </row>
    <row r="4" spans="1:67" ht="12" customHeight="1" x14ac:dyDescent="0.25">
      <c r="A4" s="30"/>
      <c r="B4" s="30"/>
      <c r="C4" s="30"/>
      <c r="D4" s="30"/>
      <c r="E4" s="30"/>
      <c r="F4" s="169" t="str">
        <f>BACKUP!G4</f>
        <v>(Thousands of Dollars)</v>
      </c>
      <c r="G4" s="170"/>
      <c r="H4" s="170"/>
      <c r="I4" s="170"/>
      <c r="J4" s="30"/>
      <c r="K4" s="30"/>
      <c r="L4" s="30"/>
      <c r="M4" s="30"/>
      <c r="N4" s="30"/>
      <c r="O4" s="30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0"/>
      <c r="AB4" s="30"/>
      <c r="AC4" s="30"/>
      <c r="AD4" s="30"/>
      <c r="AE4" s="30"/>
      <c r="AF4" s="170" t="str">
        <f>F4</f>
        <v>(Thousands of Dollars)</v>
      </c>
      <c r="AG4" s="170"/>
      <c r="AH4" s="170"/>
      <c r="AI4" s="170"/>
      <c r="AJ4" s="30"/>
      <c r="AK4" s="30"/>
      <c r="AL4" s="30"/>
      <c r="AM4" s="30"/>
      <c r="AN4" s="30"/>
      <c r="AO4" s="30"/>
      <c r="AP4" s="33"/>
      <c r="AQ4" s="33"/>
      <c r="AR4" s="33"/>
      <c r="BA4" s="30"/>
      <c r="BB4" s="30"/>
      <c r="BC4" s="30"/>
      <c r="BD4" s="30"/>
      <c r="BE4" s="30"/>
      <c r="BF4" s="170" t="str">
        <f>F4</f>
        <v>(Thousands of Dollars)</v>
      </c>
      <c r="BG4" s="170"/>
      <c r="BH4" s="170"/>
      <c r="BI4" s="170"/>
      <c r="BJ4" s="30"/>
      <c r="BK4" s="30"/>
      <c r="BL4" s="30"/>
      <c r="BM4" s="30"/>
      <c r="BN4" s="30"/>
      <c r="BO4" s="30"/>
    </row>
    <row r="5" spans="1:67" ht="12" customHeight="1" x14ac:dyDescent="0.25">
      <c r="A5" s="30"/>
      <c r="B5" s="30"/>
      <c r="C5" s="41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0"/>
      <c r="AB5" s="30"/>
      <c r="AC5" s="4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3"/>
      <c r="AQ5" s="33"/>
      <c r="AR5" s="33"/>
      <c r="BA5" s="30"/>
      <c r="BB5" s="30"/>
      <c r="BC5" s="41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</row>
    <row r="6" spans="1:67" ht="12" customHeight="1" x14ac:dyDescent="0.25">
      <c r="A6" s="30"/>
      <c r="B6" s="30"/>
      <c r="C6" s="172">
        <f>BACKUP!C5</f>
        <v>0</v>
      </c>
      <c r="D6" s="172"/>
      <c r="E6"/>
      <c r="F6"/>
      <c r="G6"/>
      <c r="H6"/>
      <c r="I6" s="193"/>
      <c r="J6" s="41"/>
      <c r="K6" s="30"/>
      <c r="L6" s="30"/>
      <c r="M6" s="30"/>
      <c r="N6" s="30"/>
      <c r="O6" s="30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0"/>
      <c r="AB6" s="30"/>
      <c r="AC6" s="42">
        <f>C6</f>
        <v>0</v>
      </c>
      <c r="AD6" s="30"/>
      <c r="AE6" s="30"/>
      <c r="AF6" s="41"/>
      <c r="AG6" s="41"/>
      <c r="AH6" s="30"/>
      <c r="AI6" s="30"/>
      <c r="AJ6" s="30"/>
      <c r="AK6" s="30"/>
      <c r="AL6" s="30"/>
      <c r="AM6" s="30"/>
      <c r="AN6" s="30"/>
      <c r="AO6" s="30"/>
      <c r="AP6" s="33"/>
      <c r="AQ6" s="33"/>
      <c r="AR6" s="33"/>
      <c r="BA6" s="30"/>
      <c r="BB6" s="30"/>
      <c r="BC6" s="41"/>
      <c r="BD6" s="30"/>
      <c r="BE6" s="30"/>
      <c r="BF6" s="41"/>
      <c r="BG6" s="41"/>
      <c r="BH6" s="30"/>
      <c r="BI6" s="30"/>
      <c r="BJ6" s="30"/>
      <c r="BK6" s="30"/>
      <c r="BL6" s="30"/>
      <c r="BM6" s="30"/>
      <c r="BN6" s="30"/>
      <c r="BO6" s="30"/>
    </row>
    <row r="7" spans="1:67" ht="12" customHeight="1" x14ac:dyDescent="0.25">
      <c r="A7" s="30"/>
      <c r="B7" s="30"/>
      <c r="C7" s="172" t="str">
        <f>BACKUP!C6</f>
        <v>ACTUAL</v>
      </c>
      <c r="D7" s="172" t="str">
        <f>BACKUP!D7</f>
        <v>ACT.</v>
      </c>
      <c r="E7" s="172" t="str">
        <f>BACKUP!E7</f>
        <v>ACT.</v>
      </c>
      <c r="F7" s="172" t="str">
        <f>BACKUP!F7</f>
        <v>ACT.</v>
      </c>
      <c r="G7" s="172" t="str">
        <f>BACKUP!G7</f>
        <v>ACT.</v>
      </c>
      <c r="H7" s="172" t="str">
        <f>BACKUP!H7</f>
        <v>ACT.</v>
      </c>
      <c r="I7" s="172" t="str">
        <f>BACKUP!I7</f>
        <v>ACT.</v>
      </c>
      <c r="J7" s="172" t="str">
        <f>BACKUP!J7</f>
        <v>ACT.</v>
      </c>
      <c r="K7" s="172" t="str">
        <f>BACKUP!K7</f>
        <v>ACT.</v>
      </c>
      <c r="L7" s="172" t="str">
        <f>BACKUP!L7</f>
        <v>3rd CE</v>
      </c>
      <c r="M7" s="172" t="str">
        <f>BACKUP!M7</f>
        <v>3rd CE</v>
      </c>
      <c r="N7" s="172" t="str">
        <f>BACKUP!N7</f>
        <v>3rd CE</v>
      </c>
      <c r="O7" s="172" t="str">
        <f>BACKUP!O7</f>
        <v>3rd CE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0"/>
      <c r="AB7" s="30"/>
      <c r="AC7" s="42" t="str">
        <f>C7</f>
        <v>ACTUAL</v>
      </c>
      <c r="AD7" s="42" t="str">
        <f t="shared" ref="AD7:AO9" si="0">D7</f>
        <v>ACT.</v>
      </c>
      <c r="AE7" s="42" t="str">
        <f t="shared" si="0"/>
        <v>ACT.</v>
      </c>
      <c r="AF7" s="42" t="str">
        <f t="shared" si="0"/>
        <v>ACT.</v>
      </c>
      <c r="AG7" s="42" t="str">
        <f t="shared" si="0"/>
        <v>ACT.</v>
      </c>
      <c r="AH7" s="42" t="str">
        <f t="shared" si="0"/>
        <v>ACT.</v>
      </c>
      <c r="AI7" s="42" t="str">
        <f t="shared" si="0"/>
        <v>ACT.</v>
      </c>
      <c r="AJ7" s="42" t="str">
        <f t="shared" si="0"/>
        <v>ACT.</v>
      </c>
      <c r="AK7" s="42" t="str">
        <f t="shared" si="0"/>
        <v>ACT.</v>
      </c>
      <c r="AL7" s="42" t="str">
        <f t="shared" si="0"/>
        <v>3rd CE</v>
      </c>
      <c r="AM7" s="42" t="str">
        <f t="shared" si="0"/>
        <v>3rd CE</v>
      </c>
      <c r="AN7" s="42" t="str">
        <f t="shared" si="0"/>
        <v>3rd CE</v>
      </c>
      <c r="AO7" s="42" t="str">
        <f t="shared" si="0"/>
        <v>3rd CE</v>
      </c>
      <c r="AP7" s="33"/>
      <c r="AQ7" s="33"/>
      <c r="AR7" s="33"/>
      <c r="BA7" s="30"/>
      <c r="BB7" s="30"/>
      <c r="BC7" s="42" t="str">
        <f>C7</f>
        <v>ACTUAL</v>
      </c>
      <c r="BD7" s="42" t="str">
        <f t="shared" ref="BD7:BO9" si="1">D7</f>
        <v>ACT.</v>
      </c>
      <c r="BE7" s="42" t="str">
        <f t="shared" si="1"/>
        <v>ACT.</v>
      </c>
      <c r="BF7" s="42" t="str">
        <f t="shared" si="1"/>
        <v>ACT.</v>
      </c>
      <c r="BG7" s="42" t="str">
        <f t="shared" si="1"/>
        <v>ACT.</v>
      </c>
      <c r="BH7" s="42" t="str">
        <f t="shared" si="1"/>
        <v>ACT.</v>
      </c>
      <c r="BI7" s="42" t="str">
        <f t="shared" si="1"/>
        <v>ACT.</v>
      </c>
      <c r="BJ7" s="42" t="str">
        <f t="shared" si="1"/>
        <v>ACT.</v>
      </c>
      <c r="BK7" s="42" t="str">
        <f t="shared" si="1"/>
        <v>ACT.</v>
      </c>
      <c r="BL7" s="42" t="str">
        <f t="shared" si="1"/>
        <v>3rd CE</v>
      </c>
      <c r="BM7" s="42" t="str">
        <f t="shared" si="1"/>
        <v>3rd CE</v>
      </c>
      <c r="BN7" s="42" t="str">
        <f t="shared" si="1"/>
        <v>3rd CE</v>
      </c>
      <c r="BO7" s="42" t="str">
        <f t="shared" si="1"/>
        <v>3rd CE</v>
      </c>
    </row>
    <row r="8" spans="1:67" ht="12" customHeight="1" x14ac:dyDescent="0.25">
      <c r="A8" s="30"/>
      <c r="B8" s="30"/>
      <c r="C8" s="172" t="str">
        <f>BACKUP!C7</f>
        <v xml:space="preserve">BALANCE </v>
      </c>
      <c r="D8" s="172" t="str">
        <f>BACKUP!D8</f>
        <v>JAN</v>
      </c>
      <c r="E8" s="172" t="str">
        <f>BACKUP!E8</f>
        <v>FEB</v>
      </c>
      <c r="F8" s="172" t="str">
        <f>BACKUP!F8</f>
        <v>MAR</v>
      </c>
      <c r="G8" s="172" t="str">
        <f>BACKUP!G8</f>
        <v>APR</v>
      </c>
      <c r="H8" s="172" t="str">
        <f>BACKUP!H8</f>
        <v>MAY</v>
      </c>
      <c r="I8" s="172" t="str">
        <f>BACKUP!I8</f>
        <v>JUN</v>
      </c>
      <c r="J8" s="172" t="str">
        <f>BACKUP!J8</f>
        <v>JUL</v>
      </c>
      <c r="K8" s="172" t="str">
        <f>BACKUP!K8</f>
        <v>AUG</v>
      </c>
      <c r="L8" s="172" t="str">
        <f>BACKUP!L8</f>
        <v>SEP</v>
      </c>
      <c r="M8" s="172" t="str">
        <f>BACKUP!M8</f>
        <v>OCT</v>
      </c>
      <c r="N8" s="172" t="str">
        <f>BACKUP!N8</f>
        <v>NOV</v>
      </c>
      <c r="O8" s="172" t="str">
        <f>BACKUP!O8</f>
        <v>DEC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0"/>
      <c r="AB8" s="30"/>
      <c r="AC8" s="42" t="str">
        <f>C8</f>
        <v xml:space="preserve">BALANCE </v>
      </c>
      <c r="AD8" s="42" t="str">
        <f t="shared" si="0"/>
        <v>JAN</v>
      </c>
      <c r="AE8" s="42" t="str">
        <f t="shared" si="0"/>
        <v>FEB</v>
      </c>
      <c r="AF8" s="42" t="str">
        <f t="shared" si="0"/>
        <v>MAR</v>
      </c>
      <c r="AG8" s="42" t="str">
        <f t="shared" si="0"/>
        <v>APR</v>
      </c>
      <c r="AH8" s="42" t="str">
        <f t="shared" si="0"/>
        <v>MAY</v>
      </c>
      <c r="AI8" s="42" t="str">
        <f t="shared" si="0"/>
        <v>JUN</v>
      </c>
      <c r="AJ8" s="42" t="str">
        <f t="shared" si="0"/>
        <v>JUL</v>
      </c>
      <c r="AK8" s="42" t="str">
        <f t="shared" si="0"/>
        <v>AUG</v>
      </c>
      <c r="AL8" s="42" t="str">
        <f t="shared" si="0"/>
        <v>SEP</v>
      </c>
      <c r="AM8" s="42" t="str">
        <f t="shared" si="0"/>
        <v>OCT</v>
      </c>
      <c r="AN8" s="42" t="str">
        <f t="shared" si="0"/>
        <v>NOV</v>
      </c>
      <c r="AO8" s="42" t="str">
        <f t="shared" si="0"/>
        <v>DEC</v>
      </c>
      <c r="AP8" s="33"/>
      <c r="AQ8" s="33"/>
      <c r="AR8" s="33"/>
      <c r="BA8" s="30"/>
      <c r="BB8" s="30"/>
      <c r="BC8" s="42" t="str">
        <f>C8</f>
        <v xml:space="preserve">BALANCE </v>
      </c>
      <c r="BD8" s="42" t="str">
        <f t="shared" si="1"/>
        <v>JAN</v>
      </c>
      <c r="BE8" s="42" t="str">
        <f t="shared" si="1"/>
        <v>FEB</v>
      </c>
      <c r="BF8" s="42" t="str">
        <f t="shared" si="1"/>
        <v>MAR</v>
      </c>
      <c r="BG8" s="42" t="str">
        <f t="shared" si="1"/>
        <v>APR</v>
      </c>
      <c r="BH8" s="42" t="str">
        <f t="shared" si="1"/>
        <v>MAY</v>
      </c>
      <c r="BI8" s="42" t="str">
        <f t="shared" si="1"/>
        <v>JUN</v>
      </c>
      <c r="BJ8" s="42" t="str">
        <f t="shared" si="1"/>
        <v>JUL</v>
      </c>
      <c r="BK8" s="42" t="str">
        <f t="shared" si="1"/>
        <v>AUG</v>
      </c>
      <c r="BL8" s="42" t="str">
        <f t="shared" si="1"/>
        <v>SEP</v>
      </c>
      <c r="BM8" s="42" t="str">
        <f t="shared" si="1"/>
        <v>OCT</v>
      </c>
      <c r="BN8" s="42" t="str">
        <f t="shared" si="1"/>
        <v>NOV</v>
      </c>
      <c r="BO8" s="42" t="str">
        <f t="shared" si="1"/>
        <v>DEC</v>
      </c>
    </row>
    <row r="9" spans="1:67" ht="12" customHeight="1" x14ac:dyDescent="0.25">
      <c r="A9" s="30"/>
      <c r="B9" s="30"/>
      <c r="C9" s="173" t="str">
        <f>BACKUP!C8</f>
        <v>12/31/00</v>
      </c>
      <c r="D9" s="126">
        <v>2001</v>
      </c>
      <c r="E9" s="174">
        <f t="shared" ref="E9:O9" si="2">D9</f>
        <v>2001</v>
      </c>
      <c r="F9" s="174">
        <f t="shared" si="2"/>
        <v>2001</v>
      </c>
      <c r="G9" s="174">
        <f t="shared" si="2"/>
        <v>2001</v>
      </c>
      <c r="H9" s="174">
        <f t="shared" si="2"/>
        <v>2001</v>
      </c>
      <c r="I9" s="174">
        <f t="shared" si="2"/>
        <v>2001</v>
      </c>
      <c r="J9" s="174">
        <f t="shared" si="2"/>
        <v>2001</v>
      </c>
      <c r="K9" s="174">
        <f t="shared" si="2"/>
        <v>2001</v>
      </c>
      <c r="L9" s="174">
        <f t="shared" si="2"/>
        <v>2001</v>
      </c>
      <c r="M9" s="174">
        <f t="shared" si="2"/>
        <v>2001</v>
      </c>
      <c r="N9" s="174">
        <f t="shared" si="2"/>
        <v>2001</v>
      </c>
      <c r="O9" s="174">
        <f t="shared" si="2"/>
        <v>2001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0"/>
      <c r="AB9" s="30"/>
      <c r="AC9" s="44" t="str">
        <f>C9</f>
        <v>12/31/00</v>
      </c>
      <c r="AD9" s="44">
        <f t="shared" si="0"/>
        <v>2001</v>
      </c>
      <c r="AE9" s="44">
        <f t="shared" si="0"/>
        <v>2001</v>
      </c>
      <c r="AF9" s="44">
        <f t="shared" si="0"/>
        <v>2001</v>
      </c>
      <c r="AG9" s="44">
        <f t="shared" si="0"/>
        <v>2001</v>
      </c>
      <c r="AH9" s="44">
        <f t="shared" si="0"/>
        <v>2001</v>
      </c>
      <c r="AI9" s="44">
        <f t="shared" si="0"/>
        <v>2001</v>
      </c>
      <c r="AJ9" s="44">
        <f t="shared" si="0"/>
        <v>2001</v>
      </c>
      <c r="AK9" s="44">
        <f t="shared" si="0"/>
        <v>2001</v>
      </c>
      <c r="AL9" s="44">
        <f t="shared" si="0"/>
        <v>2001</v>
      </c>
      <c r="AM9" s="44">
        <f t="shared" si="0"/>
        <v>2001</v>
      </c>
      <c r="AN9" s="44">
        <f t="shared" si="0"/>
        <v>2001</v>
      </c>
      <c r="AO9" s="44">
        <f t="shared" si="0"/>
        <v>2001</v>
      </c>
      <c r="AP9" s="33"/>
      <c r="AQ9" s="33"/>
      <c r="AR9" s="33"/>
      <c r="BA9" s="30"/>
      <c r="BB9" s="30"/>
      <c r="BC9" s="44" t="str">
        <f>C9</f>
        <v>12/31/00</v>
      </c>
      <c r="BD9" s="44">
        <f t="shared" si="1"/>
        <v>2001</v>
      </c>
      <c r="BE9" s="44">
        <f t="shared" si="1"/>
        <v>2001</v>
      </c>
      <c r="BF9" s="44">
        <f t="shared" si="1"/>
        <v>2001</v>
      </c>
      <c r="BG9" s="44">
        <f t="shared" si="1"/>
        <v>2001</v>
      </c>
      <c r="BH9" s="44">
        <f t="shared" si="1"/>
        <v>2001</v>
      </c>
      <c r="BI9" s="44">
        <f t="shared" si="1"/>
        <v>2001</v>
      </c>
      <c r="BJ9" s="44">
        <f t="shared" si="1"/>
        <v>2001</v>
      </c>
      <c r="BK9" s="44">
        <f t="shared" si="1"/>
        <v>2001</v>
      </c>
      <c r="BL9" s="44">
        <f t="shared" si="1"/>
        <v>2001</v>
      </c>
      <c r="BM9" s="44">
        <f t="shared" si="1"/>
        <v>2001</v>
      </c>
      <c r="BN9" s="44">
        <f t="shared" si="1"/>
        <v>2001</v>
      </c>
      <c r="BO9" s="44">
        <f t="shared" si="1"/>
        <v>2001</v>
      </c>
    </row>
    <row r="10" spans="1:67" ht="6" customHeigh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</row>
    <row r="11" spans="1:67" ht="12" customHeight="1" x14ac:dyDescent="0.25">
      <c r="A11" s="30"/>
      <c r="B11" s="31" t="s">
        <v>274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0"/>
      <c r="AB11" s="31" t="str">
        <f>B11</f>
        <v>CURRENT ASSETS</v>
      </c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33"/>
      <c r="AQ11" s="33"/>
      <c r="AR11" s="33"/>
      <c r="BA11" s="30"/>
      <c r="BB11" s="31" t="str">
        <f>B11</f>
        <v>CURRENT ASSETS</v>
      </c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</row>
    <row r="12" spans="1:67" ht="12" customHeight="1" x14ac:dyDescent="0.25">
      <c r="A12" s="47" t="s">
        <v>275</v>
      </c>
      <c r="B12" s="58" t="s">
        <v>276</v>
      </c>
      <c r="C12" s="46">
        <f>BACKUP!C13</f>
        <v>4</v>
      </c>
      <c r="D12" s="46">
        <f>BACKUP!D13</f>
        <v>4</v>
      </c>
      <c r="E12" s="46">
        <f>BACKUP!E13</f>
        <v>4</v>
      </c>
      <c r="F12" s="46">
        <f>BACKUP!F13</f>
        <v>4</v>
      </c>
      <c r="G12" s="46">
        <f>BACKUP!G13</f>
        <v>4</v>
      </c>
      <c r="H12" s="46">
        <f>BACKUP!H13</f>
        <v>4</v>
      </c>
      <c r="I12" s="46">
        <f>BACKUP!I13</f>
        <v>4</v>
      </c>
      <c r="J12" s="46">
        <f>BACKUP!J13</f>
        <v>3</v>
      </c>
      <c r="K12" s="46">
        <f>BACKUP!K13</f>
        <v>3</v>
      </c>
      <c r="L12" s="46">
        <f>BACKUP!L13</f>
        <v>3</v>
      </c>
      <c r="M12" s="46">
        <f>BACKUP!M13</f>
        <v>3</v>
      </c>
      <c r="N12" s="46">
        <f>BACKUP!N13</f>
        <v>3</v>
      </c>
      <c r="O12" s="46">
        <f>BACKUP!O13</f>
        <v>3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47" t="str">
        <f>A12</f>
        <v>1</v>
      </c>
      <c r="AB12" s="48" t="str">
        <f>B12</f>
        <v xml:space="preserve">   Cash &amp; Temporary Cash Investments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33"/>
      <c r="AQ12" s="46"/>
      <c r="AR12" s="33"/>
      <c r="BA12" s="47" t="str">
        <f>A12</f>
        <v>1</v>
      </c>
      <c r="BB12" s="48" t="str">
        <f>B12</f>
        <v xml:space="preserve">   Cash &amp; Temporary Cash Investments</v>
      </c>
      <c r="BC12" s="206">
        <f>C12-AC12</f>
        <v>4</v>
      </c>
      <c r="BD12" s="206">
        <f t="shared" ref="BD12:BO22" si="3">D12-AD12</f>
        <v>4</v>
      </c>
      <c r="BE12" s="206">
        <f t="shared" si="3"/>
        <v>4</v>
      </c>
      <c r="BF12" s="206">
        <f t="shared" si="3"/>
        <v>4</v>
      </c>
      <c r="BG12" s="206">
        <f t="shared" si="3"/>
        <v>4</v>
      </c>
      <c r="BH12" s="206">
        <f t="shared" si="3"/>
        <v>4</v>
      </c>
      <c r="BI12" s="206">
        <f t="shared" si="3"/>
        <v>4</v>
      </c>
      <c r="BJ12" s="206">
        <f t="shared" si="3"/>
        <v>3</v>
      </c>
      <c r="BK12" s="206">
        <f t="shared" si="3"/>
        <v>3</v>
      </c>
      <c r="BL12" s="206">
        <f t="shared" si="3"/>
        <v>3</v>
      </c>
      <c r="BM12" s="206">
        <f t="shared" si="3"/>
        <v>3</v>
      </c>
      <c r="BN12" s="206">
        <f t="shared" si="3"/>
        <v>3</v>
      </c>
      <c r="BO12" s="206">
        <f t="shared" si="3"/>
        <v>3</v>
      </c>
    </row>
    <row r="13" spans="1:67" ht="12" customHeight="1" x14ac:dyDescent="0.25">
      <c r="A13" s="47" t="s">
        <v>277</v>
      </c>
      <c r="B13" s="48" t="s">
        <v>278</v>
      </c>
      <c r="C13" s="46">
        <f>BACKUP!C34</f>
        <v>7581</v>
      </c>
      <c r="D13" s="46">
        <f>BACKUP!D34</f>
        <v>6648</v>
      </c>
      <c r="E13" s="46">
        <f>BACKUP!E34</f>
        <v>7120</v>
      </c>
      <c r="F13" s="46">
        <f>BACKUP!F34</f>
        <v>21572</v>
      </c>
      <c r="G13" s="46">
        <f>BACKUP!G34</f>
        <v>17146</v>
      </c>
      <c r="H13" s="46">
        <f>BACKUP!H34</f>
        <v>19651</v>
      </c>
      <c r="I13" s="46">
        <f>BACKUP!I34</f>
        <v>8677</v>
      </c>
      <c r="J13" s="46">
        <f>BACKUP!J34</f>
        <v>20275</v>
      </c>
      <c r="K13" s="46">
        <f>BACKUP!K34</f>
        <v>20296</v>
      </c>
      <c r="L13" s="46">
        <f>BACKUP!L34</f>
        <v>23229</v>
      </c>
      <c r="M13" s="46">
        <f>BACKUP!M34</f>
        <v>23196</v>
      </c>
      <c r="N13" s="46">
        <f>BACKUP!N34</f>
        <v>22347</v>
      </c>
      <c r="O13" s="46">
        <f>BACKUP!O34</f>
        <v>22942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47" t="str">
        <f t="shared" ref="AA13:AB22" si="4">A13</f>
        <v>2</v>
      </c>
      <c r="AB13" s="48" t="str">
        <f t="shared" si="4"/>
        <v xml:space="preserve">   Accounts Receivable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33"/>
      <c r="AQ13" s="46"/>
      <c r="AR13" s="33"/>
      <c r="BA13" s="47" t="str">
        <f t="shared" ref="BA13:BB22" si="5">A13</f>
        <v>2</v>
      </c>
      <c r="BB13" s="48" t="str">
        <f t="shared" si="5"/>
        <v xml:space="preserve">   Accounts Receivable</v>
      </c>
      <c r="BC13" s="206">
        <f t="shared" ref="BC13:BC22" si="6">C13-AC13</f>
        <v>7581</v>
      </c>
      <c r="BD13" s="206">
        <f t="shared" si="3"/>
        <v>6648</v>
      </c>
      <c r="BE13" s="206">
        <f t="shared" si="3"/>
        <v>7120</v>
      </c>
      <c r="BF13" s="206">
        <f t="shared" si="3"/>
        <v>21572</v>
      </c>
      <c r="BG13" s="206">
        <f t="shared" si="3"/>
        <v>17146</v>
      </c>
      <c r="BH13" s="206">
        <f t="shared" si="3"/>
        <v>19651</v>
      </c>
      <c r="BI13" s="206">
        <f t="shared" si="3"/>
        <v>8677</v>
      </c>
      <c r="BJ13" s="206">
        <f t="shared" si="3"/>
        <v>20275</v>
      </c>
      <c r="BK13" s="206">
        <f t="shared" si="3"/>
        <v>20296</v>
      </c>
      <c r="BL13" s="206">
        <f t="shared" si="3"/>
        <v>23229</v>
      </c>
      <c r="BM13" s="206">
        <f t="shared" si="3"/>
        <v>23196</v>
      </c>
      <c r="BN13" s="206">
        <f t="shared" si="3"/>
        <v>22347</v>
      </c>
      <c r="BO13" s="206">
        <f t="shared" si="3"/>
        <v>22942</v>
      </c>
    </row>
    <row r="14" spans="1:67" ht="12" customHeight="1" x14ac:dyDescent="0.25">
      <c r="A14" s="47" t="s">
        <v>279</v>
      </c>
      <c r="B14" s="58" t="s">
        <v>280</v>
      </c>
      <c r="C14" s="46">
        <f>-BACKUP!C449</f>
        <v>524956</v>
      </c>
      <c r="D14" s="46">
        <f>-BACKUP!D449</f>
        <v>541799</v>
      </c>
      <c r="E14" s="46">
        <f>-BACKUP!E449</f>
        <v>560015</v>
      </c>
      <c r="F14" s="46">
        <f>-BACKUP!F449</f>
        <v>579696</v>
      </c>
      <c r="G14" s="46">
        <f>-BACKUP!G449</f>
        <v>591337</v>
      </c>
      <c r="H14" s="46">
        <f>-BACKUP!H449</f>
        <v>587311</v>
      </c>
      <c r="I14" s="46">
        <f>-BACKUP!I449</f>
        <v>460025</v>
      </c>
      <c r="J14" s="46">
        <f>-BACKUP!J449</f>
        <v>461271</v>
      </c>
      <c r="K14" s="46">
        <f>-BACKUP!K449</f>
        <v>476871</v>
      </c>
      <c r="L14" s="46">
        <f>-BACKUP!L449</f>
        <v>478771</v>
      </c>
      <c r="M14" s="46">
        <f>-BACKUP!M449</f>
        <v>484471</v>
      </c>
      <c r="N14" s="46">
        <f>-BACKUP!N449</f>
        <v>484271</v>
      </c>
      <c r="O14" s="46">
        <f>-BACKUP!O449</f>
        <v>484071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47" t="str">
        <f t="shared" si="4"/>
        <v>I</v>
      </c>
      <c r="AB14" s="48" t="str">
        <f t="shared" si="4"/>
        <v xml:space="preserve">   Enron Corporate - Receivable (Acct. 1466)</v>
      </c>
      <c r="AC14" s="49">
        <v>-5</v>
      </c>
      <c r="AD14" s="49">
        <v>-5</v>
      </c>
      <c r="AE14" s="49">
        <v>-5</v>
      </c>
      <c r="AF14" s="49">
        <v>-5</v>
      </c>
      <c r="AG14" s="49">
        <v>-5</v>
      </c>
      <c r="AH14" s="49">
        <v>-5</v>
      </c>
      <c r="AI14" s="49">
        <v>-5</v>
      </c>
      <c r="AJ14" s="49">
        <v>-5</v>
      </c>
      <c r="AK14" s="49">
        <v>-5</v>
      </c>
      <c r="AL14" s="49">
        <v>-5</v>
      </c>
      <c r="AM14" s="49">
        <v>-5</v>
      </c>
      <c r="AN14" s="49">
        <v>-5</v>
      </c>
      <c r="AO14" s="49">
        <v>-5</v>
      </c>
      <c r="AP14" s="33"/>
      <c r="AQ14" s="46"/>
      <c r="AR14" s="33"/>
      <c r="BA14" s="47" t="str">
        <f t="shared" si="5"/>
        <v>I</v>
      </c>
      <c r="BB14" s="48" t="str">
        <f t="shared" si="5"/>
        <v xml:space="preserve">   Enron Corporate - Receivable (Acct. 1466)</v>
      </c>
      <c r="BC14" s="206">
        <f t="shared" si="6"/>
        <v>524961</v>
      </c>
      <c r="BD14" s="206">
        <f t="shared" si="3"/>
        <v>541804</v>
      </c>
      <c r="BE14" s="206">
        <f t="shared" si="3"/>
        <v>560020</v>
      </c>
      <c r="BF14" s="206">
        <f t="shared" si="3"/>
        <v>579701</v>
      </c>
      <c r="BG14" s="206">
        <f t="shared" si="3"/>
        <v>591342</v>
      </c>
      <c r="BH14" s="206">
        <f t="shared" si="3"/>
        <v>587316</v>
      </c>
      <c r="BI14" s="206">
        <f t="shared" si="3"/>
        <v>460030</v>
      </c>
      <c r="BJ14" s="206">
        <f t="shared" si="3"/>
        <v>461276</v>
      </c>
      <c r="BK14" s="206">
        <f t="shared" si="3"/>
        <v>476876</v>
      </c>
      <c r="BL14" s="206">
        <f t="shared" si="3"/>
        <v>478776</v>
      </c>
      <c r="BM14" s="206">
        <f t="shared" si="3"/>
        <v>484476</v>
      </c>
      <c r="BN14" s="206">
        <f t="shared" si="3"/>
        <v>484276</v>
      </c>
      <c r="BO14" s="206">
        <f t="shared" si="3"/>
        <v>484076</v>
      </c>
    </row>
    <row r="15" spans="1:67" ht="12" customHeight="1" x14ac:dyDescent="0.25">
      <c r="A15" s="47"/>
      <c r="B15" s="58" t="s">
        <v>281</v>
      </c>
      <c r="C15" s="46">
        <f>-BACKUP!C284</f>
        <v>-146935</v>
      </c>
      <c r="D15" s="46">
        <f>-BACKUP!D284</f>
        <v>-153155</v>
      </c>
      <c r="E15" s="46">
        <f>-BACKUP!E284</f>
        <v>-161015</v>
      </c>
      <c r="F15" s="46">
        <f>-BACKUP!F284</f>
        <v>-166023</v>
      </c>
      <c r="G15" s="46">
        <f>-BACKUP!G284</f>
        <v>-183650</v>
      </c>
      <c r="H15" s="46">
        <f>-BACKUP!H284</f>
        <v>-189083</v>
      </c>
      <c r="I15" s="46">
        <f>-BACKUP!I284</f>
        <v>-194082</v>
      </c>
      <c r="J15" s="46">
        <f>-BACKUP!J284</f>
        <v>-199390</v>
      </c>
      <c r="K15" s="46">
        <f>-BACKUP!K284</f>
        <v>-204790</v>
      </c>
      <c r="L15" s="46">
        <f>-BACKUP!L284</f>
        <v>-209690</v>
      </c>
      <c r="M15" s="46">
        <f>-BACKUP!M284</f>
        <v>-211690</v>
      </c>
      <c r="N15" s="46">
        <f>-BACKUP!N284</f>
        <v>-217490</v>
      </c>
      <c r="O15" s="46">
        <f>-BACKUP!O284</f>
        <v>-222890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47"/>
      <c r="AB15" s="48" t="str">
        <f t="shared" si="4"/>
        <v xml:space="preserve">                           - Payable (Acct. 1460)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33"/>
      <c r="AQ15" s="46"/>
      <c r="AR15" s="33"/>
      <c r="BA15" s="47">
        <f t="shared" si="5"/>
        <v>0</v>
      </c>
      <c r="BB15" s="48" t="str">
        <f t="shared" si="5"/>
        <v xml:space="preserve">                           - Payable (Acct. 1460)</v>
      </c>
      <c r="BC15" s="206">
        <f t="shared" si="6"/>
        <v>-146935</v>
      </c>
      <c r="BD15" s="206">
        <f t="shared" si="3"/>
        <v>-153155</v>
      </c>
      <c r="BE15" s="206">
        <f t="shared" si="3"/>
        <v>-161015</v>
      </c>
      <c r="BF15" s="206">
        <f t="shared" si="3"/>
        <v>-166023</v>
      </c>
      <c r="BG15" s="206">
        <f t="shared" si="3"/>
        <v>-183650</v>
      </c>
      <c r="BH15" s="206">
        <f t="shared" si="3"/>
        <v>-189083</v>
      </c>
      <c r="BI15" s="206">
        <f t="shared" si="3"/>
        <v>-194082</v>
      </c>
      <c r="BJ15" s="206">
        <f t="shared" si="3"/>
        <v>-199390</v>
      </c>
      <c r="BK15" s="206">
        <f t="shared" si="3"/>
        <v>-204790</v>
      </c>
      <c r="BL15" s="206">
        <f t="shared" si="3"/>
        <v>-209690</v>
      </c>
      <c r="BM15" s="206">
        <f t="shared" si="3"/>
        <v>-211690</v>
      </c>
      <c r="BN15" s="206">
        <f t="shared" si="3"/>
        <v>-217490</v>
      </c>
      <c r="BO15" s="206">
        <f t="shared" si="3"/>
        <v>-222890</v>
      </c>
    </row>
    <row r="16" spans="1:67" ht="12" customHeight="1" x14ac:dyDescent="0.25">
      <c r="A16" s="47" t="s">
        <v>282</v>
      </c>
      <c r="B16" s="58" t="s">
        <v>283</v>
      </c>
      <c r="C16" s="46">
        <f>BACKUP!C42</f>
        <v>0</v>
      </c>
      <c r="D16" s="46">
        <f>BACKUP!D42</f>
        <v>0</v>
      </c>
      <c r="E16" s="46">
        <f>BACKUP!E42</f>
        <v>0</v>
      </c>
      <c r="F16" s="46">
        <f>BACKUP!F42</f>
        <v>0</v>
      </c>
      <c r="G16" s="46">
        <f>BACKUP!G42</f>
        <v>42</v>
      </c>
      <c r="H16" s="46">
        <f>BACKUP!H42</f>
        <v>53</v>
      </c>
      <c r="I16" s="46">
        <f>BACKUP!I42</f>
        <v>4541</v>
      </c>
      <c r="J16" s="46">
        <f>BACKUP!J42</f>
        <v>5383</v>
      </c>
      <c r="K16" s="46">
        <f>BACKUP!K42</f>
        <v>5383</v>
      </c>
      <c r="L16" s="46">
        <f>BACKUP!L42</f>
        <v>5383</v>
      </c>
      <c r="M16" s="46">
        <f>BACKUP!M42</f>
        <v>5383</v>
      </c>
      <c r="N16" s="46">
        <f>BACKUP!N42</f>
        <v>5383</v>
      </c>
      <c r="O16" s="46">
        <f>BACKUP!O42</f>
        <v>5383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47" t="str">
        <f t="shared" si="4"/>
        <v>3</v>
      </c>
      <c r="AB16" s="48" t="str">
        <f t="shared" si="4"/>
        <v xml:space="preserve">   Asset Price Risk Management</v>
      </c>
      <c r="AC16" s="49">
        <v>0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33"/>
      <c r="AQ16" s="46"/>
      <c r="AR16" s="33"/>
      <c r="BA16" s="47" t="str">
        <f t="shared" si="5"/>
        <v>3</v>
      </c>
      <c r="BB16" s="48" t="str">
        <f t="shared" si="5"/>
        <v xml:space="preserve">   Asset Price Risk Management</v>
      </c>
      <c r="BC16" s="206">
        <f t="shared" si="6"/>
        <v>0</v>
      </c>
      <c r="BD16" s="206">
        <f t="shared" si="3"/>
        <v>0</v>
      </c>
      <c r="BE16" s="206">
        <f t="shared" si="3"/>
        <v>0</v>
      </c>
      <c r="BF16" s="206">
        <f t="shared" si="3"/>
        <v>0</v>
      </c>
      <c r="BG16" s="206">
        <f t="shared" si="3"/>
        <v>42</v>
      </c>
      <c r="BH16" s="206">
        <f t="shared" si="3"/>
        <v>53</v>
      </c>
      <c r="BI16" s="206">
        <f t="shared" si="3"/>
        <v>4541</v>
      </c>
      <c r="BJ16" s="206">
        <f t="shared" si="3"/>
        <v>5383</v>
      </c>
      <c r="BK16" s="206">
        <f t="shared" si="3"/>
        <v>5383</v>
      </c>
      <c r="BL16" s="206">
        <f t="shared" si="3"/>
        <v>5383</v>
      </c>
      <c r="BM16" s="206">
        <f t="shared" si="3"/>
        <v>5383</v>
      </c>
      <c r="BN16" s="206">
        <f t="shared" si="3"/>
        <v>5383</v>
      </c>
      <c r="BO16" s="206">
        <f t="shared" si="3"/>
        <v>5383</v>
      </c>
    </row>
    <row r="17" spans="1:67" ht="12" customHeight="1" x14ac:dyDescent="0.25">
      <c r="A17" s="47" t="s">
        <v>282</v>
      </c>
      <c r="B17" s="48" t="s">
        <v>284</v>
      </c>
      <c r="C17" s="46">
        <f>BACKUP!C60</f>
        <v>4134</v>
      </c>
      <c r="D17" s="46">
        <f>BACKUP!D60</f>
        <v>4127</v>
      </c>
      <c r="E17" s="46">
        <f>BACKUP!E60</f>
        <v>4133</v>
      </c>
      <c r="F17" s="46">
        <f>BACKUP!F60</f>
        <v>4106</v>
      </c>
      <c r="G17" s="46">
        <f>BACKUP!G60</f>
        <v>4096</v>
      </c>
      <c r="H17" s="46">
        <f>BACKUP!H60</f>
        <v>4063</v>
      </c>
      <c r="I17" s="46">
        <f>BACKUP!I60</f>
        <v>4051</v>
      </c>
      <c r="J17" s="46">
        <f>BACKUP!J60</f>
        <v>4033</v>
      </c>
      <c r="K17" s="46">
        <f>BACKUP!K60</f>
        <v>4033</v>
      </c>
      <c r="L17" s="46">
        <f>BACKUP!L60</f>
        <v>4033</v>
      </c>
      <c r="M17" s="46">
        <f>BACKUP!M60</f>
        <v>4033</v>
      </c>
      <c r="N17" s="46">
        <f>BACKUP!N60</f>
        <v>4033</v>
      </c>
      <c r="O17" s="46">
        <f>BACKUP!O60</f>
        <v>4033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47" t="str">
        <f t="shared" si="4"/>
        <v>3</v>
      </c>
      <c r="AB17" s="48" t="str">
        <f t="shared" si="4"/>
        <v xml:space="preserve">   Materials and Supplies</v>
      </c>
      <c r="AC17" s="49">
        <v>0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33"/>
      <c r="AQ17" s="46"/>
      <c r="AR17" s="33"/>
      <c r="BA17" s="47" t="str">
        <f t="shared" si="5"/>
        <v>3</v>
      </c>
      <c r="BB17" s="48" t="str">
        <f t="shared" si="5"/>
        <v xml:space="preserve">   Materials and Supplies</v>
      </c>
      <c r="BC17" s="206">
        <f t="shared" si="6"/>
        <v>4134</v>
      </c>
      <c r="BD17" s="206">
        <f t="shared" si="3"/>
        <v>4127</v>
      </c>
      <c r="BE17" s="206">
        <f t="shared" si="3"/>
        <v>4133</v>
      </c>
      <c r="BF17" s="206">
        <f t="shared" si="3"/>
        <v>4106</v>
      </c>
      <c r="BG17" s="206">
        <f t="shared" si="3"/>
        <v>4096</v>
      </c>
      <c r="BH17" s="206">
        <f t="shared" si="3"/>
        <v>4063</v>
      </c>
      <c r="BI17" s="206">
        <f t="shared" si="3"/>
        <v>4051</v>
      </c>
      <c r="BJ17" s="206">
        <f t="shared" si="3"/>
        <v>4033</v>
      </c>
      <c r="BK17" s="206">
        <f t="shared" si="3"/>
        <v>4033</v>
      </c>
      <c r="BL17" s="206">
        <f t="shared" si="3"/>
        <v>4033</v>
      </c>
      <c r="BM17" s="206">
        <f t="shared" si="3"/>
        <v>4033</v>
      </c>
      <c r="BN17" s="206">
        <f t="shared" si="3"/>
        <v>4033</v>
      </c>
      <c r="BO17" s="206">
        <f t="shared" si="3"/>
        <v>4033</v>
      </c>
    </row>
    <row r="18" spans="1:67" ht="12" customHeight="1" x14ac:dyDescent="0.25">
      <c r="A18" s="47" t="s">
        <v>285</v>
      </c>
      <c r="B18" s="48" t="s">
        <v>286</v>
      </c>
      <c r="C18" s="46">
        <f>BACKUP!C67</f>
        <v>11991</v>
      </c>
      <c r="D18" s="46">
        <f>BACKUP!D67</f>
        <v>14096</v>
      </c>
      <c r="E18" s="46">
        <f>BACKUP!E67</f>
        <v>12657</v>
      </c>
      <c r="F18" s="46">
        <f>BACKUP!F67</f>
        <v>12433</v>
      </c>
      <c r="G18" s="46">
        <f>BACKUP!G67</f>
        <v>14203</v>
      </c>
      <c r="H18" s="46">
        <f>BACKUP!H67</f>
        <v>15118</v>
      </c>
      <c r="I18" s="46">
        <f>BACKUP!I67</f>
        <v>15077</v>
      </c>
      <c r="J18" s="46">
        <f>BACKUP!J67</f>
        <v>14543</v>
      </c>
      <c r="K18" s="46">
        <f>BACKUP!K67</f>
        <v>14543</v>
      </c>
      <c r="L18" s="46">
        <f>BACKUP!L67</f>
        <v>14543</v>
      </c>
      <c r="M18" s="46">
        <f>BACKUP!M67</f>
        <v>14543</v>
      </c>
      <c r="N18" s="46">
        <f>BACKUP!N67</f>
        <v>14543</v>
      </c>
      <c r="O18" s="46">
        <f>BACKUP!O67</f>
        <v>14543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47" t="str">
        <f t="shared" si="4"/>
        <v>4</v>
      </c>
      <c r="AB18" s="48" t="str">
        <f t="shared" si="4"/>
        <v xml:space="preserve">   Exchange Gas Receivable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33"/>
      <c r="AQ18" s="46"/>
      <c r="AR18" s="33"/>
      <c r="BA18" s="47" t="str">
        <f t="shared" si="5"/>
        <v>4</v>
      </c>
      <c r="BB18" s="48" t="str">
        <f t="shared" si="5"/>
        <v xml:space="preserve">   Exchange Gas Receivable</v>
      </c>
      <c r="BC18" s="206">
        <f t="shared" si="6"/>
        <v>11991</v>
      </c>
      <c r="BD18" s="206">
        <f t="shared" si="3"/>
        <v>14096</v>
      </c>
      <c r="BE18" s="206">
        <f t="shared" si="3"/>
        <v>12657</v>
      </c>
      <c r="BF18" s="206">
        <f t="shared" si="3"/>
        <v>12433</v>
      </c>
      <c r="BG18" s="206">
        <f t="shared" si="3"/>
        <v>14203</v>
      </c>
      <c r="BH18" s="206">
        <f t="shared" si="3"/>
        <v>15118</v>
      </c>
      <c r="BI18" s="206">
        <f t="shared" si="3"/>
        <v>15077</v>
      </c>
      <c r="BJ18" s="206">
        <f t="shared" si="3"/>
        <v>14543</v>
      </c>
      <c r="BK18" s="206">
        <f t="shared" si="3"/>
        <v>14543</v>
      </c>
      <c r="BL18" s="206">
        <f t="shared" si="3"/>
        <v>14543</v>
      </c>
      <c r="BM18" s="206">
        <f t="shared" si="3"/>
        <v>14543</v>
      </c>
      <c r="BN18" s="206">
        <f t="shared" si="3"/>
        <v>14543</v>
      </c>
      <c r="BO18" s="206">
        <f t="shared" si="3"/>
        <v>14543</v>
      </c>
    </row>
    <row r="19" spans="1:67" ht="12" customHeight="1" x14ac:dyDescent="0.25">
      <c r="A19" s="47" t="s">
        <v>285</v>
      </c>
      <c r="B19" s="48" t="s">
        <v>287</v>
      </c>
      <c r="C19" s="220">
        <v>0</v>
      </c>
      <c r="D19" s="220">
        <v>0</v>
      </c>
      <c r="E19" s="220">
        <v>0</v>
      </c>
      <c r="F19" s="220">
        <v>0</v>
      </c>
      <c r="G19" s="220">
        <v>0</v>
      </c>
      <c r="H19" s="220">
        <v>0</v>
      </c>
      <c r="I19" s="220">
        <v>0</v>
      </c>
      <c r="J19" s="220">
        <v>0</v>
      </c>
      <c r="K19" s="220">
        <v>0</v>
      </c>
      <c r="L19" s="220">
        <v>0</v>
      </c>
      <c r="M19" s="220">
        <v>0</v>
      </c>
      <c r="N19" s="220">
        <v>0</v>
      </c>
      <c r="O19" s="220">
        <v>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47" t="str">
        <f t="shared" si="4"/>
        <v>4</v>
      </c>
      <c r="AB19" s="48" t="str">
        <f t="shared" si="4"/>
        <v xml:space="preserve">   (Over) / Under Recovered Gas Cost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33"/>
      <c r="AQ19" s="46"/>
      <c r="AR19" s="33"/>
      <c r="BA19" s="47" t="str">
        <f t="shared" si="5"/>
        <v>4</v>
      </c>
      <c r="BB19" s="48" t="str">
        <f t="shared" si="5"/>
        <v xml:space="preserve">   (Over) / Under Recovered Gas Cost</v>
      </c>
      <c r="BC19" s="206">
        <f t="shared" si="6"/>
        <v>0</v>
      </c>
      <c r="BD19" s="206">
        <f t="shared" si="3"/>
        <v>0</v>
      </c>
      <c r="BE19" s="206">
        <f t="shared" si="3"/>
        <v>0</v>
      </c>
      <c r="BF19" s="206">
        <f t="shared" si="3"/>
        <v>0</v>
      </c>
      <c r="BG19" s="206">
        <f t="shared" si="3"/>
        <v>0</v>
      </c>
      <c r="BH19" s="206">
        <f t="shared" si="3"/>
        <v>0</v>
      </c>
      <c r="BI19" s="206">
        <f t="shared" si="3"/>
        <v>0</v>
      </c>
      <c r="BJ19" s="206">
        <f t="shared" si="3"/>
        <v>0</v>
      </c>
      <c r="BK19" s="206">
        <f t="shared" si="3"/>
        <v>0</v>
      </c>
      <c r="BL19" s="206">
        <f t="shared" si="3"/>
        <v>0</v>
      </c>
      <c r="BM19" s="206">
        <f t="shared" si="3"/>
        <v>0</v>
      </c>
      <c r="BN19" s="206">
        <f t="shared" si="3"/>
        <v>0</v>
      </c>
      <c r="BO19" s="206">
        <f t="shared" si="3"/>
        <v>0</v>
      </c>
    </row>
    <row r="20" spans="1:67" ht="12" customHeight="1" x14ac:dyDescent="0.25">
      <c r="A20" s="47" t="s">
        <v>285</v>
      </c>
      <c r="B20" s="48" t="s">
        <v>288</v>
      </c>
      <c r="C20" s="46">
        <f>BACKUP!C53</f>
        <v>6</v>
      </c>
      <c r="D20" s="46">
        <f>BACKUP!D53</f>
        <v>5</v>
      </c>
      <c r="E20" s="46">
        <f>BACKUP!E53</f>
        <v>4</v>
      </c>
      <c r="F20" s="46">
        <f>BACKUP!F53</f>
        <v>3</v>
      </c>
      <c r="G20" s="46">
        <f>BACKUP!G53</f>
        <v>3</v>
      </c>
      <c r="H20" s="46">
        <f>BACKUP!H53</f>
        <v>2</v>
      </c>
      <c r="I20" s="46">
        <f>BACKUP!I53</f>
        <v>1</v>
      </c>
      <c r="J20" s="46">
        <f>BACKUP!J53</f>
        <v>0</v>
      </c>
      <c r="K20" s="46">
        <f>BACKUP!K53</f>
        <v>0</v>
      </c>
      <c r="L20" s="46">
        <f>BACKUP!L53</f>
        <v>0</v>
      </c>
      <c r="M20" s="46">
        <f>BACKUP!M53</f>
        <v>0</v>
      </c>
      <c r="N20" s="46">
        <f>BACKUP!N53</f>
        <v>0</v>
      </c>
      <c r="O20" s="46">
        <f>BACKUP!O53</f>
        <v>156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47" t="str">
        <f t="shared" si="4"/>
        <v>4</v>
      </c>
      <c r="AB20" s="48" t="str">
        <f t="shared" si="4"/>
        <v xml:space="preserve">   Prepayments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33"/>
      <c r="AQ20" s="46"/>
      <c r="AR20" s="33"/>
      <c r="BA20" s="47" t="str">
        <f t="shared" si="5"/>
        <v>4</v>
      </c>
      <c r="BB20" s="48" t="str">
        <f t="shared" si="5"/>
        <v xml:space="preserve">   Prepayments</v>
      </c>
      <c r="BC20" s="206">
        <f t="shared" si="6"/>
        <v>6</v>
      </c>
      <c r="BD20" s="206">
        <f t="shared" si="3"/>
        <v>5</v>
      </c>
      <c r="BE20" s="206">
        <f t="shared" si="3"/>
        <v>4</v>
      </c>
      <c r="BF20" s="206">
        <f t="shared" si="3"/>
        <v>3</v>
      </c>
      <c r="BG20" s="206">
        <f t="shared" si="3"/>
        <v>3</v>
      </c>
      <c r="BH20" s="206">
        <f t="shared" si="3"/>
        <v>2</v>
      </c>
      <c r="BI20" s="206">
        <f t="shared" si="3"/>
        <v>1</v>
      </c>
      <c r="BJ20" s="206">
        <f t="shared" si="3"/>
        <v>0</v>
      </c>
      <c r="BK20" s="206">
        <f t="shared" si="3"/>
        <v>0</v>
      </c>
      <c r="BL20" s="206">
        <f t="shared" si="3"/>
        <v>0</v>
      </c>
      <c r="BM20" s="206">
        <f t="shared" si="3"/>
        <v>0</v>
      </c>
      <c r="BN20" s="206">
        <f t="shared" si="3"/>
        <v>0</v>
      </c>
      <c r="BO20" s="206">
        <f t="shared" si="3"/>
        <v>156</v>
      </c>
    </row>
    <row r="21" spans="1:67" ht="12" customHeight="1" x14ac:dyDescent="0.25">
      <c r="A21" s="47" t="s">
        <v>289</v>
      </c>
      <c r="B21" s="58" t="s">
        <v>290</v>
      </c>
      <c r="C21" s="46">
        <f>BACKUP!C98</f>
        <v>6553</v>
      </c>
      <c r="D21" s="46">
        <f>BACKUP!D98</f>
        <v>6456</v>
      </c>
      <c r="E21" s="46">
        <f>BACKUP!E98</f>
        <v>6359</v>
      </c>
      <c r="F21" s="46">
        <f>BACKUP!F98</f>
        <v>5681</v>
      </c>
      <c r="G21" s="46">
        <f>BACKUP!G98</f>
        <v>5681</v>
      </c>
      <c r="H21" s="46">
        <f>BACKUP!H98</f>
        <v>5681</v>
      </c>
      <c r="I21" s="46">
        <f>BACKUP!I98</f>
        <v>5681</v>
      </c>
      <c r="J21" s="46">
        <f>BACKUP!J98</f>
        <v>5660</v>
      </c>
      <c r="K21" s="46">
        <f>BACKUP!K98</f>
        <v>5660</v>
      </c>
      <c r="L21" s="46">
        <f>BACKUP!L98</f>
        <v>6968</v>
      </c>
      <c r="M21" s="46">
        <f>BACKUP!M98</f>
        <v>6859</v>
      </c>
      <c r="N21" s="46">
        <f>BACKUP!N98</f>
        <v>6750</v>
      </c>
      <c r="O21" s="46">
        <f>BACKUP!O98</f>
        <v>6641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47" t="str">
        <f t="shared" si="4"/>
        <v>8</v>
      </c>
      <c r="AB21" s="48" t="str">
        <f t="shared" si="4"/>
        <v xml:space="preserve">   Regulatory Assets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33"/>
      <c r="AQ21" s="46"/>
      <c r="AR21" s="33"/>
      <c r="BA21" s="47" t="str">
        <f t="shared" si="5"/>
        <v>8</v>
      </c>
      <c r="BB21" s="48" t="str">
        <f t="shared" si="5"/>
        <v xml:space="preserve">   Regulatory Assets</v>
      </c>
      <c r="BC21" s="206">
        <f t="shared" si="6"/>
        <v>6553</v>
      </c>
      <c r="BD21" s="206">
        <f t="shared" si="3"/>
        <v>6456</v>
      </c>
      <c r="BE21" s="206">
        <f t="shared" si="3"/>
        <v>6359</v>
      </c>
      <c r="BF21" s="206">
        <f t="shared" si="3"/>
        <v>5681</v>
      </c>
      <c r="BG21" s="206">
        <f t="shared" si="3"/>
        <v>5681</v>
      </c>
      <c r="BH21" s="206">
        <f t="shared" si="3"/>
        <v>5681</v>
      </c>
      <c r="BI21" s="206">
        <f t="shared" si="3"/>
        <v>5681</v>
      </c>
      <c r="BJ21" s="206">
        <f t="shared" si="3"/>
        <v>5660</v>
      </c>
      <c r="BK21" s="206">
        <f t="shared" si="3"/>
        <v>5660</v>
      </c>
      <c r="BL21" s="206">
        <f t="shared" si="3"/>
        <v>6968</v>
      </c>
      <c r="BM21" s="206">
        <f t="shared" si="3"/>
        <v>6859</v>
      </c>
      <c r="BN21" s="206">
        <f t="shared" si="3"/>
        <v>6750</v>
      </c>
      <c r="BO21" s="206">
        <f t="shared" si="3"/>
        <v>6641</v>
      </c>
    </row>
    <row r="22" spans="1:67" ht="12" customHeight="1" x14ac:dyDescent="0.25">
      <c r="A22" s="47" t="s">
        <v>285</v>
      </c>
      <c r="B22" s="48" t="s">
        <v>40</v>
      </c>
      <c r="C22" s="50">
        <f>BACKUP!C107</f>
        <v>58</v>
      </c>
      <c r="D22" s="50">
        <f>BACKUP!D107</f>
        <v>-37</v>
      </c>
      <c r="E22" s="50">
        <f>BACKUP!E107</f>
        <v>1052</v>
      </c>
      <c r="F22" s="50">
        <f>BACKUP!F107</f>
        <v>0</v>
      </c>
      <c r="G22" s="50">
        <f>BACKUP!G107</f>
        <v>0</v>
      </c>
      <c r="H22" s="50">
        <f>BACKUP!H107</f>
        <v>0</v>
      </c>
      <c r="I22" s="50">
        <f>BACKUP!I107</f>
        <v>0</v>
      </c>
      <c r="J22" s="50">
        <f>BACKUP!J107</f>
        <v>1</v>
      </c>
      <c r="K22" s="50">
        <f>BACKUP!K107</f>
        <v>1</v>
      </c>
      <c r="L22" s="50">
        <f>BACKUP!L107</f>
        <v>1</v>
      </c>
      <c r="M22" s="50">
        <f>BACKUP!M107</f>
        <v>1</v>
      </c>
      <c r="N22" s="50">
        <f>BACKUP!N107</f>
        <v>1</v>
      </c>
      <c r="O22" s="50">
        <f>BACKUP!O107</f>
        <v>1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47" t="str">
        <f t="shared" si="4"/>
        <v>4</v>
      </c>
      <c r="AB22" s="48" t="str">
        <f t="shared" si="4"/>
        <v xml:space="preserve">   Other</v>
      </c>
      <c r="AC22" s="176">
        <v>0</v>
      </c>
      <c r="AD22" s="176">
        <v>0</v>
      </c>
      <c r="AE22" s="176">
        <v>0</v>
      </c>
      <c r="AF22" s="176">
        <v>0</v>
      </c>
      <c r="AG22" s="176">
        <v>0</v>
      </c>
      <c r="AH22" s="176">
        <v>0</v>
      </c>
      <c r="AI22" s="176">
        <v>0</v>
      </c>
      <c r="AJ22" s="176">
        <v>0</v>
      </c>
      <c r="AK22" s="176">
        <v>0</v>
      </c>
      <c r="AL22" s="176">
        <v>0</v>
      </c>
      <c r="AM22" s="176">
        <v>0</v>
      </c>
      <c r="AN22" s="176">
        <v>0</v>
      </c>
      <c r="AO22" s="176">
        <v>0</v>
      </c>
      <c r="AP22" s="33"/>
      <c r="AQ22" s="46"/>
      <c r="AR22" s="33"/>
      <c r="BA22" s="47" t="str">
        <f t="shared" si="5"/>
        <v>4</v>
      </c>
      <c r="BB22" s="48" t="str">
        <f t="shared" si="5"/>
        <v xml:space="preserve">   Other</v>
      </c>
      <c r="BC22" s="51">
        <f t="shared" si="6"/>
        <v>58</v>
      </c>
      <c r="BD22" s="51">
        <f t="shared" si="3"/>
        <v>-37</v>
      </c>
      <c r="BE22" s="51">
        <f t="shared" si="3"/>
        <v>1052</v>
      </c>
      <c r="BF22" s="51">
        <f t="shared" si="3"/>
        <v>0</v>
      </c>
      <c r="BG22" s="51">
        <f t="shared" si="3"/>
        <v>0</v>
      </c>
      <c r="BH22" s="51">
        <f t="shared" si="3"/>
        <v>0</v>
      </c>
      <c r="BI22" s="51">
        <f t="shared" si="3"/>
        <v>0</v>
      </c>
      <c r="BJ22" s="51">
        <f t="shared" si="3"/>
        <v>1</v>
      </c>
      <c r="BK22" s="51">
        <f t="shared" si="3"/>
        <v>1</v>
      </c>
      <c r="BL22" s="51">
        <f t="shared" si="3"/>
        <v>1</v>
      </c>
      <c r="BM22" s="51">
        <f t="shared" si="3"/>
        <v>1</v>
      </c>
      <c r="BN22" s="51">
        <f t="shared" si="3"/>
        <v>1</v>
      </c>
      <c r="BO22" s="51">
        <f t="shared" si="3"/>
        <v>1</v>
      </c>
    </row>
    <row r="23" spans="1:67" ht="3.9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</row>
    <row r="24" spans="1:67" ht="13.2" x14ac:dyDescent="0.25">
      <c r="A24" s="30"/>
      <c r="B24" s="31" t="s">
        <v>291</v>
      </c>
      <c r="C24" s="50">
        <f t="shared" ref="C24:O24" si="7">SUM(C12:C23)</f>
        <v>408348</v>
      </c>
      <c r="D24" s="50">
        <f t="shared" si="7"/>
        <v>419943</v>
      </c>
      <c r="E24" s="50">
        <f t="shared" si="7"/>
        <v>430329</v>
      </c>
      <c r="F24" s="50">
        <f t="shared" si="7"/>
        <v>457472</v>
      </c>
      <c r="G24" s="50">
        <f t="shared" si="7"/>
        <v>448862</v>
      </c>
      <c r="H24" s="50">
        <f t="shared" si="7"/>
        <v>442800</v>
      </c>
      <c r="I24" s="50">
        <f t="shared" si="7"/>
        <v>303975</v>
      </c>
      <c r="J24" s="50">
        <f t="shared" si="7"/>
        <v>311779</v>
      </c>
      <c r="K24" s="50">
        <f t="shared" si="7"/>
        <v>322000</v>
      </c>
      <c r="L24" s="50">
        <f t="shared" si="7"/>
        <v>323241</v>
      </c>
      <c r="M24" s="50">
        <f t="shared" si="7"/>
        <v>326799</v>
      </c>
      <c r="N24" s="50">
        <f t="shared" si="7"/>
        <v>319841</v>
      </c>
      <c r="O24" s="50">
        <f t="shared" si="7"/>
        <v>314883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0"/>
      <c r="AB24" s="31" t="str">
        <f>B24</f>
        <v xml:space="preserve">      Total Current Assets</v>
      </c>
      <c r="AC24" s="50">
        <f t="shared" ref="AC24:AO24" si="8">SUM(AC12:AC23)</f>
        <v>-5</v>
      </c>
      <c r="AD24" s="50">
        <f t="shared" si="8"/>
        <v>-5</v>
      </c>
      <c r="AE24" s="50">
        <f t="shared" si="8"/>
        <v>-5</v>
      </c>
      <c r="AF24" s="50">
        <f t="shared" si="8"/>
        <v>-5</v>
      </c>
      <c r="AG24" s="50">
        <f t="shared" si="8"/>
        <v>-5</v>
      </c>
      <c r="AH24" s="50">
        <f t="shared" si="8"/>
        <v>-5</v>
      </c>
      <c r="AI24" s="50">
        <f t="shared" si="8"/>
        <v>-5</v>
      </c>
      <c r="AJ24" s="50">
        <f t="shared" si="8"/>
        <v>-5</v>
      </c>
      <c r="AK24" s="50">
        <f t="shared" si="8"/>
        <v>-5</v>
      </c>
      <c r="AL24" s="50">
        <f t="shared" si="8"/>
        <v>-5</v>
      </c>
      <c r="AM24" s="50">
        <f t="shared" si="8"/>
        <v>-5</v>
      </c>
      <c r="AN24" s="50">
        <f t="shared" si="8"/>
        <v>-5</v>
      </c>
      <c r="AO24" s="50">
        <f t="shared" si="8"/>
        <v>-5</v>
      </c>
      <c r="AP24" s="33"/>
      <c r="AQ24" s="46"/>
      <c r="AR24" s="33"/>
      <c r="BA24" s="30"/>
      <c r="BB24" s="31" t="str">
        <f>B24</f>
        <v xml:space="preserve">      Total Current Assets</v>
      </c>
      <c r="BC24" s="50">
        <f t="shared" ref="BC24:BO24" si="9">SUM(BC12:BC23)</f>
        <v>408353</v>
      </c>
      <c r="BD24" s="50">
        <f t="shared" si="9"/>
        <v>419948</v>
      </c>
      <c r="BE24" s="50">
        <f t="shared" si="9"/>
        <v>430334</v>
      </c>
      <c r="BF24" s="50">
        <f t="shared" si="9"/>
        <v>457477</v>
      </c>
      <c r="BG24" s="50">
        <f t="shared" si="9"/>
        <v>448867</v>
      </c>
      <c r="BH24" s="50">
        <f t="shared" si="9"/>
        <v>442805</v>
      </c>
      <c r="BI24" s="50">
        <f t="shared" si="9"/>
        <v>303980</v>
      </c>
      <c r="BJ24" s="50">
        <f t="shared" si="9"/>
        <v>311784</v>
      </c>
      <c r="BK24" s="50">
        <f t="shared" si="9"/>
        <v>322005</v>
      </c>
      <c r="BL24" s="50">
        <f t="shared" si="9"/>
        <v>323246</v>
      </c>
      <c r="BM24" s="50">
        <f t="shared" si="9"/>
        <v>326804</v>
      </c>
      <c r="BN24" s="50">
        <f t="shared" si="9"/>
        <v>319846</v>
      </c>
      <c r="BO24" s="50">
        <f t="shared" si="9"/>
        <v>314888</v>
      </c>
    </row>
    <row r="25" spans="1:67" ht="13.2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</row>
    <row r="26" spans="1:67" ht="13.2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6"/>
      <c r="AR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</row>
    <row r="27" spans="1:67" ht="13.2" x14ac:dyDescent="0.25">
      <c r="A27" s="30"/>
      <c r="B27" s="31" t="s">
        <v>292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0"/>
      <c r="AB27" s="31" t="str">
        <f>B27</f>
        <v>INVESTMENTS AND OTHER ASSETS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6"/>
      <c r="AR27" s="33"/>
      <c r="BA27" s="30"/>
      <c r="BB27" s="31" t="str">
        <f>B27</f>
        <v>INVESTMENTS AND OTHER ASSETS</v>
      </c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</row>
    <row r="28" spans="1:67" ht="13.2" x14ac:dyDescent="0.25">
      <c r="A28" s="47" t="s">
        <v>293</v>
      </c>
      <c r="B28" s="48" t="s">
        <v>294</v>
      </c>
      <c r="C28" s="46">
        <f>BACKUP!C116</f>
        <v>0</v>
      </c>
      <c r="D28" s="46">
        <f>BACKUP!D116</f>
        <v>0</v>
      </c>
      <c r="E28" s="46">
        <f>BACKUP!E116</f>
        <v>0</v>
      </c>
      <c r="F28" s="46">
        <f>BACKUP!F116</f>
        <v>0</v>
      </c>
      <c r="G28" s="46">
        <f>BACKUP!G116</f>
        <v>0</v>
      </c>
      <c r="H28" s="46">
        <f>BACKUP!H116</f>
        <v>0</v>
      </c>
      <c r="I28" s="46">
        <f>BACKUP!I116</f>
        <v>0</v>
      </c>
      <c r="J28" s="46">
        <f>BACKUP!J116</f>
        <v>0</v>
      </c>
      <c r="K28" s="46">
        <f>BACKUP!K116</f>
        <v>0</v>
      </c>
      <c r="L28" s="46">
        <f>BACKUP!L116</f>
        <v>0</v>
      </c>
      <c r="M28" s="46">
        <f>BACKUP!M116</f>
        <v>0</v>
      </c>
      <c r="N28" s="46">
        <f>BACKUP!N116</f>
        <v>0</v>
      </c>
      <c r="O28" s="46">
        <f>BACKUP!O116</f>
        <v>0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47" t="str">
        <f>A28</f>
        <v>5</v>
      </c>
      <c r="AB28" s="48" t="str">
        <f>B28</f>
        <v xml:space="preserve">   Pipeline Partnerships</v>
      </c>
      <c r="AC28" s="206">
        <f>C28</f>
        <v>0</v>
      </c>
      <c r="AD28" s="206">
        <f>D28</f>
        <v>0</v>
      </c>
      <c r="AE28" s="206">
        <f>E28</f>
        <v>0</v>
      </c>
      <c r="AF28" s="206">
        <f>F28</f>
        <v>0</v>
      </c>
      <c r="AG28" s="206">
        <f>G28</f>
        <v>0</v>
      </c>
      <c r="AH28" s="206">
        <f t="shared" ref="AH28:AO28" si="10">H28</f>
        <v>0</v>
      </c>
      <c r="AI28" s="206">
        <f t="shared" si="10"/>
        <v>0</v>
      </c>
      <c r="AJ28" s="206">
        <f t="shared" si="10"/>
        <v>0</v>
      </c>
      <c r="AK28" s="206">
        <f t="shared" si="10"/>
        <v>0</v>
      </c>
      <c r="AL28" s="206">
        <f t="shared" si="10"/>
        <v>0</v>
      </c>
      <c r="AM28" s="206">
        <f t="shared" si="10"/>
        <v>0</v>
      </c>
      <c r="AN28" s="206">
        <f t="shared" si="10"/>
        <v>0</v>
      </c>
      <c r="AO28" s="206">
        <f t="shared" si="10"/>
        <v>0</v>
      </c>
      <c r="AP28" s="33"/>
      <c r="AQ28" s="46"/>
      <c r="AR28" s="33"/>
      <c r="BA28" s="47" t="str">
        <f>A28</f>
        <v>5</v>
      </c>
      <c r="BB28" s="48" t="str">
        <f>B28</f>
        <v xml:space="preserve">   Pipeline Partnerships</v>
      </c>
      <c r="BC28" s="206">
        <f t="shared" ref="BC28:BO30" si="11">C28-AC28</f>
        <v>0</v>
      </c>
      <c r="BD28" s="206">
        <f t="shared" si="11"/>
        <v>0</v>
      </c>
      <c r="BE28" s="206">
        <f t="shared" si="11"/>
        <v>0</v>
      </c>
      <c r="BF28" s="206">
        <f t="shared" si="11"/>
        <v>0</v>
      </c>
      <c r="BG28" s="206">
        <f t="shared" si="11"/>
        <v>0</v>
      </c>
      <c r="BH28" s="206">
        <f t="shared" si="11"/>
        <v>0</v>
      </c>
      <c r="BI28" s="206">
        <f t="shared" si="11"/>
        <v>0</v>
      </c>
      <c r="BJ28" s="206">
        <f t="shared" si="11"/>
        <v>0</v>
      </c>
      <c r="BK28" s="206">
        <f t="shared" si="11"/>
        <v>0</v>
      </c>
      <c r="BL28" s="206">
        <f t="shared" si="11"/>
        <v>0</v>
      </c>
      <c r="BM28" s="206">
        <f t="shared" si="11"/>
        <v>0</v>
      </c>
      <c r="BN28" s="206">
        <f t="shared" si="11"/>
        <v>0</v>
      </c>
      <c r="BO28" s="206">
        <f t="shared" si="11"/>
        <v>0</v>
      </c>
    </row>
    <row r="29" spans="1:67" ht="13.2" x14ac:dyDescent="0.25">
      <c r="A29" s="47" t="s">
        <v>295</v>
      </c>
      <c r="B29" s="58" t="s">
        <v>283</v>
      </c>
      <c r="C29" s="46">
        <f>BACKUP!C177</f>
        <v>0</v>
      </c>
      <c r="D29" s="46">
        <f>BACKUP!D177</f>
        <v>128</v>
      </c>
      <c r="E29" s="46">
        <f>BACKUP!E177</f>
        <v>128</v>
      </c>
      <c r="F29" s="46">
        <f>BACKUP!F177</f>
        <v>128</v>
      </c>
      <c r="G29" s="46">
        <f>BACKUP!G177</f>
        <v>86</v>
      </c>
      <c r="H29" s="46">
        <f>BACKUP!H177</f>
        <v>10987</v>
      </c>
      <c r="I29" s="46">
        <f>BACKUP!I177</f>
        <v>15539</v>
      </c>
      <c r="J29" s="46">
        <f>BACKUP!J177</f>
        <v>14193</v>
      </c>
      <c r="K29" s="46">
        <f>BACKUP!K177</f>
        <v>14193</v>
      </c>
      <c r="L29" s="46">
        <f>BACKUP!L177</f>
        <v>14193</v>
      </c>
      <c r="M29" s="46">
        <f>BACKUP!M177</f>
        <v>14193</v>
      </c>
      <c r="N29" s="46">
        <f>BACKUP!N177</f>
        <v>14193</v>
      </c>
      <c r="O29" s="46">
        <f>BACKUP!O177</f>
        <v>14193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47" t="str">
        <f>A29</f>
        <v>9</v>
      </c>
      <c r="AB29" s="48" t="str">
        <f>B29</f>
        <v xml:space="preserve">   Asset Price Risk Management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33"/>
      <c r="AQ29" s="46"/>
      <c r="AR29" s="33"/>
      <c r="BA29" s="47" t="str">
        <f>A29</f>
        <v>9</v>
      </c>
      <c r="BB29" s="48" t="str">
        <f>B29</f>
        <v xml:space="preserve">   Asset Price Risk Management</v>
      </c>
      <c r="BC29" s="206">
        <f t="shared" ref="BC29:BO29" si="12">C29-AC29</f>
        <v>0</v>
      </c>
      <c r="BD29" s="206">
        <f t="shared" si="12"/>
        <v>128</v>
      </c>
      <c r="BE29" s="206">
        <f t="shared" si="12"/>
        <v>128</v>
      </c>
      <c r="BF29" s="206">
        <f t="shared" si="12"/>
        <v>128</v>
      </c>
      <c r="BG29" s="206">
        <f t="shared" si="12"/>
        <v>86</v>
      </c>
      <c r="BH29" s="206">
        <f t="shared" si="12"/>
        <v>10987</v>
      </c>
      <c r="BI29" s="206">
        <f t="shared" si="12"/>
        <v>15539</v>
      </c>
      <c r="BJ29" s="206">
        <f t="shared" si="12"/>
        <v>14193</v>
      </c>
      <c r="BK29" s="206">
        <f t="shared" si="12"/>
        <v>14193</v>
      </c>
      <c r="BL29" s="206">
        <f t="shared" si="12"/>
        <v>14193</v>
      </c>
      <c r="BM29" s="206">
        <f t="shared" si="12"/>
        <v>14193</v>
      </c>
      <c r="BN29" s="206">
        <f t="shared" si="12"/>
        <v>14193</v>
      </c>
      <c r="BO29" s="206">
        <f t="shared" si="12"/>
        <v>14193</v>
      </c>
    </row>
    <row r="30" spans="1:67" ht="13.2" x14ac:dyDescent="0.25">
      <c r="A30" s="47" t="s">
        <v>293</v>
      </c>
      <c r="B30" s="48" t="s">
        <v>40</v>
      </c>
      <c r="C30" s="50">
        <f>BACKUP!C124</f>
        <v>0</v>
      </c>
      <c r="D30" s="50">
        <f>BACKUP!D124</f>
        <v>0</v>
      </c>
      <c r="E30" s="50">
        <f>BACKUP!E124</f>
        <v>0</v>
      </c>
      <c r="F30" s="50">
        <f>BACKUP!F124</f>
        <v>0</v>
      </c>
      <c r="G30" s="50">
        <f>BACKUP!G124</f>
        <v>0</v>
      </c>
      <c r="H30" s="50">
        <f>BACKUP!H124</f>
        <v>0</v>
      </c>
      <c r="I30" s="50">
        <f>BACKUP!I124</f>
        <v>0</v>
      </c>
      <c r="J30" s="50">
        <f>BACKUP!J124</f>
        <v>0</v>
      </c>
      <c r="K30" s="50">
        <f>BACKUP!K124</f>
        <v>0</v>
      </c>
      <c r="L30" s="50">
        <f>BACKUP!L124</f>
        <v>0</v>
      </c>
      <c r="M30" s="50">
        <f>BACKUP!M124</f>
        <v>0</v>
      </c>
      <c r="N30" s="50">
        <f>BACKUP!N124</f>
        <v>0</v>
      </c>
      <c r="O30" s="50">
        <f>BACKUP!O124</f>
        <v>0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47" t="str">
        <f>A30</f>
        <v>5</v>
      </c>
      <c r="AB30" s="48" t="str">
        <f>B30</f>
        <v xml:space="preserve">   Other</v>
      </c>
      <c r="AC30" s="176">
        <v>0</v>
      </c>
      <c r="AD30" s="176">
        <v>0</v>
      </c>
      <c r="AE30" s="176">
        <v>0</v>
      </c>
      <c r="AF30" s="176">
        <v>0</v>
      </c>
      <c r="AG30" s="176">
        <v>0</v>
      </c>
      <c r="AH30" s="176">
        <v>0</v>
      </c>
      <c r="AI30" s="176">
        <v>0</v>
      </c>
      <c r="AJ30" s="176">
        <v>0</v>
      </c>
      <c r="AK30" s="176">
        <v>0</v>
      </c>
      <c r="AL30" s="176">
        <v>0</v>
      </c>
      <c r="AM30" s="176">
        <v>0</v>
      </c>
      <c r="AN30" s="176">
        <v>0</v>
      </c>
      <c r="AO30" s="176">
        <v>0</v>
      </c>
      <c r="AP30" s="33"/>
      <c r="AQ30" s="46"/>
      <c r="AR30" s="33"/>
      <c r="BA30" s="47" t="str">
        <f>A30</f>
        <v>5</v>
      </c>
      <c r="BB30" s="48" t="str">
        <f>B30</f>
        <v xml:space="preserve">   Other</v>
      </c>
      <c r="BC30" s="51">
        <f t="shared" si="11"/>
        <v>0</v>
      </c>
      <c r="BD30" s="51">
        <f t="shared" si="11"/>
        <v>0</v>
      </c>
      <c r="BE30" s="51">
        <f t="shared" si="11"/>
        <v>0</v>
      </c>
      <c r="BF30" s="51">
        <f t="shared" si="11"/>
        <v>0</v>
      </c>
      <c r="BG30" s="51">
        <f t="shared" si="11"/>
        <v>0</v>
      </c>
      <c r="BH30" s="51">
        <f t="shared" si="11"/>
        <v>0</v>
      </c>
      <c r="BI30" s="51">
        <f t="shared" si="11"/>
        <v>0</v>
      </c>
      <c r="BJ30" s="51">
        <f t="shared" si="11"/>
        <v>0</v>
      </c>
      <c r="BK30" s="51">
        <f t="shared" si="11"/>
        <v>0</v>
      </c>
      <c r="BL30" s="51">
        <f t="shared" si="11"/>
        <v>0</v>
      </c>
      <c r="BM30" s="51">
        <f t="shared" si="11"/>
        <v>0</v>
      </c>
      <c r="BN30" s="51">
        <f t="shared" si="11"/>
        <v>0</v>
      </c>
      <c r="BO30" s="51">
        <f t="shared" si="11"/>
        <v>0</v>
      </c>
    </row>
    <row r="31" spans="1:67" ht="3.9" customHeigh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</row>
    <row r="32" spans="1:67" ht="13.2" x14ac:dyDescent="0.25">
      <c r="A32" s="30"/>
      <c r="B32" s="31" t="s">
        <v>296</v>
      </c>
      <c r="C32" s="50">
        <f t="shared" ref="C32:O32" si="13">SUM(C28:C31)</f>
        <v>0</v>
      </c>
      <c r="D32" s="50">
        <f t="shared" si="13"/>
        <v>128</v>
      </c>
      <c r="E32" s="50">
        <f t="shared" si="13"/>
        <v>128</v>
      </c>
      <c r="F32" s="50">
        <f t="shared" si="13"/>
        <v>128</v>
      </c>
      <c r="G32" s="50">
        <f t="shared" si="13"/>
        <v>86</v>
      </c>
      <c r="H32" s="50">
        <f t="shared" si="13"/>
        <v>10987</v>
      </c>
      <c r="I32" s="50">
        <f t="shared" si="13"/>
        <v>15539</v>
      </c>
      <c r="J32" s="50">
        <f t="shared" si="13"/>
        <v>14193</v>
      </c>
      <c r="K32" s="50">
        <f t="shared" si="13"/>
        <v>14193</v>
      </c>
      <c r="L32" s="50">
        <f t="shared" si="13"/>
        <v>14193</v>
      </c>
      <c r="M32" s="50">
        <f t="shared" si="13"/>
        <v>14193</v>
      </c>
      <c r="N32" s="50">
        <f t="shared" si="13"/>
        <v>14193</v>
      </c>
      <c r="O32" s="50">
        <f t="shared" si="13"/>
        <v>14193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0"/>
      <c r="AB32" s="31" t="str">
        <f>B32</f>
        <v xml:space="preserve">      Total Investments &amp; Other Assets</v>
      </c>
      <c r="AC32" s="50">
        <f t="shared" ref="AC32:AO32" si="14">SUM(AC28:AC31)</f>
        <v>0</v>
      </c>
      <c r="AD32" s="50">
        <f t="shared" si="14"/>
        <v>0</v>
      </c>
      <c r="AE32" s="50">
        <f t="shared" si="14"/>
        <v>0</v>
      </c>
      <c r="AF32" s="50">
        <f t="shared" si="14"/>
        <v>0</v>
      </c>
      <c r="AG32" s="50">
        <f t="shared" si="14"/>
        <v>0</v>
      </c>
      <c r="AH32" s="50">
        <f t="shared" si="14"/>
        <v>0</v>
      </c>
      <c r="AI32" s="50">
        <f t="shared" si="14"/>
        <v>0</v>
      </c>
      <c r="AJ32" s="50">
        <f t="shared" si="14"/>
        <v>0</v>
      </c>
      <c r="AK32" s="50">
        <f t="shared" si="14"/>
        <v>0</v>
      </c>
      <c r="AL32" s="50">
        <f t="shared" si="14"/>
        <v>0</v>
      </c>
      <c r="AM32" s="50">
        <f t="shared" si="14"/>
        <v>0</v>
      </c>
      <c r="AN32" s="50">
        <f t="shared" si="14"/>
        <v>0</v>
      </c>
      <c r="AO32" s="50">
        <f t="shared" si="14"/>
        <v>0</v>
      </c>
      <c r="AP32" s="33"/>
      <c r="AQ32" s="46"/>
      <c r="AR32" s="33"/>
      <c r="BA32" s="30"/>
      <c r="BB32" s="31" t="str">
        <f>B32</f>
        <v xml:space="preserve">      Total Investments &amp; Other Assets</v>
      </c>
      <c r="BC32" s="50">
        <f t="shared" ref="BC32:BO32" si="15">SUM(BC28:BC31)</f>
        <v>0</v>
      </c>
      <c r="BD32" s="50">
        <f t="shared" si="15"/>
        <v>128</v>
      </c>
      <c r="BE32" s="50">
        <f t="shared" si="15"/>
        <v>128</v>
      </c>
      <c r="BF32" s="50">
        <f t="shared" si="15"/>
        <v>128</v>
      </c>
      <c r="BG32" s="50">
        <f t="shared" si="15"/>
        <v>86</v>
      </c>
      <c r="BH32" s="50">
        <f t="shared" si="15"/>
        <v>10987</v>
      </c>
      <c r="BI32" s="50">
        <f t="shared" si="15"/>
        <v>15539</v>
      </c>
      <c r="BJ32" s="50">
        <f t="shared" si="15"/>
        <v>14193</v>
      </c>
      <c r="BK32" s="50">
        <f t="shared" si="15"/>
        <v>14193</v>
      </c>
      <c r="BL32" s="50">
        <f t="shared" si="15"/>
        <v>14193</v>
      </c>
      <c r="BM32" s="50">
        <f t="shared" si="15"/>
        <v>14193</v>
      </c>
      <c r="BN32" s="50">
        <f t="shared" si="15"/>
        <v>14193</v>
      </c>
      <c r="BO32" s="50">
        <f t="shared" si="15"/>
        <v>14193</v>
      </c>
    </row>
    <row r="33" spans="1:67" ht="13.2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</row>
    <row r="34" spans="1:67" ht="13.2" x14ac:dyDescent="0.25">
      <c r="A34" s="33"/>
      <c r="B34" s="33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33"/>
      <c r="AQ34" s="46"/>
      <c r="AR34" s="33"/>
      <c r="BA34" s="33"/>
      <c r="BB34" s="33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</row>
    <row r="35" spans="1:67" ht="13.2" x14ac:dyDescent="0.25">
      <c r="A35" s="30"/>
      <c r="B35" s="31" t="s">
        <v>297</v>
      </c>
      <c r="C35" s="46">
        <f>BACKUP!C142</f>
        <v>987107</v>
      </c>
      <c r="D35" s="46">
        <f>BACKUP!D142</f>
        <v>987543</v>
      </c>
      <c r="E35" s="46">
        <f>BACKUP!E142</f>
        <v>986923</v>
      </c>
      <c r="F35" s="46">
        <f>BACKUP!F142</f>
        <v>987812</v>
      </c>
      <c r="G35" s="46">
        <f>BACKUP!G142</f>
        <v>990597</v>
      </c>
      <c r="H35" s="46">
        <f>BACKUP!H142</f>
        <v>1006548</v>
      </c>
      <c r="I35" s="46">
        <f>BACKUP!I142</f>
        <v>1010004</v>
      </c>
      <c r="J35" s="46">
        <f>BACKUP!J142</f>
        <v>1011084</v>
      </c>
      <c r="K35" s="46">
        <f>BACKUP!K142</f>
        <v>1012984</v>
      </c>
      <c r="L35" s="46">
        <f>BACKUP!L142</f>
        <v>1026027</v>
      </c>
      <c r="M35" s="46">
        <f>BACKUP!M142</f>
        <v>1031844</v>
      </c>
      <c r="N35" s="46">
        <f>BACKUP!N142</f>
        <v>1043696</v>
      </c>
      <c r="O35" s="46">
        <f>BACKUP!O142</f>
        <v>1055244</v>
      </c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0"/>
      <c r="AB35" s="31" t="str">
        <f>B35</f>
        <v>PLANT</v>
      </c>
      <c r="AC35" s="49">
        <v>76024</v>
      </c>
      <c r="AD35" s="49">
        <v>76024</v>
      </c>
      <c r="AE35" s="49">
        <v>76024</v>
      </c>
      <c r="AF35" s="49">
        <v>76024</v>
      </c>
      <c r="AG35" s="49">
        <v>76024</v>
      </c>
      <c r="AH35" s="49">
        <v>76024</v>
      </c>
      <c r="AI35" s="49">
        <v>76024</v>
      </c>
      <c r="AJ35" s="49">
        <v>76024</v>
      </c>
      <c r="AK35" s="49">
        <v>76024</v>
      </c>
      <c r="AL35" s="49">
        <v>76024</v>
      </c>
      <c r="AM35" s="49">
        <v>76024</v>
      </c>
      <c r="AN35" s="49">
        <v>76024</v>
      </c>
      <c r="AO35" s="49">
        <v>76024</v>
      </c>
      <c r="AP35" s="33"/>
      <c r="AQ35" s="46"/>
      <c r="AR35" s="33"/>
      <c r="BA35" s="30"/>
      <c r="BB35" s="31" t="str">
        <f>B35</f>
        <v>PLANT</v>
      </c>
      <c r="BC35" s="206">
        <f t="shared" ref="BC35:BO36" si="16">C35-AC35</f>
        <v>911083</v>
      </c>
      <c r="BD35" s="206">
        <f t="shared" si="16"/>
        <v>911519</v>
      </c>
      <c r="BE35" s="206">
        <f t="shared" si="16"/>
        <v>910899</v>
      </c>
      <c r="BF35" s="206">
        <f t="shared" si="16"/>
        <v>911788</v>
      </c>
      <c r="BG35" s="206">
        <f t="shared" si="16"/>
        <v>914573</v>
      </c>
      <c r="BH35" s="206">
        <f t="shared" si="16"/>
        <v>930524</v>
      </c>
      <c r="BI35" s="206">
        <f t="shared" si="16"/>
        <v>933980</v>
      </c>
      <c r="BJ35" s="206">
        <f t="shared" si="16"/>
        <v>935060</v>
      </c>
      <c r="BK35" s="206">
        <f t="shared" si="16"/>
        <v>936960</v>
      </c>
      <c r="BL35" s="206">
        <f t="shared" si="16"/>
        <v>950003</v>
      </c>
      <c r="BM35" s="206">
        <f t="shared" si="16"/>
        <v>955820</v>
      </c>
      <c r="BN35" s="206">
        <f t="shared" si="16"/>
        <v>967672</v>
      </c>
      <c r="BO35" s="206">
        <f t="shared" si="16"/>
        <v>979220</v>
      </c>
    </row>
    <row r="36" spans="1:67" ht="13.2" x14ac:dyDescent="0.25">
      <c r="A36" s="33"/>
      <c r="B36" s="48" t="s">
        <v>298</v>
      </c>
      <c r="C36" s="50">
        <f>BACKUP!C157</f>
        <v>104364</v>
      </c>
      <c r="D36" s="50">
        <f>BACKUP!D157</f>
        <v>105907</v>
      </c>
      <c r="E36" s="50">
        <f>BACKUP!E157</f>
        <v>107444</v>
      </c>
      <c r="F36" s="50">
        <f>BACKUP!F157</f>
        <v>109084</v>
      </c>
      <c r="G36" s="50">
        <f>BACKUP!G157</f>
        <v>110716</v>
      </c>
      <c r="H36" s="50">
        <f>BACKUP!H157</f>
        <v>112236</v>
      </c>
      <c r="I36" s="50">
        <f>BACKUP!I157</f>
        <v>113908</v>
      </c>
      <c r="J36" s="50">
        <f>BACKUP!J157</f>
        <v>115443</v>
      </c>
      <c r="K36" s="50">
        <f>BACKUP!K157</f>
        <v>117028</v>
      </c>
      <c r="L36" s="50">
        <f>BACKUP!L157</f>
        <v>118664</v>
      </c>
      <c r="M36" s="50">
        <f>BACKUP!M157</f>
        <v>120400</v>
      </c>
      <c r="N36" s="50">
        <f>BACKUP!N157</f>
        <v>122235</v>
      </c>
      <c r="O36" s="50">
        <f>BACKUP!O157</f>
        <v>124120</v>
      </c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8" t="str">
        <f>B36</f>
        <v xml:space="preserve">   Accumulated Depreciation</v>
      </c>
      <c r="AC36" s="176">
        <v>-224145</v>
      </c>
      <c r="AD36" s="209">
        <f>AC36+500</f>
        <v>-223645</v>
      </c>
      <c r="AE36" s="209">
        <f>AD36+500</f>
        <v>-223145</v>
      </c>
      <c r="AF36" s="209">
        <f t="shared" ref="AF36:AO36" si="17">AE36+500</f>
        <v>-222645</v>
      </c>
      <c r="AG36" s="209">
        <f t="shared" si="17"/>
        <v>-222145</v>
      </c>
      <c r="AH36" s="209">
        <f t="shared" si="17"/>
        <v>-221645</v>
      </c>
      <c r="AI36" s="209">
        <f t="shared" si="17"/>
        <v>-221145</v>
      </c>
      <c r="AJ36" s="209">
        <f t="shared" si="17"/>
        <v>-220645</v>
      </c>
      <c r="AK36" s="209">
        <f t="shared" si="17"/>
        <v>-220145</v>
      </c>
      <c r="AL36" s="209">
        <f t="shared" si="17"/>
        <v>-219645</v>
      </c>
      <c r="AM36" s="209">
        <f t="shared" si="17"/>
        <v>-219145</v>
      </c>
      <c r="AN36" s="209">
        <f t="shared" si="17"/>
        <v>-218645</v>
      </c>
      <c r="AO36" s="209">
        <f t="shared" si="17"/>
        <v>-218145</v>
      </c>
      <c r="AP36" s="33"/>
      <c r="AQ36" s="46"/>
      <c r="AR36" s="33"/>
      <c r="BA36" s="33"/>
      <c r="BB36" s="48" t="str">
        <f>B36</f>
        <v xml:space="preserve">   Accumulated Depreciation</v>
      </c>
      <c r="BC36" s="51">
        <f t="shared" si="16"/>
        <v>328509</v>
      </c>
      <c r="BD36" s="51">
        <f t="shared" si="16"/>
        <v>329552</v>
      </c>
      <c r="BE36" s="51">
        <f t="shared" si="16"/>
        <v>330589</v>
      </c>
      <c r="BF36" s="51">
        <f t="shared" si="16"/>
        <v>331729</v>
      </c>
      <c r="BG36" s="51">
        <f t="shared" si="16"/>
        <v>332861</v>
      </c>
      <c r="BH36" s="51">
        <f t="shared" si="16"/>
        <v>333881</v>
      </c>
      <c r="BI36" s="51">
        <f t="shared" si="16"/>
        <v>335053</v>
      </c>
      <c r="BJ36" s="51">
        <f t="shared" si="16"/>
        <v>336088</v>
      </c>
      <c r="BK36" s="51">
        <f t="shared" si="16"/>
        <v>337173</v>
      </c>
      <c r="BL36" s="51">
        <f t="shared" si="16"/>
        <v>338309</v>
      </c>
      <c r="BM36" s="51">
        <f t="shared" si="16"/>
        <v>339545</v>
      </c>
      <c r="BN36" s="51">
        <f t="shared" si="16"/>
        <v>340880</v>
      </c>
      <c r="BO36" s="51">
        <f t="shared" si="16"/>
        <v>342265</v>
      </c>
    </row>
    <row r="37" spans="1:67" ht="3.9" customHeigh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</row>
    <row r="38" spans="1:67" ht="13.2" x14ac:dyDescent="0.25">
      <c r="A38" s="47" t="s">
        <v>299</v>
      </c>
      <c r="B38" s="31" t="s">
        <v>300</v>
      </c>
      <c r="C38" s="50">
        <f t="shared" ref="C38:O38" si="18">C35-C36</f>
        <v>882743</v>
      </c>
      <c r="D38" s="50">
        <f t="shared" si="18"/>
        <v>881636</v>
      </c>
      <c r="E38" s="50">
        <f t="shared" si="18"/>
        <v>879479</v>
      </c>
      <c r="F38" s="50">
        <f t="shared" si="18"/>
        <v>878728</v>
      </c>
      <c r="G38" s="50">
        <f t="shared" si="18"/>
        <v>879881</v>
      </c>
      <c r="H38" s="50">
        <f t="shared" si="18"/>
        <v>894312</v>
      </c>
      <c r="I38" s="50">
        <f t="shared" si="18"/>
        <v>896096</v>
      </c>
      <c r="J38" s="50">
        <f t="shared" si="18"/>
        <v>895641</v>
      </c>
      <c r="K38" s="50">
        <f t="shared" si="18"/>
        <v>895956</v>
      </c>
      <c r="L38" s="50">
        <f t="shared" si="18"/>
        <v>907363</v>
      </c>
      <c r="M38" s="50">
        <f t="shared" si="18"/>
        <v>911444</v>
      </c>
      <c r="N38" s="50">
        <f t="shared" si="18"/>
        <v>921461</v>
      </c>
      <c r="O38" s="50">
        <f t="shared" si="18"/>
        <v>931124</v>
      </c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47" t="str">
        <f>A38</f>
        <v>6</v>
      </c>
      <c r="AB38" s="31" t="str">
        <f>B38</f>
        <v xml:space="preserve">      Net Plant</v>
      </c>
      <c r="AC38" s="50">
        <f t="shared" ref="AC38:AO38" si="19">AC35-AC36</f>
        <v>300169</v>
      </c>
      <c r="AD38" s="50">
        <f t="shared" si="19"/>
        <v>299669</v>
      </c>
      <c r="AE38" s="50">
        <f t="shared" si="19"/>
        <v>299169</v>
      </c>
      <c r="AF38" s="50">
        <f t="shared" si="19"/>
        <v>298669</v>
      </c>
      <c r="AG38" s="50">
        <f t="shared" si="19"/>
        <v>298169</v>
      </c>
      <c r="AH38" s="50">
        <f t="shared" si="19"/>
        <v>297669</v>
      </c>
      <c r="AI38" s="50">
        <f t="shared" si="19"/>
        <v>297169</v>
      </c>
      <c r="AJ38" s="50">
        <f t="shared" si="19"/>
        <v>296669</v>
      </c>
      <c r="AK38" s="50">
        <f t="shared" si="19"/>
        <v>296169</v>
      </c>
      <c r="AL38" s="50">
        <f t="shared" si="19"/>
        <v>295669</v>
      </c>
      <c r="AM38" s="50">
        <f t="shared" si="19"/>
        <v>295169</v>
      </c>
      <c r="AN38" s="50">
        <f t="shared" si="19"/>
        <v>294669</v>
      </c>
      <c r="AO38" s="50">
        <f t="shared" si="19"/>
        <v>294169</v>
      </c>
      <c r="AP38" s="33"/>
      <c r="AQ38" s="46"/>
      <c r="AR38" s="33"/>
      <c r="BA38" s="47" t="str">
        <f>A38</f>
        <v>6</v>
      </c>
      <c r="BB38" s="31" t="str">
        <f>B38</f>
        <v xml:space="preserve">      Net Plant</v>
      </c>
      <c r="BC38" s="50">
        <f t="shared" ref="BC38:BO38" si="20">BC35-BC36</f>
        <v>582574</v>
      </c>
      <c r="BD38" s="50">
        <f t="shared" si="20"/>
        <v>581967</v>
      </c>
      <c r="BE38" s="50">
        <f t="shared" si="20"/>
        <v>580310</v>
      </c>
      <c r="BF38" s="50">
        <f t="shared" si="20"/>
        <v>580059</v>
      </c>
      <c r="BG38" s="50">
        <f t="shared" si="20"/>
        <v>581712</v>
      </c>
      <c r="BH38" s="50">
        <f t="shared" si="20"/>
        <v>596643</v>
      </c>
      <c r="BI38" s="50">
        <f t="shared" si="20"/>
        <v>598927</v>
      </c>
      <c r="BJ38" s="50">
        <f t="shared" si="20"/>
        <v>598972</v>
      </c>
      <c r="BK38" s="50">
        <f t="shared" si="20"/>
        <v>599787</v>
      </c>
      <c r="BL38" s="50">
        <f t="shared" si="20"/>
        <v>611694</v>
      </c>
      <c r="BM38" s="50">
        <f t="shared" si="20"/>
        <v>616275</v>
      </c>
      <c r="BN38" s="50">
        <f t="shared" si="20"/>
        <v>626792</v>
      </c>
      <c r="BO38" s="50">
        <f t="shared" si="20"/>
        <v>636955</v>
      </c>
    </row>
    <row r="39" spans="1:67" ht="13.2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</row>
    <row r="40" spans="1:67" ht="13.2" x14ac:dyDescent="0.25">
      <c r="A40" s="33"/>
      <c r="B40" s="33"/>
      <c r="C40" s="33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33"/>
      <c r="AQ40" s="46"/>
      <c r="AR40" s="33"/>
      <c r="BA40" s="33"/>
      <c r="BB40" s="33"/>
      <c r="BC40" s="33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</row>
    <row r="41" spans="1:67" ht="13.2" x14ac:dyDescent="0.25">
      <c r="A41" s="30"/>
      <c r="B41" s="31" t="s">
        <v>301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0"/>
      <c r="AB41" s="31" t="str">
        <f>B41</f>
        <v>DEFERRED CHARGES</v>
      </c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33"/>
      <c r="AQ41" s="46"/>
      <c r="AR41" s="33"/>
      <c r="BA41" s="30"/>
      <c r="BB41" s="31" t="str">
        <f>B41</f>
        <v>DEFERRED CHARGES</v>
      </c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</row>
    <row r="42" spans="1:67" ht="13.2" x14ac:dyDescent="0.25">
      <c r="A42" s="47" t="s">
        <v>289</v>
      </c>
      <c r="B42" s="58" t="s">
        <v>302</v>
      </c>
      <c r="C42" s="156">
        <f>BACKUP!C167</f>
        <v>0</v>
      </c>
      <c r="D42" s="156">
        <f>BACKUP!D167</f>
        <v>0</v>
      </c>
      <c r="E42" s="156">
        <f>BACKUP!E167</f>
        <v>0</v>
      </c>
      <c r="F42" s="156">
        <f>BACKUP!F167</f>
        <v>0</v>
      </c>
      <c r="G42" s="156">
        <f>BACKUP!G167</f>
        <v>0</v>
      </c>
      <c r="H42" s="156">
        <f>BACKUP!H167</f>
        <v>0</v>
      </c>
      <c r="I42" s="156">
        <f>BACKUP!I167</f>
        <v>0</v>
      </c>
      <c r="J42" s="156">
        <f>BACKUP!J167</f>
        <v>0</v>
      </c>
      <c r="K42" s="156">
        <f>BACKUP!K167</f>
        <v>0</v>
      </c>
      <c r="L42" s="156">
        <f>BACKUP!L167</f>
        <v>0</v>
      </c>
      <c r="M42" s="156">
        <f>BACKUP!M167</f>
        <v>0</v>
      </c>
      <c r="N42" s="156">
        <f>BACKUP!N167</f>
        <v>0</v>
      </c>
      <c r="O42" s="156">
        <f>BACKUP!O167</f>
        <v>0</v>
      </c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47" t="str">
        <f t="shared" ref="AA42:AB44" si="21">A42</f>
        <v>8</v>
      </c>
      <c r="AB42" s="48" t="str">
        <f t="shared" si="21"/>
        <v xml:space="preserve">   Deferred Contract Reformation Costs 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33"/>
      <c r="AQ42" s="46"/>
      <c r="AR42" s="33"/>
      <c r="BA42" s="47" t="str">
        <f>A42</f>
        <v>8</v>
      </c>
      <c r="BB42" s="48" t="str">
        <f>B42</f>
        <v xml:space="preserve">   Deferred Contract Reformation Costs </v>
      </c>
      <c r="BC42" s="206">
        <f t="shared" ref="BC42:BO44" si="22">C42-AC42</f>
        <v>0</v>
      </c>
      <c r="BD42" s="206">
        <f t="shared" si="22"/>
        <v>0</v>
      </c>
      <c r="BE42" s="206">
        <f t="shared" si="22"/>
        <v>0</v>
      </c>
      <c r="BF42" s="206">
        <f t="shared" si="22"/>
        <v>0</v>
      </c>
      <c r="BG42" s="206">
        <f t="shared" si="22"/>
        <v>0</v>
      </c>
      <c r="BH42" s="206">
        <f t="shared" si="22"/>
        <v>0</v>
      </c>
      <c r="BI42" s="206">
        <f t="shared" si="22"/>
        <v>0</v>
      </c>
      <c r="BJ42" s="206">
        <f t="shared" si="22"/>
        <v>0</v>
      </c>
      <c r="BK42" s="206">
        <f t="shared" si="22"/>
        <v>0</v>
      </c>
      <c r="BL42" s="206">
        <f t="shared" si="22"/>
        <v>0</v>
      </c>
      <c r="BM42" s="206">
        <f t="shared" si="22"/>
        <v>0</v>
      </c>
      <c r="BN42" s="206">
        <f t="shared" si="22"/>
        <v>0</v>
      </c>
      <c r="BO42" s="206">
        <f t="shared" si="22"/>
        <v>0</v>
      </c>
    </row>
    <row r="43" spans="1:67" ht="13.2" x14ac:dyDescent="0.25">
      <c r="A43" s="47" t="s">
        <v>303</v>
      </c>
      <c r="B43" s="48" t="s">
        <v>304</v>
      </c>
      <c r="C43" s="46">
        <f>BACKUP!C226</f>
        <v>79054</v>
      </c>
      <c r="D43" s="46">
        <f>BACKUP!D226</f>
        <v>78591</v>
      </c>
      <c r="E43" s="46">
        <f>BACKUP!E226</f>
        <v>78162</v>
      </c>
      <c r="F43" s="46">
        <f>BACKUP!F226</f>
        <v>77693</v>
      </c>
      <c r="G43" s="46">
        <f>BACKUP!G226</f>
        <v>77224</v>
      </c>
      <c r="H43" s="46">
        <f>BACKUP!H226</f>
        <v>76755</v>
      </c>
      <c r="I43" s="46">
        <f>BACKUP!I226</f>
        <v>76288</v>
      </c>
      <c r="J43" s="46">
        <f>BACKUP!J226</f>
        <v>75860</v>
      </c>
      <c r="K43" s="46">
        <f>BACKUP!K226</f>
        <v>75408</v>
      </c>
      <c r="L43" s="46">
        <f>BACKUP!L226</f>
        <v>74947</v>
      </c>
      <c r="M43" s="46">
        <f>BACKUP!M226</f>
        <v>74479</v>
      </c>
      <c r="N43" s="46">
        <f>BACKUP!N226</f>
        <v>74017</v>
      </c>
      <c r="O43" s="46">
        <f>BACKUP!O226</f>
        <v>74053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47" t="str">
        <f t="shared" si="21"/>
        <v>7</v>
      </c>
      <c r="AB43" s="48" t="str">
        <f t="shared" si="21"/>
        <v xml:space="preserve">   Other Regulatory Assets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33"/>
      <c r="AQ43" s="33"/>
      <c r="AR43" s="33"/>
      <c r="BA43" s="47" t="str">
        <f>A43</f>
        <v>7</v>
      </c>
      <c r="BB43" s="48" t="str">
        <f>B43</f>
        <v xml:space="preserve">   Other Regulatory Assets</v>
      </c>
      <c r="BC43" s="206">
        <f t="shared" si="22"/>
        <v>79054</v>
      </c>
      <c r="BD43" s="206">
        <f t="shared" si="22"/>
        <v>78591</v>
      </c>
      <c r="BE43" s="206">
        <f t="shared" si="22"/>
        <v>78162</v>
      </c>
      <c r="BF43" s="206">
        <f t="shared" si="22"/>
        <v>77693</v>
      </c>
      <c r="BG43" s="206">
        <f t="shared" si="22"/>
        <v>77224</v>
      </c>
      <c r="BH43" s="206">
        <f t="shared" si="22"/>
        <v>76755</v>
      </c>
      <c r="BI43" s="206">
        <f t="shared" si="22"/>
        <v>76288</v>
      </c>
      <c r="BJ43" s="206">
        <f t="shared" si="22"/>
        <v>75860</v>
      </c>
      <c r="BK43" s="206">
        <f t="shared" si="22"/>
        <v>75408</v>
      </c>
      <c r="BL43" s="206">
        <f t="shared" si="22"/>
        <v>74947</v>
      </c>
      <c r="BM43" s="206">
        <f t="shared" si="22"/>
        <v>74479</v>
      </c>
      <c r="BN43" s="206">
        <f t="shared" si="22"/>
        <v>74017</v>
      </c>
      <c r="BO43" s="206">
        <f t="shared" si="22"/>
        <v>74053</v>
      </c>
    </row>
    <row r="44" spans="1:67" ht="13.2" x14ac:dyDescent="0.25">
      <c r="A44" s="47" t="s">
        <v>295</v>
      </c>
      <c r="B44" s="48" t="s">
        <v>40</v>
      </c>
      <c r="C44" s="50">
        <f>BACKUP!C245</f>
        <v>2254</v>
      </c>
      <c r="D44" s="50">
        <f>BACKUP!D245</f>
        <v>2205</v>
      </c>
      <c r="E44" s="50">
        <f>BACKUP!E245</f>
        <v>2928</v>
      </c>
      <c r="F44" s="50">
        <f>BACKUP!F245</f>
        <v>2560</v>
      </c>
      <c r="G44" s="50">
        <f>BACKUP!G245</f>
        <v>2828</v>
      </c>
      <c r="H44" s="50">
        <f>BACKUP!H245</f>
        <v>3401</v>
      </c>
      <c r="I44" s="50">
        <f>BACKUP!I245</f>
        <v>3786</v>
      </c>
      <c r="J44" s="50">
        <f>BACKUP!J245</f>
        <v>4026</v>
      </c>
      <c r="K44" s="50">
        <f>BACKUP!K245</f>
        <v>4013</v>
      </c>
      <c r="L44" s="50">
        <f>BACKUP!L245</f>
        <v>4001</v>
      </c>
      <c r="M44" s="50">
        <f>BACKUP!M245</f>
        <v>3988</v>
      </c>
      <c r="N44" s="50">
        <f>BACKUP!N245</f>
        <v>3976</v>
      </c>
      <c r="O44" s="50">
        <f>BACKUP!O245</f>
        <v>3963</v>
      </c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47" t="str">
        <f t="shared" si="21"/>
        <v>9</v>
      </c>
      <c r="AB44" s="48" t="str">
        <f t="shared" si="21"/>
        <v xml:space="preserve">   Other</v>
      </c>
      <c r="AC44" s="176">
        <v>0</v>
      </c>
      <c r="AD44" s="176">
        <v>0</v>
      </c>
      <c r="AE44" s="176">
        <v>0</v>
      </c>
      <c r="AF44" s="176">
        <v>0</v>
      </c>
      <c r="AG44" s="176">
        <v>0</v>
      </c>
      <c r="AH44" s="176">
        <v>0</v>
      </c>
      <c r="AI44" s="176">
        <v>0</v>
      </c>
      <c r="AJ44" s="176">
        <v>0</v>
      </c>
      <c r="AK44" s="176">
        <v>0</v>
      </c>
      <c r="AL44" s="176">
        <v>0</v>
      </c>
      <c r="AM44" s="176">
        <v>0</v>
      </c>
      <c r="AN44" s="176">
        <v>0</v>
      </c>
      <c r="AO44" s="176">
        <v>0</v>
      </c>
      <c r="AP44" s="33"/>
      <c r="AQ44" s="46"/>
      <c r="AR44" s="33"/>
      <c r="BA44" s="47" t="str">
        <f>A44</f>
        <v>9</v>
      </c>
      <c r="BB44" s="48" t="str">
        <f>B44</f>
        <v xml:space="preserve">   Other</v>
      </c>
      <c r="BC44" s="51">
        <f t="shared" si="22"/>
        <v>2254</v>
      </c>
      <c r="BD44" s="51">
        <f t="shared" si="22"/>
        <v>2205</v>
      </c>
      <c r="BE44" s="51">
        <f t="shared" si="22"/>
        <v>2928</v>
      </c>
      <c r="BF44" s="51">
        <f t="shared" si="22"/>
        <v>2560</v>
      </c>
      <c r="BG44" s="51">
        <f t="shared" si="22"/>
        <v>2828</v>
      </c>
      <c r="BH44" s="51">
        <f t="shared" si="22"/>
        <v>3401</v>
      </c>
      <c r="BI44" s="51">
        <f t="shared" si="22"/>
        <v>3786</v>
      </c>
      <c r="BJ44" s="51">
        <f t="shared" si="22"/>
        <v>4026</v>
      </c>
      <c r="BK44" s="51">
        <f t="shared" si="22"/>
        <v>4013</v>
      </c>
      <c r="BL44" s="51">
        <f t="shared" si="22"/>
        <v>4001</v>
      </c>
      <c r="BM44" s="51">
        <f t="shared" si="22"/>
        <v>3988</v>
      </c>
      <c r="BN44" s="51">
        <f t="shared" si="22"/>
        <v>3976</v>
      </c>
      <c r="BO44" s="51">
        <f t="shared" si="22"/>
        <v>3963</v>
      </c>
    </row>
    <row r="45" spans="1:67" ht="3.9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</row>
    <row r="46" spans="1:67" ht="13.2" x14ac:dyDescent="0.25">
      <c r="A46" s="30"/>
      <c r="B46" s="31" t="s">
        <v>305</v>
      </c>
      <c r="C46" s="50">
        <f t="shared" ref="C46:O46" si="23">SUM(C42:C45)</f>
        <v>81308</v>
      </c>
      <c r="D46" s="50">
        <f t="shared" si="23"/>
        <v>80796</v>
      </c>
      <c r="E46" s="50">
        <f t="shared" si="23"/>
        <v>81090</v>
      </c>
      <c r="F46" s="50">
        <f t="shared" si="23"/>
        <v>80253</v>
      </c>
      <c r="G46" s="50">
        <f t="shared" si="23"/>
        <v>80052</v>
      </c>
      <c r="H46" s="50">
        <f t="shared" si="23"/>
        <v>80156</v>
      </c>
      <c r="I46" s="50">
        <f t="shared" si="23"/>
        <v>80074</v>
      </c>
      <c r="J46" s="50">
        <f t="shared" si="23"/>
        <v>79886</v>
      </c>
      <c r="K46" s="50">
        <f t="shared" si="23"/>
        <v>79421</v>
      </c>
      <c r="L46" s="50">
        <f t="shared" si="23"/>
        <v>78948</v>
      </c>
      <c r="M46" s="50">
        <f t="shared" si="23"/>
        <v>78467</v>
      </c>
      <c r="N46" s="50">
        <f t="shared" si="23"/>
        <v>77993</v>
      </c>
      <c r="O46" s="50">
        <f t="shared" si="23"/>
        <v>78016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0"/>
      <c r="AB46" s="31" t="str">
        <f>B46</f>
        <v xml:space="preserve">      Total Deferred Charges</v>
      </c>
      <c r="AC46" s="50">
        <f t="shared" ref="AC46:AO46" si="24">SUM(AC42:AC45)</f>
        <v>0</v>
      </c>
      <c r="AD46" s="50">
        <f t="shared" si="24"/>
        <v>0</v>
      </c>
      <c r="AE46" s="50">
        <f t="shared" si="24"/>
        <v>0</v>
      </c>
      <c r="AF46" s="50">
        <f t="shared" si="24"/>
        <v>0</v>
      </c>
      <c r="AG46" s="50">
        <f t="shared" si="24"/>
        <v>0</v>
      </c>
      <c r="AH46" s="50">
        <f t="shared" si="24"/>
        <v>0</v>
      </c>
      <c r="AI46" s="50">
        <f t="shared" si="24"/>
        <v>0</v>
      </c>
      <c r="AJ46" s="50">
        <f t="shared" si="24"/>
        <v>0</v>
      </c>
      <c r="AK46" s="50">
        <f t="shared" si="24"/>
        <v>0</v>
      </c>
      <c r="AL46" s="50">
        <f t="shared" si="24"/>
        <v>0</v>
      </c>
      <c r="AM46" s="50">
        <f t="shared" si="24"/>
        <v>0</v>
      </c>
      <c r="AN46" s="50">
        <f t="shared" si="24"/>
        <v>0</v>
      </c>
      <c r="AO46" s="50">
        <f t="shared" si="24"/>
        <v>0</v>
      </c>
      <c r="AP46" s="33"/>
      <c r="AQ46" s="46"/>
      <c r="AR46" s="33"/>
      <c r="BA46" s="30"/>
      <c r="BB46" s="31" t="str">
        <f>B46</f>
        <v xml:space="preserve">      Total Deferred Charges</v>
      </c>
      <c r="BC46" s="50">
        <f t="shared" ref="BC46:BO46" si="25">SUM(BC42:BC45)</f>
        <v>81308</v>
      </c>
      <c r="BD46" s="50">
        <f t="shared" si="25"/>
        <v>80796</v>
      </c>
      <c r="BE46" s="50">
        <f t="shared" si="25"/>
        <v>81090</v>
      </c>
      <c r="BF46" s="50">
        <f t="shared" si="25"/>
        <v>80253</v>
      </c>
      <c r="BG46" s="50">
        <f t="shared" si="25"/>
        <v>80052</v>
      </c>
      <c r="BH46" s="50">
        <f t="shared" si="25"/>
        <v>80156</v>
      </c>
      <c r="BI46" s="50">
        <f t="shared" si="25"/>
        <v>80074</v>
      </c>
      <c r="BJ46" s="50">
        <f t="shared" si="25"/>
        <v>79886</v>
      </c>
      <c r="BK46" s="50">
        <f t="shared" si="25"/>
        <v>79421</v>
      </c>
      <c r="BL46" s="50">
        <f t="shared" si="25"/>
        <v>78948</v>
      </c>
      <c r="BM46" s="50">
        <f t="shared" si="25"/>
        <v>78467</v>
      </c>
      <c r="BN46" s="50">
        <f t="shared" si="25"/>
        <v>77993</v>
      </c>
      <c r="BO46" s="50">
        <f t="shared" si="25"/>
        <v>78016</v>
      </c>
    </row>
    <row r="47" spans="1:67" ht="13.2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</row>
    <row r="48" spans="1:67" ht="13.2" x14ac:dyDescent="0.25">
      <c r="A48" s="33"/>
      <c r="B48" s="33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33"/>
      <c r="AQ48" s="46"/>
      <c r="AR48" s="33"/>
      <c r="BA48" s="33"/>
      <c r="BB48" s="33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</row>
    <row r="49" spans="1:67" ht="13.2" x14ac:dyDescent="0.25">
      <c r="A49" s="30"/>
      <c r="B49" s="31" t="s">
        <v>306</v>
      </c>
      <c r="C49" s="52">
        <f t="shared" ref="C49:O49" si="26">C24+C32+C38+C46</f>
        <v>1372399</v>
      </c>
      <c r="D49" s="52">
        <f t="shared" si="26"/>
        <v>1382503</v>
      </c>
      <c r="E49" s="52">
        <f t="shared" si="26"/>
        <v>1391026</v>
      </c>
      <c r="F49" s="52">
        <f t="shared" si="26"/>
        <v>1416581</v>
      </c>
      <c r="G49" s="52">
        <f t="shared" si="26"/>
        <v>1408881</v>
      </c>
      <c r="H49" s="52">
        <f t="shared" si="26"/>
        <v>1428255</v>
      </c>
      <c r="I49" s="52">
        <f t="shared" si="26"/>
        <v>1295684</v>
      </c>
      <c r="J49" s="52">
        <f t="shared" si="26"/>
        <v>1301499</v>
      </c>
      <c r="K49" s="52">
        <f t="shared" si="26"/>
        <v>1311570</v>
      </c>
      <c r="L49" s="52">
        <f t="shared" si="26"/>
        <v>1323745</v>
      </c>
      <c r="M49" s="52">
        <f t="shared" si="26"/>
        <v>1330903</v>
      </c>
      <c r="N49" s="52">
        <f t="shared" si="26"/>
        <v>1333488</v>
      </c>
      <c r="O49" s="52">
        <f t="shared" si="26"/>
        <v>1338216</v>
      </c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0"/>
      <c r="AB49" s="31" t="str">
        <f>B49</f>
        <v xml:space="preserve">            TOTAL ASSETS</v>
      </c>
      <c r="AC49" s="52">
        <f t="shared" ref="AC49:AO49" si="27">AC24+AC32+AC38+AC46</f>
        <v>300164</v>
      </c>
      <c r="AD49" s="52">
        <f t="shared" si="27"/>
        <v>299664</v>
      </c>
      <c r="AE49" s="52">
        <f t="shared" si="27"/>
        <v>299164</v>
      </c>
      <c r="AF49" s="52">
        <f t="shared" si="27"/>
        <v>298664</v>
      </c>
      <c r="AG49" s="52">
        <f t="shared" si="27"/>
        <v>298164</v>
      </c>
      <c r="AH49" s="52">
        <f t="shared" si="27"/>
        <v>297664</v>
      </c>
      <c r="AI49" s="52">
        <f t="shared" si="27"/>
        <v>297164</v>
      </c>
      <c r="AJ49" s="52">
        <f t="shared" si="27"/>
        <v>296664</v>
      </c>
      <c r="AK49" s="52">
        <f t="shared" si="27"/>
        <v>296164</v>
      </c>
      <c r="AL49" s="52">
        <f t="shared" si="27"/>
        <v>295664</v>
      </c>
      <c r="AM49" s="52">
        <f t="shared" si="27"/>
        <v>295164</v>
      </c>
      <c r="AN49" s="52">
        <f t="shared" si="27"/>
        <v>294664</v>
      </c>
      <c r="AO49" s="52">
        <f t="shared" si="27"/>
        <v>294164</v>
      </c>
      <c r="AP49" s="33"/>
      <c r="AQ49" s="46"/>
      <c r="AR49" s="33"/>
      <c r="BA49" s="30"/>
      <c r="BB49" s="31" t="str">
        <f>B49</f>
        <v xml:space="preserve">            TOTAL ASSETS</v>
      </c>
      <c r="BC49" s="52">
        <f t="shared" ref="BC49:BO49" si="28">BC24+BC32+BC38+BC46</f>
        <v>1072235</v>
      </c>
      <c r="BD49" s="52">
        <f t="shared" si="28"/>
        <v>1082839</v>
      </c>
      <c r="BE49" s="52">
        <f t="shared" si="28"/>
        <v>1091862</v>
      </c>
      <c r="BF49" s="52">
        <f t="shared" si="28"/>
        <v>1117917</v>
      </c>
      <c r="BG49" s="52">
        <f t="shared" si="28"/>
        <v>1110717</v>
      </c>
      <c r="BH49" s="52">
        <f t="shared" si="28"/>
        <v>1130591</v>
      </c>
      <c r="BI49" s="52">
        <f t="shared" si="28"/>
        <v>998520</v>
      </c>
      <c r="BJ49" s="52">
        <f t="shared" si="28"/>
        <v>1004835</v>
      </c>
      <c r="BK49" s="52">
        <f t="shared" si="28"/>
        <v>1015406</v>
      </c>
      <c r="BL49" s="52">
        <f t="shared" si="28"/>
        <v>1028081</v>
      </c>
      <c r="BM49" s="52">
        <f t="shared" si="28"/>
        <v>1035739</v>
      </c>
      <c r="BN49" s="52">
        <f t="shared" si="28"/>
        <v>1038824</v>
      </c>
      <c r="BO49" s="52">
        <f t="shared" si="28"/>
        <v>1044052</v>
      </c>
    </row>
    <row r="50" spans="1:67" ht="13.2" x14ac:dyDescent="0.25">
      <c r="A50" s="33"/>
      <c r="B50" s="33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33"/>
      <c r="AQ50" s="46"/>
      <c r="AR50" s="33"/>
      <c r="BA50" s="33"/>
      <c r="BB50" s="33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</row>
    <row r="51" spans="1:67" ht="13.2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</row>
    <row r="52" spans="1:67" ht="13.2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170"/>
      <c r="AG52" s="207"/>
      <c r="AH52" s="207"/>
      <c r="AI52" s="207"/>
      <c r="AJ52" s="33"/>
      <c r="AK52" s="33"/>
      <c r="AL52" s="33"/>
      <c r="AM52" s="33"/>
      <c r="AN52" s="33"/>
      <c r="AO52" s="33"/>
      <c r="AP52" s="33"/>
      <c r="AQ52" s="33"/>
      <c r="AR52" s="33"/>
      <c r="BA52" s="33"/>
      <c r="BB52" s="33"/>
    </row>
    <row r="53" spans="1:67" ht="8.1" customHeigh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BA53" s="33"/>
      <c r="BB53" s="33"/>
    </row>
    <row r="54" spans="1:67" ht="13.2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45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33"/>
      <c r="AQ54" s="46"/>
      <c r="AR54" s="33"/>
      <c r="BA54" s="33"/>
      <c r="BB54" s="33"/>
    </row>
    <row r="55" spans="1:67" ht="13.2" x14ac:dyDescent="0.25">
      <c r="A55" s="30"/>
      <c r="B55" s="31" t="s">
        <v>307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0"/>
      <c r="AB55" s="31" t="str">
        <f>B55</f>
        <v>CURRENT LIABILITIES</v>
      </c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33"/>
      <c r="AQ55" s="46"/>
      <c r="AR55" s="33"/>
      <c r="BA55" s="30"/>
      <c r="BB55" s="31" t="str">
        <f>B55</f>
        <v>CURRENT LIABILITIES</v>
      </c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</row>
    <row r="56" spans="1:67" ht="13.2" x14ac:dyDescent="0.25">
      <c r="A56" s="47" t="s">
        <v>308</v>
      </c>
      <c r="B56" s="58" t="s">
        <v>309</v>
      </c>
      <c r="C56" s="46">
        <f>BACKUP!C275</f>
        <v>7735</v>
      </c>
      <c r="D56" s="46">
        <f>BACKUP!D275</f>
        <v>10169</v>
      </c>
      <c r="E56" s="46">
        <f>BACKUP!E275</f>
        <v>9207</v>
      </c>
      <c r="F56" s="46">
        <f>BACKUP!F275</f>
        <v>20539</v>
      </c>
      <c r="G56" s="46">
        <f>BACKUP!G275</f>
        <v>8787</v>
      </c>
      <c r="H56" s="46">
        <f>BACKUP!H275</f>
        <v>8434</v>
      </c>
      <c r="I56" s="46">
        <f>BACKUP!I275</f>
        <v>10259</v>
      </c>
      <c r="J56" s="46">
        <f>BACKUP!J275</f>
        <v>7327</v>
      </c>
      <c r="K56" s="46">
        <f>BACKUP!K275</f>
        <v>7327</v>
      </c>
      <c r="L56" s="46">
        <f>BACKUP!L275</f>
        <v>7327</v>
      </c>
      <c r="M56" s="46">
        <f>BACKUP!M275</f>
        <v>7327</v>
      </c>
      <c r="N56" s="46">
        <f>BACKUP!N275</f>
        <v>7327</v>
      </c>
      <c r="O56" s="46">
        <f>BACKUP!O275</f>
        <v>7327</v>
      </c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47" t="str">
        <f t="shared" ref="AA56:AB64" si="29">A56</f>
        <v>A</v>
      </c>
      <c r="AB56" s="48" t="str">
        <f t="shared" si="29"/>
        <v xml:space="preserve">   Accounts Payable - Assoc. Companies / Trade</v>
      </c>
      <c r="AC56" s="49">
        <v>0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  <c r="AI56" s="49">
        <v>0</v>
      </c>
      <c r="AJ56" s="49">
        <v>0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33"/>
      <c r="AQ56" s="46"/>
      <c r="AR56" s="33"/>
      <c r="BA56" s="47" t="str">
        <f t="shared" ref="BA56:BB64" si="30">A56</f>
        <v>A</v>
      </c>
      <c r="BB56" s="48" t="str">
        <f t="shared" si="30"/>
        <v xml:space="preserve">   Accounts Payable - Assoc. Companies / Trade</v>
      </c>
      <c r="BC56" s="206">
        <f t="shared" ref="BC56:BO64" si="31">C56-AC56</f>
        <v>7735</v>
      </c>
      <c r="BD56" s="206">
        <f t="shared" si="31"/>
        <v>10169</v>
      </c>
      <c r="BE56" s="206">
        <f t="shared" si="31"/>
        <v>9207</v>
      </c>
      <c r="BF56" s="206">
        <f t="shared" si="31"/>
        <v>20539</v>
      </c>
      <c r="BG56" s="206">
        <f t="shared" si="31"/>
        <v>8787</v>
      </c>
      <c r="BH56" s="206">
        <f t="shared" si="31"/>
        <v>8434</v>
      </c>
      <c r="BI56" s="206">
        <f t="shared" si="31"/>
        <v>10259</v>
      </c>
      <c r="BJ56" s="206">
        <f t="shared" si="31"/>
        <v>7327</v>
      </c>
      <c r="BK56" s="206">
        <f t="shared" si="31"/>
        <v>7327</v>
      </c>
      <c r="BL56" s="206">
        <f t="shared" si="31"/>
        <v>7327</v>
      </c>
      <c r="BM56" s="206">
        <f t="shared" si="31"/>
        <v>7327</v>
      </c>
      <c r="BN56" s="206">
        <f t="shared" si="31"/>
        <v>7327</v>
      </c>
      <c r="BO56" s="206">
        <f t="shared" si="31"/>
        <v>7327</v>
      </c>
    </row>
    <row r="57" spans="1:67" ht="13.2" x14ac:dyDescent="0.25">
      <c r="A57" s="47" t="s">
        <v>308</v>
      </c>
      <c r="B57" s="58" t="s">
        <v>310</v>
      </c>
      <c r="C57" s="46">
        <f>BACKUP!C293</f>
        <v>0</v>
      </c>
      <c r="D57" s="46">
        <f>BACKUP!D293</f>
        <v>0</v>
      </c>
      <c r="E57" s="46">
        <f>BACKUP!E293</f>
        <v>0</v>
      </c>
      <c r="F57" s="46">
        <f>BACKUP!F293</f>
        <v>0</v>
      </c>
      <c r="G57" s="46">
        <f>BACKUP!G293</f>
        <v>0</v>
      </c>
      <c r="H57" s="46">
        <f>BACKUP!H293</f>
        <v>0</v>
      </c>
      <c r="I57" s="46">
        <f>BACKUP!I293</f>
        <v>0</v>
      </c>
      <c r="J57" s="46">
        <f>BACKUP!J293</f>
        <v>0</v>
      </c>
      <c r="K57" s="46">
        <f>BACKUP!K293</f>
        <v>2571</v>
      </c>
      <c r="L57" s="46">
        <f>BACKUP!L293</f>
        <v>6765</v>
      </c>
      <c r="M57" s="46">
        <f>BACKUP!M293</f>
        <v>7076</v>
      </c>
      <c r="N57" s="46">
        <f>BACKUP!N293</f>
        <v>8768</v>
      </c>
      <c r="O57" s="46">
        <f>BACKUP!O293</f>
        <v>7734</v>
      </c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47" t="str">
        <f t="shared" si="29"/>
        <v>A</v>
      </c>
      <c r="AB57" s="48" t="str">
        <f t="shared" si="29"/>
        <v xml:space="preserve">                               - Other</v>
      </c>
      <c r="AC57" s="49">
        <v>0</v>
      </c>
      <c r="AD57" s="49">
        <v>0</v>
      </c>
      <c r="AE57" s="49">
        <v>0</v>
      </c>
      <c r="AF57" s="49">
        <v>0</v>
      </c>
      <c r="AG57" s="49">
        <v>0</v>
      </c>
      <c r="AH57" s="49">
        <v>0</v>
      </c>
      <c r="AI57" s="49">
        <v>0</v>
      </c>
      <c r="AJ57" s="49">
        <v>0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33"/>
      <c r="AQ57" s="33"/>
      <c r="AR57" s="33"/>
      <c r="BA57" s="47" t="str">
        <f t="shared" si="30"/>
        <v>A</v>
      </c>
      <c r="BB57" s="48" t="str">
        <f t="shared" si="30"/>
        <v xml:space="preserve">                               - Other</v>
      </c>
      <c r="BC57" s="206">
        <f t="shared" si="31"/>
        <v>0</v>
      </c>
      <c r="BD57" s="206">
        <f t="shared" si="31"/>
        <v>0</v>
      </c>
      <c r="BE57" s="206">
        <f t="shared" si="31"/>
        <v>0</v>
      </c>
      <c r="BF57" s="206">
        <f t="shared" si="31"/>
        <v>0</v>
      </c>
      <c r="BG57" s="206">
        <f t="shared" si="31"/>
        <v>0</v>
      </c>
      <c r="BH57" s="206">
        <f t="shared" si="31"/>
        <v>0</v>
      </c>
      <c r="BI57" s="206">
        <f t="shared" si="31"/>
        <v>0</v>
      </c>
      <c r="BJ57" s="206">
        <f t="shared" si="31"/>
        <v>0</v>
      </c>
      <c r="BK57" s="206">
        <f t="shared" si="31"/>
        <v>2571</v>
      </c>
      <c r="BL57" s="206">
        <f t="shared" si="31"/>
        <v>6765</v>
      </c>
      <c r="BM57" s="206">
        <f t="shared" si="31"/>
        <v>7076</v>
      </c>
      <c r="BN57" s="206">
        <f t="shared" si="31"/>
        <v>8768</v>
      </c>
      <c r="BO57" s="206">
        <f t="shared" si="31"/>
        <v>7734</v>
      </c>
    </row>
    <row r="58" spans="1:67" ht="13.2" x14ac:dyDescent="0.25">
      <c r="A58" s="47" t="s">
        <v>311</v>
      </c>
      <c r="B58" s="58" t="s">
        <v>312</v>
      </c>
      <c r="C58" s="157">
        <f>BACKUP!C309</f>
        <v>0</v>
      </c>
      <c r="D58" s="157">
        <f>BACKUP!D309</f>
        <v>0</v>
      </c>
      <c r="E58" s="157">
        <f>BACKUP!E309</f>
        <v>0</v>
      </c>
      <c r="F58" s="157">
        <f>BACKUP!F309</f>
        <v>0</v>
      </c>
      <c r="G58" s="157">
        <f>BACKUP!G309</f>
        <v>22967</v>
      </c>
      <c r="H58" s="157">
        <f>BACKUP!H309</f>
        <v>5940</v>
      </c>
      <c r="I58" s="157">
        <f>BACKUP!I309</f>
        <v>0</v>
      </c>
      <c r="J58" s="157">
        <f>BACKUP!J309</f>
        <v>-10</v>
      </c>
      <c r="K58" s="157">
        <f>BACKUP!K309</f>
        <v>-10</v>
      </c>
      <c r="L58" s="157">
        <f>BACKUP!L309</f>
        <v>-10</v>
      </c>
      <c r="M58" s="157">
        <f>BACKUP!M309</f>
        <v>-10</v>
      </c>
      <c r="N58" s="157">
        <f>BACKUP!N309</f>
        <v>-10</v>
      </c>
      <c r="O58" s="157">
        <f>BACKUP!O309</f>
        <v>-10</v>
      </c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47" t="str">
        <f t="shared" si="29"/>
        <v>B</v>
      </c>
      <c r="AB58" s="48" t="str">
        <f t="shared" si="29"/>
        <v xml:space="preserve">   Liability Price Risk Management</v>
      </c>
      <c r="AC58" s="49">
        <v>0</v>
      </c>
      <c r="AD58" s="49">
        <v>0</v>
      </c>
      <c r="AE58" s="49">
        <v>0</v>
      </c>
      <c r="AF58" s="49">
        <v>0</v>
      </c>
      <c r="AG58" s="49">
        <v>0</v>
      </c>
      <c r="AH58" s="49">
        <v>0</v>
      </c>
      <c r="AI58" s="49">
        <v>0</v>
      </c>
      <c r="AJ58" s="49">
        <v>0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33"/>
      <c r="AQ58" s="46"/>
      <c r="AR58" s="33"/>
      <c r="BA58" s="47" t="str">
        <f t="shared" si="30"/>
        <v>B</v>
      </c>
      <c r="BB58" s="48" t="str">
        <f t="shared" si="30"/>
        <v xml:space="preserve">   Liability Price Risk Management</v>
      </c>
      <c r="BC58" s="206">
        <f t="shared" si="31"/>
        <v>0</v>
      </c>
      <c r="BD58" s="206">
        <f t="shared" si="31"/>
        <v>0</v>
      </c>
      <c r="BE58" s="206">
        <f t="shared" si="31"/>
        <v>0</v>
      </c>
      <c r="BF58" s="206">
        <f t="shared" si="31"/>
        <v>0</v>
      </c>
      <c r="BG58" s="206">
        <f t="shared" si="31"/>
        <v>22967</v>
      </c>
      <c r="BH58" s="206">
        <f t="shared" si="31"/>
        <v>5940</v>
      </c>
      <c r="BI58" s="206">
        <f t="shared" si="31"/>
        <v>0</v>
      </c>
      <c r="BJ58" s="206">
        <f t="shared" si="31"/>
        <v>-10</v>
      </c>
      <c r="BK58" s="206">
        <f t="shared" si="31"/>
        <v>-10</v>
      </c>
      <c r="BL58" s="206">
        <f t="shared" si="31"/>
        <v>-10</v>
      </c>
      <c r="BM58" s="206">
        <f t="shared" si="31"/>
        <v>-10</v>
      </c>
      <c r="BN58" s="206">
        <f t="shared" si="31"/>
        <v>-10</v>
      </c>
      <c r="BO58" s="206">
        <f t="shared" si="31"/>
        <v>-10</v>
      </c>
    </row>
    <row r="59" spans="1:67" ht="13.2" x14ac:dyDescent="0.25">
      <c r="A59" s="47" t="s">
        <v>311</v>
      </c>
      <c r="B59" s="48" t="s">
        <v>313</v>
      </c>
      <c r="C59" s="46">
        <f>BACKUP!C317</f>
        <v>7331</v>
      </c>
      <c r="D59" s="46">
        <f>BACKUP!D317</f>
        <v>8570</v>
      </c>
      <c r="E59" s="46">
        <f>BACKUP!E317</f>
        <v>6683</v>
      </c>
      <c r="F59" s="46">
        <f>BACKUP!F317</f>
        <v>8636</v>
      </c>
      <c r="G59" s="46">
        <f>BACKUP!G317</f>
        <v>10593</v>
      </c>
      <c r="H59" s="46">
        <f>BACKUP!H317</f>
        <v>11431</v>
      </c>
      <c r="I59" s="46">
        <f>BACKUP!I317</f>
        <v>12007</v>
      </c>
      <c r="J59" s="46">
        <f>BACKUP!J317</f>
        <v>13191</v>
      </c>
      <c r="K59" s="46">
        <f>BACKUP!K317</f>
        <v>13191</v>
      </c>
      <c r="L59" s="46">
        <f>BACKUP!L317</f>
        <v>13191</v>
      </c>
      <c r="M59" s="46">
        <f>BACKUP!M317</f>
        <v>13191</v>
      </c>
      <c r="N59" s="46">
        <f>BACKUP!N317</f>
        <v>13191</v>
      </c>
      <c r="O59" s="46">
        <f>BACKUP!O317</f>
        <v>13191</v>
      </c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47" t="str">
        <f t="shared" si="29"/>
        <v>B</v>
      </c>
      <c r="AB59" s="48" t="str">
        <f t="shared" si="29"/>
        <v xml:space="preserve">   Exchange Gas Payable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33"/>
      <c r="AQ59" s="46"/>
      <c r="AR59" s="33"/>
      <c r="BA59" s="47" t="str">
        <f t="shared" si="30"/>
        <v>B</v>
      </c>
      <c r="BB59" s="48" t="str">
        <f t="shared" si="30"/>
        <v xml:space="preserve">   Exchange Gas Payable</v>
      </c>
      <c r="BC59" s="206">
        <f t="shared" si="31"/>
        <v>7331</v>
      </c>
      <c r="BD59" s="206">
        <f t="shared" si="31"/>
        <v>8570</v>
      </c>
      <c r="BE59" s="206">
        <f t="shared" si="31"/>
        <v>6683</v>
      </c>
      <c r="BF59" s="206">
        <f t="shared" si="31"/>
        <v>8636</v>
      </c>
      <c r="BG59" s="206">
        <f t="shared" si="31"/>
        <v>10593</v>
      </c>
      <c r="BH59" s="206">
        <f t="shared" si="31"/>
        <v>11431</v>
      </c>
      <c r="BI59" s="206">
        <f t="shared" si="31"/>
        <v>12007</v>
      </c>
      <c r="BJ59" s="206">
        <f t="shared" si="31"/>
        <v>13191</v>
      </c>
      <c r="BK59" s="206">
        <f t="shared" si="31"/>
        <v>13191</v>
      </c>
      <c r="BL59" s="206">
        <f t="shared" si="31"/>
        <v>13191</v>
      </c>
      <c r="BM59" s="206">
        <f t="shared" si="31"/>
        <v>13191</v>
      </c>
      <c r="BN59" s="206">
        <f t="shared" si="31"/>
        <v>13191</v>
      </c>
      <c r="BO59" s="206">
        <f t="shared" si="31"/>
        <v>13191</v>
      </c>
    </row>
    <row r="60" spans="1:67" ht="13.2" x14ac:dyDescent="0.25">
      <c r="A60" s="47" t="s">
        <v>311</v>
      </c>
      <c r="B60" s="48" t="s">
        <v>314</v>
      </c>
      <c r="C60" s="46">
        <f>BACKUP!C342</f>
        <v>6126</v>
      </c>
      <c r="D60" s="46">
        <f>BACKUP!D342</f>
        <v>5393</v>
      </c>
      <c r="E60" s="46">
        <f>BACKUP!E342</f>
        <v>6454</v>
      </c>
      <c r="F60" s="46">
        <f>BACKUP!F342</f>
        <v>7503</v>
      </c>
      <c r="G60" s="46">
        <f>BACKUP!G342</f>
        <v>5021</v>
      </c>
      <c r="H60" s="46">
        <f>BACKUP!H342</f>
        <v>5095</v>
      </c>
      <c r="I60" s="46">
        <f>BACKUP!I342</f>
        <v>5668</v>
      </c>
      <c r="J60" s="46">
        <f>BACKUP!J342</f>
        <v>6430</v>
      </c>
      <c r="K60" s="46">
        <f>BACKUP!K342</f>
        <v>7040</v>
      </c>
      <c r="L60" s="46">
        <f>BACKUP!L342</f>
        <v>7865</v>
      </c>
      <c r="M60" s="46">
        <f>BACKUP!M342</f>
        <v>5363</v>
      </c>
      <c r="N60" s="46">
        <f>BACKUP!N342</f>
        <v>5988</v>
      </c>
      <c r="O60" s="46">
        <f>BACKUP!O342</f>
        <v>5607</v>
      </c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47" t="str">
        <f t="shared" si="29"/>
        <v>B</v>
      </c>
      <c r="AB60" s="48" t="str">
        <f t="shared" si="29"/>
        <v xml:space="preserve">   Accrued Taxes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9">
        <v>0</v>
      </c>
      <c r="AJ60" s="49">
        <v>0</v>
      </c>
      <c r="AK60" s="49">
        <v>0</v>
      </c>
      <c r="AL60" s="49">
        <v>0</v>
      </c>
      <c r="AM60" s="49">
        <v>0</v>
      </c>
      <c r="AN60" s="49">
        <v>0</v>
      </c>
      <c r="AO60" s="49">
        <v>0</v>
      </c>
      <c r="AP60" s="33"/>
      <c r="AQ60" s="46"/>
      <c r="AR60" s="33"/>
      <c r="BA60" s="47" t="str">
        <f t="shared" si="30"/>
        <v>B</v>
      </c>
      <c r="BB60" s="48" t="str">
        <f t="shared" si="30"/>
        <v xml:space="preserve">   Accrued Taxes</v>
      </c>
      <c r="BC60" s="206">
        <f t="shared" si="31"/>
        <v>6126</v>
      </c>
      <c r="BD60" s="206">
        <f t="shared" si="31"/>
        <v>5393</v>
      </c>
      <c r="BE60" s="206">
        <f t="shared" si="31"/>
        <v>6454</v>
      </c>
      <c r="BF60" s="206">
        <f t="shared" si="31"/>
        <v>7503</v>
      </c>
      <c r="BG60" s="206">
        <f t="shared" si="31"/>
        <v>5021</v>
      </c>
      <c r="BH60" s="206">
        <f t="shared" si="31"/>
        <v>5095</v>
      </c>
      <c r="BI60" s="206">
        <f t="shared" si="31"/>
        <v>5668</v>
      </c>
      <c r="BJ60" s="206">
        <f t="shared" si="31"/>
        <v>6430</v>
      </c>
      <c r="BK60" s="206">
        <f t="shared" si="31"/>
        <v>7040</v>
      </c>
      <c r="BL60" s="206">
        <f t="shared" si="31"/>
        <v>7865</v>
      </c>
      <c r="BM60" s="206">
        <f t="shared" si="31"/>
        <v>5363</v>
      </c>
      <c r="BN60" s="206">
        <f t="shared" si="31"/>
        <v>5988</v>
      </c>
      <c r="BO60" s="206">
        <f t="shared" si="31"/>
        <v>5607</v>
      </c>
    </row>
    <row r="61" spans="1:67" ht="13.2" x14ac:dyDescent="0.25">
      <c r="A61" s="47" t="s">
        <v>315</v>
      </c>
      <c r="B61" s="48" t="s">
        <v>316</v>
      </c>
      <c r="C61" s="46">
        <f>BACKUP!C352</f>
        <v>2129</v>
      </c>
      <c r="D61" s="46">
        <f>BACKUP!D352</f>
        <v>2129</v>
      </c>
      <c r="E61" s="46">
        <f>BACKUP!E352</f>
        <v>2129</v>
      </c>
      <c r="F61" s="46">
        <f>BACKUP!F352</f>
        <v>2129</v>
      </c>
      <c r="G61" s="46">
        <f>BACKUP!G352</f>
        <v>879</v>
      </c>
      <c r="H61" s="46">
        <f>BACKUP!H352</f>
        <v>6632</v>
      </c>
      <c r="I61" s="46">
        <f>BACKUP!I352</f>
        <v>2129</v>
      </c>
      <c r="J61" s="46">
        <f>BACKUP!J352</f>
        <v>2119</v>
      </c>
      <c r="K61" s="46">
        <f>BACKUP!K352</f>
        <v>2119</v>
      </c>
      <c r="L61" s="46">
        <f>BACKUP!L352</f>
        <v>2119</v>
      </c>
      <c r="M61" s="46">
        <f>BACKUP!M352</f>
        <v>2119</v>
      </c>
      <c r="N61" s="46">
        <f>BACKUP!N352</f>
        <v>2119</v>
      </c>
      <c r="O61" s="46">
        <f>BACKUP!O352</f>
        <v>2119</v>
      </c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47" t="str">
        <f t="shared" si="29"/>
        <v>C</v>
      </c>
      <c r="AB61" s="48" t="str">
        <f t="shared" si="29"/>
        <v xml:space="preserve">   Deferred Income Taxes - Current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9">
        <v>0</v>
      </c>
      <c r="AJ61" s="49">
        <v>0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33"/>
      <c r="AQ61" s="46"/>
      <c r="AR61" s="33"/>
      <c r="BA61" s="47" t="str">
        <f t="shared" si="30"/>
        <v>C</v>
      </c>
      <c r="BB61" s="48" t="str">
        <f t="shared" si="30"/>
        <v xml:space="preserve">   Deferred Income Taxes - Current</v>
      </c>
      <c r="BC61" s="206">
        <f t="shared" si="31"/>
        <v>2129</v>
      </c>
      <c r="BD61" s="206">
        <f t="shared" si="31"/>
        <v>2129</v>
      </c>
      <c r="BE61" s="206">
        <f t="shared" si="31"/>
        <v>2129</v>
      </c>
      <c r="BF61" s="206">
        <f t="shared" si="31"/>
        <v>2129</v>
      </c>
      <c r="BG61" s="206">
        <f t="shared" si="31"/>
        <v>879</v>
      </c>
      <c r="BH61" s="206">
        <f t="shared" si="31"/>
        <v>6632</v>
      </c>
      <c r="BI61" s="206">
        <f t="shared" si="31"/>
        <v>2129</v>
      </c>
      <c r="BJ61" s="206">
        <f t="shared" si="31"/>
        <v>2119</v>
      </c>
      <c r="BK61" s="206">
        <f t="shared" si="31"/>
        <v>2119</v>
      </c>
      <c r="BL61" s="206">
        <f t="shared" si="31"/>
        <v>2119</v>
      </c>
      <c r="BM61" s="206">
        <f t="shared" si="31"/>
        <v>2119</v>
      </c>
      <c r="BN61" s="206">
        <f t="shared" si="31"/>
        <v>2119</v>
      </c>
      <c r="BO61" s="206">
        <f t="shared" si="31"/>
        <v>2119</v>
      </c>
    </row>
    <row r="62" spans="1:67" ht="13.2" x14ac:dyDescent="0.25">
      <c r="A62" s="47" t="s">
        <v>311</v>
      </c>
      <c r="B62" s="48" t="s">
        <v>317</v>
      </c>
      <c r="C62" s="46">
        <f>BACKUP!C372</f>
        <v>3012</v>
      </c>
      <c r="D62" s="46">
        <f>BACKUP!D372</f>
        <v>4055</v>
      </c>
      <c r="E62" s="46">
        <f>BACKUP!E372</f>
        <v>5099</v>
      </c>
      <c r="F62" s="46">
        <f>BACKUP!F372</f>
        <v>6142</v>
      </c>
      <c r="G62" s="46">
        <f>BACKUP!G372</f>
        <v>1367</v>
      </c>
      <c r="H62" s="46">
        <f>BACKUP!H372</f>
        <v>1453</v>
      </c>
      <c r="I62" s="46">
        <f>BACKUP!I372</f>
        <v>237</v>
      </c>
      <c r="J62" s="46">
        <f>BACKUP!J372</f>
        <v>355</v>
      </c>
      <c r="K62" s="46">
        <f>BACKUP!K372</f>
        <v>473</v>
      </c>
      <c r="L62" s="46">
        <f>BACKUP!L372</f>
        <v>592</v>
      </c>
      <c r="M62" s="46">
        <f>BACKUP!M372</f>
        <v>710</v>
      </c>
      <c r="N62" s="46">
        <f>BACKUP!N372</f>
        <v>119</v>
      </c>
      <c r="O62" s="46">
        <f>BACKUP!O372</f>
        <v>208</v>
      </c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47" t="str">
        <f t="shared" si="29"/>
        <v>B</v>
      </c>
      <c r="AB62" s="48" t="str">
        <f t="shared" si="29"/>
        <v xml:space="preserve">   Accrued Interest</v>
      </c>
      <c r="AC62" s="49">
        <v>0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33"/>
      <c r="AQ62" s="46"/>
      <c r="AR62" s="33"/>
      <c r="BA62" s="47" t="str">
        <f t="shared" si="30"/>
        <v>B</v>
      </c>
      <c r="BB62" s="48" t="str">
        <f t="shared" si="30"/>
        <v xml:space="preserve">   Accrued Interest</v>
      </c>
      <c r="BC62" s="206">
        <f t="shared" si="31"/>
        <v>3012</v>
      </c>
      <c r="BD62" s="206">
        <f t="shared" si="31"/>
        <v>4055</v>
      </c>
      <c r="BE62" s="206">
        <f t="shared" si="31"/>
        <v>5099</v>
      </c>
      <c r="BF62" s="206">
        <f t="shared" si="31"/>
        <v>6142</v>
      </c>
      <c r="BG62" s="206">
        <f t="shared" si="31"/>
        <v>1367</v>
      </c>
      <c r="BH62" s="206">
        <f t="shared" si="31"/>
        <v>1453</v>
      </c>
      <c r="BI62" s="206">
        <f t="shared" si="31"/>
        <v>237</v>
      </c>
      <c r="BJ62" s="206">
        <f t="shared" si="31"/>
        <v>355</v>
      </c>
      <c r="BK62" s="206">
        <f t="shared" si="31"/>
        <v>473</v>
      </c>
      <c r="BL62" s="206">
        <f t="shared" si="31"/>
        <v>592</v>
      </c>
      <c r="BM62" s="206">
        <f t="shared" si="31"/>
        <v>710</v>
      </c>
      <c r="BN62" s="206">
        <f t="shared" si="31"/>
        <v>119</v>
      </c>
      <c r="BO62" s="206">
        <f t="shared" si="31"/>
        <v>208</v>
      </c>
    </row>
    <row r="63" spans="1:67" ht="13.2" x14ac:dyDescent="0.25">
      <c r="A63" s="47" t="s">
        <v>318</v>
      </c>
      <c r="B63" s="58" t="s">
        <v>319</v>
      </c>
      <c r="C63" s="46">
        <f>BACKUP!C402</f>
        <v>0</v>
      </c>
      <c r="D63" s="46">
        <f>BACKUP!D402</f>
        <v>0</v>
      </c>
      <c r="E63" s="46">
        <f>BACKUP!E402</f>
        <v>0</v>
      </c>
      <c r="F63" s="46">
        <f>BACKUP!F402</f>
        <v>0</v>
      </c>
      <c r="G63" s="46">
        <f>BACKUP!G402</f>
        <v>0</v>
      </c>
      <c r="H63" s="46">
        <f>BACKUP!H402</f>
        <v>0</v>
      </c>
      <c r="I63" s="46">
        <f>BACKUP!I402</f>
        <v>0</v>
      </c>
      <c r="J63" s="46">
        <f>BACKUP!J402</f>
        <v>0</v>
      </c>
      <c r="K63" s="46">
        <f>BACKUP!K402</f>
        <v>0</v>
      </c>
      <c r="L63" s="46">
        <f>BACKUP!L402</f>
        <v>0</v>
      </c>
      <c r="M63" s="46">
        <f>BACKUP!M402</f>
        <v>0</v>
      </c>
      <c r="N63" s="46">
        <f>BACKUP!N402</f>
        <v>0</v>
      </c>
      <c r="O63" s="46">
        <f>BACKUP!O402</f>
        <v>0</v>
      </c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47" t="str">
        <f t="shared" si="29"/>
        <v>F</v>
      </c>
      <c r="AB63" s="48" t="str">
        <f t="shared" si="29"/>
        <v xml:space="preserve">   Regulatory Liabilities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33"/>
      <c r="AQ63" s="33"/>
      <c r="AR63" s="33"/>
      <c r="BA63" s="47" t="str">
        <f t="shared" si="30"/>
        <v>F</v>
      </c>
      <c r="BB63" s="48" t="str">
        <f t="shared" si="30"/>
        <v xml:space="preserve">   Regulatory Liabilities</v>
      </c>
      <c r="BC63" s="206">
        <f t="shared" si="31"/>
        <v>0</v>
      </c>
      <c r="BD63" s="206">
        <f t="shared" si="31"/>
        <v>0</v>
      </c>
      <c r="BE63" s="206">
        <f t="shared" si="31"/>
        <v>0</v>
      </c>
      <c r="BF63" s="206">
        <f t="shared" si="31"/>
        <v>0</v>
      </c>
      <c r="BG63" s="206">
        <f t="shared" si="31"/>
        <v>0</v>
      </c>
      <c r="BH63" s="206">
        <f t="shared" si="31"/>
        <v>0</v>
      </c>
      <c r="BI63" s="206">
        <f t="shared" si="31"/>
        <v>0</v>
      </c>
      <c r="BJ63" s="206">
        <f t="shared" si="31"/>
        <v>0</v>
      </c>
      <c r="BK63" s="206">
        <f t="shared" si="31"/>
        <v>0</v>
      </c>
      <c r="BL63" s="206">
        <f t="shared" si="31"/>
        <v>0</v>
      </c>
      <c r="BM63" s="206">
        <f t="shared" si="31"/>
        <v>0</v>
      </c>
      <c r="BN63" s="206">
        <f t="shared" si="31"/>
        <v>0</v>
      </c>
      <c r="BO63" s="206">
        <f t="shared" si="31"/>
        <v>0</v>
      </c>
    </row>
    <row r="64" spans="1:67" ht="13.2" x14ac:dyDescent="0.25">
      <c r="A64" s="47" t="s">
        <v>320</v>
      </c>
      <c r="B64" s="48" t="s">
        <v>40</v>
      </c>
      <c r="C64" s="50">
        <f>BACKUP!C393</f>
        <v>276</v>
      </c>
      <c r="D64" s="50">
        <f>BACKUP!D393</f>
        <v>-387</v>
      </c>
      <c r="E64" s="50">
        <f>BACKUP!E393</f>
        <v>271</v>
      </c>
      <c r="F64" s="50">
        <f>BACKUP!F393</f>
        <v>11822</v>
      </c>
      <c r="G64" s="50">
        <f>BACKUP!G393</f>
        <v>12241</v>
      </c>
      <c r="H64" s="50">
        <f>BACKUP!H393</f>
        <v>12248</v>
      </c>
      <c r="I64" s="50">
        <f>BACKUP!I393</f>
        <v>12599</v>
      </c>
      <c r="J64" s="50">
        <f>BACKUP!J393</f>
        <v>12645</v>
      </c>
      <c r="K64" s="50">
        <f>BACKUP!K393</f>
        <v>12889</v>
      </c>
      <c r="L64" s="50">
        <f>BACKUP!L393</f>
        <v>12645</v>
      </c>
      <c r="M64" s="50">
        <f>BACKUP!M393</f>
        <v>12645</v>
      </c>
      <c r="N64" s="50">
        <f>BACKUP!N393</f>
        <v>12645</v>
      </c>
      <c r="O64" s="50">
        <f>BACKUP!O393</f>
        <v>12806</v>
      </c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47" t="str">
        <f t="shared" si="29"/>
        <v>H</v>
      </c>
      <c r="AB64" s="48" t="str">
        <f t="shared" si="29"/>
        <v xml:space="preserve">   Other</v>
      </c>
      <c r="AC64" s="176">
        <v>0</v>
      </c>
      <c r="AD64" s="176">
        <v>0</v>
      </c>
      <c r="AE64" s="176">
        <v>0</v>
      </c>
      <c r="AF64" s="176">
        <v>0</v>
      </c>
      <c r="AG64" s="176">
        <v>0</v>
      </c>
      <c r="AH64" s="176">
        <v>0</v>
      </c>
      <c r="AI64" s="176">
        <v>0</v>
      </c>
      <c r="AJ64" s="176">
        <v>0</v>
      </c>
      <c r="AK64" s="176">
        <v>0</v>
      </c>
      <c r="AL64" s="176">
        <v>0</v>
      </c>
      <c r="AM64" s="176">
        <v>0</v>
      </c>
      <c r="AN64" s="176">
        <v>0</v>
      </c>
      <c r="AO64" s="176">
        <v>0</v>
      </c>
      <c r="AP64" s="33"/>
      <c r="AQ64" s="46"/>
      <c r="AR64" s="33"/>
      <c r="BA64" s="47" t="str">
        <f t="shared" si="30"/>
        <v>H</v>
      </c>
      <c r="BB64" s="48" t="str">
        <f t="shared" si="30"/>
        <v xml:space="preserve">   Other</v>
      </c>
      <c r="BC64" s="51">
        <f t="shared" si="31"/>
        <v>276</v>
      </c>
      <c r="BD64" s="51">
        <f t="shared" si="31"/>
        <v>-387</v>
      </c>
      <c r="BE64" s="51">
        <f t="shared" si="31"/>
        <v>271</v>
      </c>
      <c r="BF64" s="51">
        <f t="shared" si="31"/>
        <v>11822</v>
      </c>
      <c r="BG64" s="51">
        <f t="shared" si="31"/>
        <v>12241</v>
      </c>
      <c r="BH64" s="51">
        <f t="shared" si="31"/>
        <v>12248</v>
      </c>
      <c r="BI64" s="51">
        <f t="shared" si="31"/>
        <v>12599</v>
      </c>
      <c r="BJ64" s="51">
        <f t="shared" si="31"/>
        <v>12645</v>
      </c>
      <c r="BK64" s="51">
        <f t="shared" si="31"/>
        <v>12889</v>
      </c>
      <c r="BL64" s="51">
        <f t="shared" si="31"/>
        <v>12645</v>
      </c>
      <c r="BM64" s="51">
        <f t="shared" si="31"/>
        <v>12645</v>
      </c>
      <c r="BN64" s="51">
        <f t="shared" si="31"/>
        <v>12645</v>
      </c>
      <c r="BO64" s="51">
        <f t="shared" si="31"/>
        <v>12806</v>
      </c>
    </row>
    <row r="65" spans="1:67" ht="3.9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</row>
    <row r="66" spans="1:67" ht="13.2" x14ac:dyDescent="0.25">
      <c r="A66" s="30"/>
      <c r="B66" s="31" t="s">
        <v>321</v>
      </c>
      <c r="C66" s="50">
        <f t="shared" ref="C66:O66" si="32">SUM(C56:C65)</f>
        <v>26609</v>
      </c>
      <c r="D66" s="50">
        <f t="shared" si="32"/>
        <v>29929</v>
      </c>
      <c r="E66" s="50">
        <f t="shared" si="32"/>
        <v>29843</v>
      </c>
      <c r="F66" s="50">
        <f t="shared" si="32"/>
        <v>56771</v>
      </c>
      <c r="G66" s="50">
        <f t="shared" si="32"/>
        <v>61855</v>
      </c>
      <c r="H66" s="50">
        <f t="shared" si="32"/>
        <v>51233</v>
      </c>
      <c r="I66" s="50">
        <f t="shared" si="32"/>
        <v>42899</v>
      </c>
      <c r="J66" s="50">
        <f t="shared" si="32"/>
        <v>42057</v>
      </c>
      <c r="K66" s="50">
        <f t="shared" si="32"/>
        <v>45600</v>
      </c>
      <c r="L66" s="50">
        <f t="shared" si="32"/>
        <v>50494</v>
      </c>
      <c r="M66" s="50">
        <f t="shared" si="32"/>
        <v>48421</v>
      </c>
      <c r="N66" s="50">
        <f t="shared" si="32"/>
        <v>50147</v>
      </c>
      <c r="O66" s="50">
        <f t="shared" si="32"/>
        <v>48982</v>
      </c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0"/>
      <c r="AB66" s="31" t="str">
        <f>B66</f>
        <v xml:space="preserve">      Total Current Liabilities</v>
      </c>
      <c r="AC66" s="50">
        <f t="shared" ref="AC66:AO66" si="33">SUM(AC56:AC65)</f>
        <v>0</v>
      </c>
      <c r="AD66" s="50">
        <f t="shared" si="33"/>
        <v>0</v>
      </c>
      <c r="AE66" s="50">
        <f t="shared" si="33"/>
        <v>0</v>
      </c>
      <c r="AF66" s="50">
        <f t="shared" si="33"/>
        <v>0</v>
      </c>
      <c r="AG66" s="50">
        <f t="shared" si="33"/>
        <v>0</v>
      </c>
      <c r="AH66" s="50">
        <f t="shared" si="33"/>
        <v>0</v>
      </c>
      <c r="AI66" s="50">
        <f t="shared" si="33"/>
        <v>0</v>
      </c>
      <c r="AJ66" s="50">
        <f t="shared" si="33"/>
        <v>0</v>
      </c>
      <c r="AK66" s="50">
        <f t="shared" si="33"/>
        <v>0</v>
      </c>
      <c r="AL66" s="50">
        <f t="shared" si="33"/>
        <v>0</v>
      </c>
      <c r="AM66" s="50">
        <f t="shared" si="33"/>
        <v>0</v>
      </c>
      <c r="AN66" s="50">
        <f t="shared" si="33"/>
        <v>0</v>
      </c>
      <c r="AO66" s="50">
        <f t="shared" si="33"/>
        <v>0</v>
      </c>
      <c r="AP66" s="33"/>
      <c r="AQ66" s="46"/>
      <c r="AR66" s="33"/>
      <c r="BA66" s="30"/>
      <c r="BB66" s="31" t="str">
        <f>B66</f>
        <v xml:space="preserve">      Total Current Liabilities</v>
      </c>
      <c r="BC66" s="50">
        <f t="shared" ref="BC66:BO66" si="34">SUM(BC56:BC65)</f>
        <v>26609</v>
      </c>
      <c r="BD66" s="50">
        <f t="shared" si="34"/>
        <v>29929</v>
      </c>
      <c r="BE66" s="50">
        <f t="shared" si="34"/>
        <v>29843</v>
      </c>
      <c r="BF66" s="50">
        <f t="shared" si="34"/>
        <v>56771</v>
      </c>
      <c r="BG66" s="50">
        <f t="shared" si="34"/>
        <v>61855</v>
      </c>
      <c r="BH66" s="50">
        <f t="shared" si="34"/>
        <v>51233</v>
      </c>
      <c r="BI66" s="50">
        <f t="shared" si="34"/>
        <v>42899</v>
      </c>
      <c r="BJ66" s="50">
        <f t="shared" si="34"/>
        <v>42057</v>
      </c>
      <c r="BK66" s="50">
        <f t="shared" si="34"/>
        <v>45600</v>
      </c>
      <c r="BL66" s="50">
        <f t="shared" si="34"/>
        <v>50494</v>
      </c>
      <c r="BM66" s="50">
        <f t="shared" si="34"/>
        <v>48421</v>
      </c>
      <c r="BN66" s="50">
        <f t="shared" si="34"/>
        <v>50147</v>
      </c>
      <c r="BO66" s="50">
        <f t="shared" si="34"/>
        <v>48982</v>
      </c>
    </row>
    <row r="67" spans="1:67" ht="13.2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</row>
    <row r="68" spans="1:67" ht="13.2" x14ac:dyDescent="0.25">
      <c r="A68" s="30"/>
      <c r="B68" s="31" t="s">
        <v>322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0"/>
      <c r="AB68" s="31" t="str">
        <f>B68</f>
        <v>DEFERRED CREDITS AND OTHER LIABILITIES</v>
      </c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46"/>
      <c r="AR68" s="33"/>
      <c r="BA68" s="30"/>
      <c r="BB68" s="31" t="str">
        <f>B68</f>
        <v>DEFERRED CREDITS AND OTHER LIABILITIES</v>
      </c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</row>
    <row r="69" spans="1:67" ht="13.2" x14ac:dyDescent="0.25">
      <c r="A69" s="47" t="s">
        <v>323</v>
      </c>
      <c r="B69" s="48" t="s">
        <v>324</v>
      </c>
      <c r="C69" s="46">
        <f>BACKUP!C362</f>
        <v>238702</v>
      </c>
      <c r="D69" s="46">
        <f>BACKUP!D362</f>
        <v>238852</v>
      </c>
      <c r="E69" s="46">
        <f>BACKUP!E362</f>
        <v>238944</v>
      </c>
      <c r="F69" s="46">
        <f>BACKUP!F362</f>
        <v>220220</v>
      </c>
      <c r="G69" s="46">
        <f>BACKUP!G362</f>
        <v>226075</v>
      </c>
      <c r="H69" s="46">
        <f>BACKUP!H362</f>
        <v>232744</v>
      </c>
      <c r="I69" s="46">
        <f>BACKUP!I362</f>
        <v>235318</v>
      </c>
      <c r="J69" s="46">
        <f>BACKUP!J362</f>
        <v>235584</v>
      </c>
      <c r="K69" s="46">
        <f>BACKUP!K362</f>
        <v>235684</v>
      </c>
      <c r="L69" s="46">
        <f>BACKUP!L362</f>
        <v>236431</v>
      </c>
      <c r="M69" s="46">
        <f>BACKUP!M362</f>
        <v>239688</v>
      </c>
      <c r="N69" s="46">
        <f>BACKUP!N362</f>
        <v>238935</v>
      </c>
      <c r="O69" s="46">
        <f>BACKUP!O362</f>
        <v>238875</v>
      </c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47" t="str">
        <f t="shared" ref="AA69:AB72" si="35">A69</f>
        <v>D</v>
      </c>
      <c r="AB69" s="48" t="str">
        <f t="shared" si="35"/>
        <v xml:space="preserve">   Deferred Income Taxes</v>
      </c>
      <c r="AC69" s="49">
        <v>105054</v>
      </c>
      <c r="AD69" s="205">
        <f>AC69-175</f>
        <v>104879</v>
      </c>
      <c r="AE69" s="205">
        <f t="shared" ref="AE69:AO69" si="36">AD69-175</f>
        <v>104704</v>
      </c>
      <c r="AF69" s="205">
        <f t="shared" si="36"/>
        <v>104529</v>
      </c>
      <c r="AG69" s="205">
        <f t="shared" si="36"/>
        <v>104354</v>
      </c>
      <c r="AH69" s="205">
        <f t="shared" si="36"/>
        <v>104179</v>
      </c>
      <c r="AI69" s="205">
        <f t="shared" si="36"/>
        <v>104004</v>
      </c>
      <c r="AJ69" s="205">
        <f t="shared" si="36"/>
        <v>103829</v>
      </c>
      <c r="AK69" s="205">
        <f t="shared" si="36"/>
        <v>103654</v>
      </c>
      <c r="AL69" s="205">
        <f t="shared" si="36"/>
        <v>103479</v>
      </c>
      <c r="AM69" s="205">
        <f t="shared" si="36"/>
        <v>103304</v>
      </c>
      <c r="AN69" s="205">
        <f t="shared" si="36"/>
        <v>103129</v>
      </c>
      <c r="AO69" s="205">
        <f t="shared" si="36"/>
        <v>102954</v>
      </c>
      <c r="AP69" s="33"/>
      <c r="AQ69" s="46"/>
      <c r="AR69" s="33"/>
      <c r="BA69" s="47" t="str">
        <f>A69</f>
        <v>D</v>
      </c>
      <c r="BB69" s="48" t="str">
        <f>B69</f>
        <v xml:space="preserve">   Deferred Income Taxes</v>
      </c>
      <c r="BC69" s="206">
        <f t="shared" ref="BC69:BO72" si="37">C69-AC69</f>
        <v>133648</v>
      </c>
      <c r="BD69" s="206">
        <f t="shared" si="37"/>
        <v>133973</v>
      </c>
      <c r="BE69" s="206">
        <f t="shared" si="37"/>
        <v>134240</v>
      </c>
      <c r="BF69" s="206">
        <f t="shared" si="37"/>
        <v>115691</v>
      </c>
      <c r="BG69" s="206">
        <f t="shared" si="37"/>
        <v>121721</v>
      </c>
      <c r="BH69" s="206">
        <f t="shared" si="37"/>
        <v>128565</v>
      </c>
      <c r="BI69" s="206">
        <f t="shared" si="37"/>
        <v>131314</v>
      </c>
      <c r="BJ69" s="206">
        <f t="shared" si="37"/>
        <v>131755</v>
      </c>
      <c r="BK69" s="206">
        <f t="shared" si="37"/>
        <v>132030</v>
      </c>
      <c r="BL69" s="206">
        <f t="shared" si="37"/>
        <v>132952</v>
      </c>
      <c r="BM69" s="206">
        <f t="shared" si="37"/>
        <v>136384</v>
      </c>
      <c r="BN69" s="206">
        <f t="shared" si="37"/>
        <v>135806</v>
      </c>
      <c r="BO69" s="206">
        <f t="shared" si="37"/>
        <v>135921</v>
      </c>
    </row>
    <row r="70" spans="1:67" ht="13.2" x14ac:dyDescent="0.25">
      <c r="A70" s="47" t="s">
        <v>325</v>
      </c>
      <c r="B70" s="48" t="s">
        <v>326</v>
      </c>
      <c r="C70" s="46">
        <f>BACKUP!C411</f>
        <v>0</v>
      </c>
      <c r="D70" s="46">
        <f>BACKUP!D411</f>
        <v>0</v>
      </c>
      <c r="E70" s="46">
        <f>BACKUP!E411</f>
        <v>0</v>
      </c>
      <c r="F70" s="46">
        <f>BACKUP!F411</f>
        <v>0</v>
      </c>
      <c r="G70" s="46">
        <f>BACKUP!G411</f>
        <v>0</v>
      </c>
      <c r="H70" s="46">
        <f>BACKUP!H411</f>
        <v>0</v>
      </c>
      <c r="I70" s="46">
        <f>BACKUP!I411</f>
        <v>0</v>
      </c>
      <c r="J70" s="46">
        <f>BACKUP!J411</f>
        <v>0</v>
      </c>
      <c r="K70" s="46">
        <f>BACKUP!K411</f>
        <v>0</v>
      </c>
      <c r="L70" s="46">
        <f>BACKUP!L411</f>
        <v>0</v>
      </c>
      <c r="M70" s="46">
        <f>BACKUP!M411</f>
        <v>0</v>
      </c>
      <c r="N70" s="46">
        <f>BACKUP!N411</f>
        <v>0</v>
      </c>
      <c r="O70" s="46">
        <f>BACKUP!O411</f>
        <v>0</v>
      </c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47" t="str">
        <f t="shared" si="35"/>
        <v>G</v>
      </c>
      <c r="AB70" s="48" t="str">
        <f t="shared" si="35"/>
        <v xml:space="preserve">   Other Regulatory Liabilities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0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33"/>
      <c r="AQ70" s="33"/>
      <c r="AR70" s="33"/>
      <c r="BA70" s="47" t="str">
        <f>A70</f>
        <v>G</v>
      </c>
      <c r="BB70" s="48" t="str">
        <f>B70</f>
        <v xml:space="preserve">   Other Regulatory Liabilities</v>
      </c>
      <c r="BC70" s="206">
        <f t="shared" si="37"/>
        <v>0</v>
      </c>
      <c r="BD70" s="206">
        <f t="shared" si="37"/>
        <v>0</v>
      </c>
      <c r="BE70" s="206">
        <f t="shared" si="37"/>
        <v>0</v>
      </c>
      <c r="BF70" s="206">
        <f t="shared" si="37"/>
        <v>0</v>
      </c>
      <c r="BG70" s="206">
        <f t="shared" si="37"/>
        <v>0</v>
      </c>
      <c r="BH70" s="206">
        <f t="shared" si="37"/>
        <v>0</v>
      </c>
      <c r="BI70" s="206">
        <f t="shared" si="37"/>
        <v>0</v>
      </c>
      <c r="BJ70" s="206">
        <f t="shared" si="37"/>
        <v>0</v>
      </c>
      <c r="BK70" s="206">
        <f t="shared" si="37"/>
        <v>0</v>
      </c>
      <c r="BL70" s="206">
        <f t="shared" si="37"/>
        <v>0</v>
      </c>
      <c r="BM70" s="206">
        <f t="shared" si="37"/>
        <v>0</v>
      </c>
      <c r="BN70" s="206">
        <f t="shared" si="37"/>
        <v>0</v>
      </c>
      <c r="BO70" s="206">
        <f t="shared" si="37"/>
        <v>0</v>
      </c>
    </row>
    <row r="71" spans="1:67" ht="13.2" x14ac:dyDescent="0.25">
      <c r="A71" s="47" t="s">
        <v>318</v>
      </c>
      <c r="B71" s="58" t="s">
        <v>312</v>
      </c>
      <c r="C71" s="46">
        <f>BACKUP!C434</f>
        <v>0</v>
      </c>
      <c r="D71" s="46">
        <f>BACKUP!D434</f>
        <v>26217</v>
      </c>
      <c r="E71" s="46">
        <f>BACKUP!E434</f>
        <v>17748</v>
      </c>
      <c r="F71" s="46">
        <f>BACKUP!F434</f>
        <v>36081</v>
      </c>
      <c r="G71" s="46">
        <f>BACKUP!G434</f>
        <v>3332</v>
      </c>
      <c r="H71" s="46">
        <f>BACKUP!H434</f>
        <v>0</v>
      </c>
      <c r="I71" s="46">
        <f>BACKUP!I434</f>
        <v>0</v>
      </c>
      <c r="J71" s="46">
        <f>BACKUP!J434</f>
        <v>0</v>
      </c>
      <c r="K71" s="46">
        <f>BACKUP!K434</f>
        <v>0</v>
      </c>
      <c r="L71" s="46">
        <f>BACKUP!L434</f>
        <v>0</v>
      </c>
      <c r="M71" s="46">
        <f>BACKUP!M434</f>
        <v>0</v>
      </c>
      <c r="N71" s="46">
        <f>BACKUP!N434</f>
        <v>0</v>
      </c>
      <c r="O71" s="46">
        <f>BACKUP!O434</f>
        <v>0</v>
      </c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47" t="str">
        <f t="shared" si="35"/>
        <v>F</v>
      </c>
      <c r="AB71" s="48" t="str">
        <f t="shared" si="35"/>
        <v xml:space="preserve">   Liability Price Risk Management</v>
      </c>
      <c r="AC71" s="49">
        <v>0</v>
      </c>
      <c r="AD71" s="49">
        <v>0</v>
      </c>
      <c r="AE71" s="49">
        <v>0</v>
      </c>
      <c r="AF71" s="49">
        <v>0</v>
      </c>
      <c r="AG71" s="49">
        <v>0</v>
      </c>
      <c r="AH71" s="49">
        <v>0</v>
      </c>
      <c r="AI71" s="49">
        <v>0</v>
      </c>
      <c r="AJ71" s="49">
        <v>0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33"/>
      <c r="AQ71" s="46"/>
      <c r="AR71" s="33"/>
      <c r="BA71" s="47" t="str">
        <f>A71</f>
        <v>F</v>
      </c>
      <c r="BB71" s="48" t="str">
        <f>B71</f>
        <v xml:space="preserve">   Liability Price Risk Management</v>
      </c>
      <c r="BC71" s="206">
        <f t="shared" si="37"/>
        <v>0</v>
      </c>
      <c r="BD71" s="206">
        <f t="shared" si="37"/>
        <v>26217</v>
      </c>
      <c r="BE71" s="206">
        <f t="shared" si="37"/>
        <v>17748</v>
      </c>
      <c r="BF71" s="206">
        <f t="shared" si="37"/>
        <v>36081</v>
      </c>
      <c r="BG71" s="206">
        <f t="shared" si="37"/>
        <v>3332</v>
      </c>
      <c r="BH71" s="206">
        <f t="shared" si="37"/>
        <v>0</v>
      </c>
      <c r="BI71" s="206">
        <f t="shared" si="37"/>
        <v>0</v>
      </c>
      <c r="BJ71" s="206">
        <f t="shared" si="37"/>
        <v>0</v>
      </c>
      <c r="BK71" s="206">
        <f t="shared" si="37"/>
        <v>0</v>
      </c>
      <c r="BL71" s="206">
        <f t="shared" si="37"/>
        <v>0</v>
      </c>
      <c r="BM71" s="206">
        <f t="shared" si="37"/>
        <v>0</v>
      </c>
      <c r="BN71" s="206">
        <f t="shared" si="37"/>
        <v>0</v>
      </c>
      <c r="BO71" s="206">
        <f t="shared" si="37"/>
        <v>0</v>
      </c>
    </row>
    <row r="72" spans="1:67" ht="13.2" x14ac:dyDescent="0.25">
      <c r="A72" s="47" t="s">
        <v>320</v>
      </c>
      <c r="B72" s="48" t="s">
        <v>40</v>
      </c>
      <c r="C72" s="50">
        <f>BACKUP!C424</f>
        <v>2661</v>
      </c>
      <c r="D72" s="50">
        <f>BACKUP!D424</f>
        <v>2637</v>
      </c>
      <c r="E72" s="50">
        <f>BACKUP!E424</f>
        <v>2614</v>
      </c>
      <c r="F72" s="50">
        <f>BACKUP!F424</f>
        <v>2592</v>
      </c>
      <c r="G72" s="50">
        <f>BACKUP!G424</f>
        <v>2570</v>
      </c>
      <c r="H72" s="50">
        <f>BACKUP!H424</f>
        <v>2542</v>
      </c>
      <c r="I72" s="50">
        <f>BACKUP!I424</f>
        <v>2520</v>
      </c>
      <c r="J72" s="50">
        <f>BACKUP!J424</f>
        <v>2497</v>
      </c>
      <c r="K72" s="50">
        <f>BACKUP!K424</f>
        <v>2473</v>
      </c>
      <c r="L72" s="50">
        <f>BACKUP!L424</f>
        <v>2449</v>
      </c>
      <c r="M72" s="50">
        <f>BACKUP!M424</f>
        <v>2425</v>
      </c>
      <c r="N72" s="50">
        <f>BACKUP!N424</f>
        <v>2401</v>
      </c>
      <c r="O72" s="50">
        <f>BACKUP!O424</f>
        <v>2377</v>
      </c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47" t="str">
        <f t="shared" si="35"/>
        <v>H</v>
      </c>
      <c r="AB72" s="48" t="str">
        <f t="shared" si="35"/>
        <v xml:space="preserve">   Other</v>
      </c>
      <c r="AC72" s="176">
        <v>0</v>
      </c>
      <c r="AD72" s="176">
        <v>0</v>
      </c>
      <c r="AE72" s="176">
        <v>0</v>
      </c>
      <c r="AF72" s="176">
        <v>0</v>
      </c>
      <c r="AG72" s="176">
        <v>0</v>
      </c>
      <c r="AH72" s="176">
        <v>0</v>
      </c>
      <c r="AI72" s="176">
        <v>0</v>
      </c>
      <c r="AJ72" s="176">
        <v>0</v>
      </c>
      <c r="AK72" s="176">
        <v>0</v>
      </c>
      <c r="AL72" s="176">
        <v>0</v>
      </c>
      <c r="AM72" s="176">
        <v>0</v>
      </c>
      <c r="AN72" s="176">
        <v>0</v>
      </c>
      <c r="AO72" s="176">
        <v>0</v>
      </c>
      <c r="AP72" s="33"/>
      <c r="AQ72" s="46"/>
      <c r="AR72" s="33"/>
      <c r="BA72" s="47" t="str">
        <f>A72</f>
        <v>H</v>
      </c>
      <c r="BB72" s="48" t="str">
        <f>B72</f>
        <v xml:space="preserve">   Other</v>
      </c>
      <c r="BC72" s="51">
        <f t="shared" si="37"/>
        <v>2661</v>
      </c>
      <c r="BD72" s="51">
        <f t="shared" si="37"/>
        <v>2637</v>
      </c>
      <c r="BE72" s="51">
        <f t="shared" si="37"/>
        <v>2614</v>
      </c>
      <c r="BF72" s="51">
        <f t="shared" si="37"/>
        <v>2592</v>
      </c>
      <c r="BG72" s="51">
        <f t="shared" si="37"/>
        <v>2570</v>
      </c>
      <c r="BH72" s="51">
        <f t="shared" si="37"/>
        <v>2542</v>
      </c>
      <c r="BI72" s="51">
        <f t="shared" si="37"/>
        <v>2520</v>
      </c>
      <c r="BJ72" s="51">
        <f t="shared" si="37"/>
        <v>2497</v>
      </c>
      <c r="BK72" s="51">
        <f t="shared" si="37"/>
        <v>2473</v>
      </c>
      <c r="BL72" s="51">
        <f t="shared" si="37"/>
        <v>2449</v>
      </c>
      <c r="BM72" s="51">
        <f t="shared" si="37"/>
        <v>2425</v>
      </c>
      <c r="BN72" s="51">
        <f t="shared" si="37"/>
        <v>2401</v>
      </c>
      <c r="BO72" s="51">
        <f t="shared" si="37"/>
        <v>2377</v>
      </c>
    </row>
    <row r="73" spans="1:67" ht="3.9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</row>
    <row r="74" spans="1:67" ht="13.2" x14ac:dyDescent="0.25">
      <c r="A74" s="30"/>
      <c r="B74" s="31" t="s">
        <v>327</v>
      </c>
      <c r="C74" s="50">
        <f t="shared" ref="C74:O74" si="38">SUM(C69:C73)</f>
        <v>241363</v>
      </c>
      <c r="D74" s="50">
        <f t="shared" si="38"/>
        <v>267706</v>
      </c>
      <c r="E74" s="50">
        <f t="shared" si="38"/>
        <v>259306</v>
      </c>
      <c r="F74" s="50">
        <f t="shared" si="38"/>
        <v>258893</v>
      </c>
      <c r="G74" s="50">
        <f t="shared" si="38"/>
        <v>231977</v>
      </c>
      <c r="H74" s="50">
        <f t="shared" si="38"/>
        <v>235286</v>
      </c>
      <c r="I74" s="50">
        <f t="shared" si="38"/>
        <v>237838</v>
      </c>
      <c r="J74" s="50">
        <f t="shared" si="38"/>
        <v>238081</v>
      </c>
      <c r="K74" s="50">
        <f t="shared" si="38"/>
        <v>238157</v>
      </c>
      <c r="L74" s="50">
        <f t="shared" si="38"/>
        <v>238880</v>
      </c>
      <c r="M74" s="50">
        <f t="shared" si="38"/>
        <v>242113</v>
      </c>
      <c r="N74" s="50">
        <f t="shared" si="38"/>
        <v>241336</v>
      </c>
      <c r="O74" s="50">
        <f t="shared" si="38"/>
        <v>241252</v>
      </c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0"/>
      <c r="AB74" s="31" t="str">
        <f>B74</f>
        <v xml:space="preserve">      Total Deferred Credits &amp; Other Liabilities</v>
      </c>
      <c r="AC74" s="50">
        <f t="shared" ref="AC74:AO74" si="39">SUM(AC69:AC73)</f>
        <v>105054</v>
      </c>
      <c r="AD74" s="50">
        <f t="shared" si="39"/>
        <v>104879</v>
      </c>
      <c r="AE74" s="50">
        <f t="shared" si="39"/>
        <v>104704</v>
      </c>
      <c r="AF74" s="50">
        <f t="shared" si="39"/>
        <v>104529</v>
      </c>
      <c r="AG74" s="50">
        <f t="shared" si="39"/>
        <v>104354</v>
      </c>
      <c r="AH74" s="50">
        <f t="shared" si="39"/>
        <v>104179</v>
      </c>
      <c r="AI74" s="50">
        <f t="shared" si="39"/>
        <v>104004</v>
      </c>
      <c r="AJ74" s="50">
        <f t="shared" si="39"/>
        <v>103829</v>
      </c>
      <c r="AK74" s="50">
        <f t="shared" si="39"/>
        <v>103654</v>
      </c>
      <c r="AL74" s="50">
        <f t="shared" si="39"/>
        <v>103479</v>
      </c>
      <c r="AM74" s="50">
        <f t="shared" si="39"/>
        <v>103304</v>
      </c>
      <c r="AN74" s="50">
        <f t="shared" si="39"/>
        <v>103129</v>
      </c>
      <c r="AO74" s="50">
        <f t="shared" si="39"/>
        <v>102954</v>
      </c>
      <c r="AP74" s="33"/>
      <c r="AQ74" s="46"/>
      <c r="AR74" s="33"/>
      <c r="BA74" s="30"/>
      <c r="BB74" s="31" t="str">
        <f>B74</f>
        <v xml:space="preserve">      Total Deferred Credits &amp; Other Liabilities</v>
      </c>
      <c r="BC74" s="50">
        <f t="shared" ref="BC74:BO74" si="40">SUM(BC69:BC73)</f>
        <v>136309</v>
      </c>
      <c r="BD74" s="50">
        <f t="shared" si="40"/>
        <v>162827</v>
      </c>
      <c r="BE74" s="50">
        <f t="shared" si="40"/>
        <v>154602</v>
      </c>
      <c r="BF74" s="50">
        <f t="shared" si="40"/>
        <v>154364</v>
      </c>
      <c r="BG74" s="50">
        <f t="shared" si="40"/>
        <v>127623</v>
      </c>
      <c r="BH74" s="50">
        <f t="shared" si="40"/>
        <v>131107</v>
      </c>
      <c r="BI74" s="50">
        <f t="shared" si="40"/>
        <v>133834</v>
      </c>
      <c r="BJ74" s="50">
        <f t="shared" si="40"/>
        <v>134252</v>
      </c>
      <c r="BK74" s="50">
        <f t="shared" si="40"/>
        <v>134503</v>
      </c>
      <c r="BL74" s="50">
        <f t="shared" si="40"/>
        <v>135401</v>
      </c>
      <c r="BM74" s="50">
        <f t="shared" si="40"/>
        <v>138809</v>
      </c>
      <c r="BN74" s="50">
        <f t="shared" si="40"/>
        <v>138207</v>
      </c>
      <c r="BO74" s="50">
        <f t="shared" si="40"/>
        <v>138298</v>
      </c>
    </row>
    <row r="75" spans="1:67" ht="13.2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</row>
    <row r="76" spans="1:67" ht="13.2" x14ac:dyDescent="0.25">
      <c r="A76" s="30"/>
      <c r="B76" s="31" t="s">
        <v>328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0"/>
      <c r="AB76" s="31" t="str">
        <f>B76</f>
        <v xml:space="preserve">DEBT </v>
      </c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33"/>
      <c r="AQ76" s="46"/>
      <c r="AR76" s="33"/>
      <c r="BA76" s="30"/>
      <c r="BB76" s="31" t="str">
        <f>B76</f>
        <v xml:space="preserve">DEBT </v>
      </c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</row>
    <row r="77" spans="1:67" ht="13.2" x14ac:dyDescent="0.25">
      <c r="A77" s="47" t="s">
        <v>279</v>
      </c>
      <c r="B77" s="58" t="s">
        <v>329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47" t="str">
        <f t="shared" ref="AA77:AB79" si="41">A77</f>
        <v>I</v>
      </c>
      <c r="AB77" s="48" t="str">
        <f t="shared" si="41"/>
        <v xml:space="preserve">   Payable from Corporate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0</v>
      </c>
      <c r="AN77" s="49">
        <v>0</v>
      </c>
      <c r="AO77" s="49">
        <v>0</v>
      </c>
      <c r="AP77" s="33"/>
      <c r="AQ77" s="46"/>
      <c r="AR77" s="33"/>
      <c r="BA77" s="47" t="str">
        <f>A77</f>
        <v>I</v>
      </c>
      <c r="BB77" s="48" t="str">
        <f>B77</f>
        <v xml:space="preserve">   Payable from Corporate</v>
      </c>
      <c r="BC77" s="206">
        <f t="shared" ref="BC77:BO79" si="42">C77-AC77</f>
        <v>0</v>
      </c>
      <c r="BD77" s="206">
        <f t="shared" si="42"/>
        <v>0</v>
      </c>
      <c r="BE77" s="206">
        <f t="shared" si="42"/>
        <v>0</v>
      </c>
      <c r="BF77" s="206">
        <f t="shared" si="42"/>
        <v>0</v>
      </c>
      <c r="BG77" s="206">
        <f t="shared" si="42"/>
        <v>0</v>
      </c>
      <c r="BH77" s="206">
        <f t="shared" si="42"/>
        <v>0</v>
      </c>
      <c r="BI77" s="206">
        <f t="shared" si="42"/>
        <v>0</v>
      </c>
      <c r="BJ77" s="206">
        <f t="shared" si="42"/>
        <v>0</v>
      </c>
      <c r="BK77" s="206">
        <f t="shared" si="42"/>
        <v>0</v>
      </c>
      <c r="BL77" s="206">
        <f t="shared" si="42"/>
        <v>0</v>
      </c>
      <c r="BM77" s="206">
        <f t="shared" si="42"/>
        <v>0</v>
      </c>
      <c r="BN77" s="206">
        <f t="shared" si="42"/>
        <v>0</v>
      </c>
      <c r="BO77" s="206">
        <f t="shared" si="42"/>
        <v>0</v>
      </c>
    </row>
    <row r="78" spans="1:67" ht="13.2" x14ac:dyDescent="0.25">
      <c r="A78" s="47" t="s">
        <v>330</v>
      </c>
      <c r="B78" s="48" t="s">
        <v>331</v>
      </c>
      <c r="C78" s="46">
        <f>BACKUP!C462-C79</f>
        <v>161600</v>
      </c>
      <c r="D78" s="46">
        <f>BACKUP!D462-D79</f>
        <v>161600</v>
      </c>
      <c r="E78" s="46">
        <f>BACKUP!E462-E79</f>
        <v>161600</v>
      </c>
      <c r="F78" s="46">
        <f>BACKUP!F462-F79</f>
        <v>161600</v>
      </c>
      <c r="G78" s="46">
        <f>BACKUP!G462-G79</f>
        <v>161600</v>
      </c>
      <c r="H78" s="46">
        <f>BACKUP!H462-H79</f>
        <v>161600</v>
      </c>
      <c r="I78" s="46">
        <f>BACKUP!I462-I79</f>
        <v>11600</v>
      </c>
      <c r="J78" s="46">
        <f>BACKUP!J462-J79</f>
        <v>11600</v>
      </c>
      <c r="K78" s="46">
        <f>BACKUP!K462-K79</f>
        <v>11600</v>
      </c>
      <c r="L78" s="46">
        <f>BACKUP!L462-L79</f>
        <v>11600</v>
      </c>
      <c r="M78" s="46">
        <f>BACKUP!M462-M79</f>
        <v>11600</v>
      </c>
      <c r="N78" s="46">
        <f>BACKUP!N462-N79</f>
        <v>7750</v>
      </c>
      <c r="O78" s="46">
        <f>BACKUP!O462-O79</f>
        <v>7750</v>
      </c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47" t="str">
        <f t="shared" si="41"/>
        <v>J</v>
      </c>
      <c r="AB78" s="48" t="str">
        <f t="shared" si="41"/>
        <v xml:space="preserve">   Long-term Debt - External</v>
      </c>
      <c r="AC78" s="49">
        <v>0</v>
      </c>
      <c r="AD78" s="49">
        <v>0</v>
      </c>
      <c r="AE78" s="49">
        <v>0</v>
      </c>
      <c r="AF78" s="49">
        <v>0</v>
      </c>
      <c r="AG78" s="49">
        <v>0</v>
      </c>
      <c r="AH78" s="49">
        <v>0</v>
      </c>
      <c r="AI78" s="49">
        <v>0</v>
      </c>
      <c r="AJ78" s="49">
        <v>0</v>
      </c>
      <c r="AK78" s="49">
        <v>0</v>
      </c>
      <c r="AL78" s="49">
        <v>0</v>
      </c>
      <c r="AM78" s="49">
        <v>0</v>
      </c>
      <c r="AN78" s="49">
        <v>0</v>
      </c>
      <c r="AO78" s="49">
        <v>0</v>
      </c>
      <c r="AP78" s="33"/>
      <c r="AQ78" s="46"/>
      <c r="AR78" s="33"/>
      <c r="BA78" s="47" t="str">
        <f>A78</f>
        <v>J</v>
      </c>
      <c r="BB78" s="48" t="str">
        <f>B78</f>
        <v xml:space="preserve">   Long-term Debt - External</v>
      </c>
      <c r="BC78" s="206">
        <f t="shared" si="42"/>
        <v>161600</v>
      </c>
      <c r="BD78" s="206">
        <f t="shared" si="42"/>
        <v>161600</v>
      </c>
      <c r="BE78" s="206">
        <f t="shared" si="42"/>
        <v>161600</v>
      </c>
      <c r="BF78" s="206">
        <f t="shared" si="42"/>
        <v>161600</v>
      </c>
      <c r="BG78" s="206">
        <f t="shared" si="42"/>
        <v>161600</v>
      </c>
      <c r="BH78" s="206">
        <f t="shared" si="42"/>
        <v>161600</v>
      </c>
      <c r="BI78" s="206">
        <f t="shared" si="42"/>
        <v>11600</v>
      </c>
      <c r="BJ78" s="206">
        <f t="shared" si="42"/>
        <v>11600</v>
      </c>
      <c r="BK78" s="206">
        <f t="shared" si="42"/>
        <v>11600</v>
      </c>
      <c r="BL78" s="206">
        <f t="shared" si="42"/>
        <v>11600</v>
      </c>
      <c r="BM78" s="206">
        <f t="shared" si="42"/>
        <v>11600</v>
      </c>
      <c r="BN78" s="206">
        <f t="shared" si="42"/>
        <v>7750</v>
      </c>
      <c r="BO78" s="206">
        <f t="shared" si="42"/>
        <v>7750</v>
      </c>
    </row>
    <row r="79" spans="1:67" ht="13.2" x14ac:dyDescent="0.25">
      <c r="A79" s="47" t="s">
        <v>330</v>
      </c>
      <c r="B79" s="58" t="s">
        <v>332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47" t="str">
        <f t="shared" si="41"/>
        <v>J</v>
      </c>
      <c r="AB79" s="48" t="str">
        <f t="shared" si="41"/>
        <v xml:space="preserve">                          - Assoc. Companies</v>
      </c>
      <c r="AC79" s="176">
        <v>0</v>
      </c>
      <c r="AD79" s="176">
        <v>0</v>
      </c>
      <c r="AE79" s="176">
        <v>0</v>
      </c>
      <c r="AF79" s="176">
        <v>0</v>
      </c>
      <c r="AG79" s="176">
        <v>0</v>
      </c>
      <c r="AH79" s="176">
        <v>0</v>
      </c>
      <c r="AI79" s="176">
        <v>0</v>
      </c>
      <c r="AJ79" s="176">
        <v>0</v>
      </c>
      <c r="AK79" s="176">
        <v>0</v>
      </c>
      <c r="AL79" s="176">
        <v>0</v>
      </c>
      <c r="AM79" s="176">
        <v>0</v>
      </c>
      <c r="AN79" s="176">
        <v>0</v>
      </c>
      <c r="AO79" s="176">
        <v>0</v>
      </c>
      <c r="AP79" s="33"/>
      <c r="AQ79" s="33"/>
      <c r="AR79" s="33"/>
      <c r="BA79" s="47" t="str">
        <f>A79</f>
        <v>J</v>
      </c>
      <c r="BB79" s="48" t="str">
        <f>B79</f>
        <v xml:space="preserve">                          - Assoc. Companies</v>
      </c>
      <c r="BC79" s="51">
        <f t="shared" si="42"/>
        <v>0</v>
      </c>
      <c r="BD79" s="51">
        <f t="shared" si="42"/>
        <v>0</v>
      </c>
      <c r="BE79" s="51">
        <f t="shared" si="42"/>
        <v>0</v>
      </c>
      <c r="BF79" s="51">
        <f t="shared" si="42"/>
        <v>0</v>
      </c>
      <c r="BG79" s="51">
        <f t="shared" si="42"/>
        <v>0</v>
      </c>
      <c r="BH79" s="51">
        <f t="shared" si="42"/>
        <v>0</v>
      </c>
      <c r="BI79" s="51">
        <f t="shared" si="42"/>
        <v>0</v>
      </c>
      <c r="BJ79" s="51">
        <f t="shared" si="42"/>
        <v>0</v>
      </c>
      <c r="BK79" s="51">
        <f t="shared" si="42"/>
        <v>0</v>
      </c>
      <c r="BL79" s="51">
        <f t="shared" si="42"/>
        <v>0</v>
      </c>
      <c r="BM79" s="51">
        <f t="shared" si="42"/>
        <v>0</v>
      </c>
      <c r="BN79" s="51">
        <f t="shared" si="42"/>
        <v>0</v>
      </c>
      <c r="BO79" s="51">
        <f t="shared" si="42"/>
        <v>0</v>
      </c>
    </row>
    <row r="80" spans="1:67" ht="3.9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</row>
    <row r="81" spans="1:67" ht="13.2" x14ac:dyDescent="0.25">
      <c r="A81" s="30"/>
      <c r="B81" s="31" t="s">
        <v>333</v>
      </c>
      <c r="C81" s="50">
        <f t="shared" ref="C81:O81" si="43">SUM(C77:C80)</f>
        <v>161600</v>
      </c>
      <c r="D81" s="50">
        <f t="shared" si="43"/>
        <v>161600</v>
      </c>
      <c r="E81" s="50">
        <f t="shared" si="43"/>
        <v>161600</v>
      </c>
      <c r="F81" s="50">
        <f t="shared" si="43"/>
        <v>161600</v>
      </c>
      <c r="G81" s="50">
        <f t="shared" si="43"/>
        <v>161600</v>
      </c>
      <c r="H81" s="50">
        <f t="shared" si="43"/>
        <v>161600</v>
      </c>
      <c r="I81" s="50">
        <f t="shared" si="43"/>
        <v>11600</v>
      </c>
      <c r="J81" s="50">
        <f t="shared" si="43"/>
        <v>11600</v>
      </c>
      <c r="K81" s="50">
        <f t="shared" si="43"/>
        <v>11600</v>
      </c>
      <c r="L81" s="50">
        <f t="shared" si="43"/>
        <v>11600</v>
      </c>
      <c r="M81" s="50">
        <f t="shared" si="43"/>
        <v>11600</v>
      </c>
      <c r="N81" s="50">
        <f t="shared" si="43"/>
        <v>7750</v>
      </c>
      <c r="O81" s="50">
        <f t="shared" si="43"/>
        <v>7750</v>
      </c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0"/>
      <c r="AB81" s="31" t="str">
        <f>B81</f>
        <v xml:space="preserve">      Total Debt</v>
      </c>
      <c r="AC81" s="50">
        <f t="shared" ref="AC81:AO81" si="44">SUM(AC77:AC80)</f>
        <v>0</v>
      </c>
      <c r="AD81" s="50">
        <f t="shared" si="44"/>
        <v>0</v>
      </c>
      <c r="AE81" s="50">
        <f t="shared" si="44"/>
        <v>0</v>
      </c>
      <c r="AF81" s="50">
        <f t="shared" si="44"/>
        <v>0</v>
      </c>
      <c r="AG81" s="50">
        <f t="shared" si="44"/>
        <v>0</v>
      </c>
      <c r="AH81" s="50">
        <f t="shared" si="44"/>
        <v>0</v>
      </c>
      <c r="AI81" s="50">
        <f t="shared" si="44"/>
        <v>0</v>
      </c>
      <c r="AJ81" s="50">
        <f t="shared" si="44"/>
        <v>0</v>
      </c>
      <c r="AK81" s="50">
        <f t="shared" si="44"/>
        <v>0</v>
      </c>
      <c r="AL81" s="50">
        <f t="shared" si="44"/>
        <v>0</v>
      </c>
      <c r="AM81" s="50">
        <f t="shared" si="44"/>
        <v>0</v>
      </c>
      <c r="AN81" s="50">
        <f t="shared" si="44"/>
        <v>0</v>
      </c>
      <c r="AO81" s="50">
        <f t="shared" si="44"/>
        <v>0</v>
      </c>
      <c r="AP81" s="33"/>
      <c r="AQ81" s="33"/>
      <c r="AR81" s="33"/>
      <c r="BA81" s="30"/>
      <c r="BB81" s="31" t="str">
        <f>B81</f>
        <v xml:space="preserve">      Total Debt</v>
      </c>
      <c r="BC81" s="50">
        <f t="shared" ref="BC81:BO81" si="45">SUM(BC77:BC80)</f>
        <v>161600</v>
      </c>
      <c r="BD81" s="50">
        <f t="shared" si="45"/>
        <v>161600</v>
      </c>
      <c r="BE81" s="50">
        <f t="shared" si="45"/>
        <v>161600</v>
      </c>
      <c r="BF81" s="50">
        <f t="shared" si="45"/>
        <v>161600</v>
      </c>
      <c r="BG81" s="50">
        <f t="shared" si="45"/>
        <v>161600</v>
      </c>
      <c r="BH81" s="50">
        <f t="shared" si="45"/>
        <v>161600</v>
      </c>
      <c r="BI81" s="50">
        <f t="shared" si="45"/>
        <v>11600</v>
      </c>
      <c r="BJ81" s="50">
        <f t="shared" si="45"/>
        <v>11600</v>
      </c>
      <c r="BK81" s="50">
        <f t="shared" si="45"/>
        <v>11600</v>
      </c>
      <c r="BL81" s="50">
        <f t="shared" si="45"/>
        <v>11600</v>
      </c>
      <c r="BM81" s="50">
        <f t="shared" si="45"/>
        <v>11600</v>
      </c>
      <c r="BN81" s="50">
        <f t="shared" si="45"/>
        <v>7750</v>
      </c>
      <c r="BO81" s="50">
        <f t="shared" si="45"/>
        <v>7750</v>
      </c>
    </row>
    <row r="82" spans="1:67" ht="13.2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</row>
    <row r="83" spans="1:67" ht="13.2" x14ac:dyDescent="0.25">
      <c r="A83" s="30"/>
      <c r="B83" s="31" t="s">
        <v>334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0"/>
      <c r="AB83" s="31" t="str">
        <f>B83</f>
        <v>EQUITY</v>
      </c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BA83" s="30"/>
      <c r="BB83" s="31" t="str">
        <f>B83</f>
        <v>EQUITY</v>
      </c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</row>
    <row r="84" spans="1:67" ht="13.2" x14ac:dyDescent="0.25">
      <c r="A84" s="33"/>
      <c r="B84" s="48" t="s">
        <v>335</v>
      </c>
      <c r="C84" s="49">
        <v>1</v>
      </c>
      <c r="D84" s="157">
        <f t="shared" ref="D84:O84" si="46">C84</f>
        <v>1</v>
      </c>
      <c r="E84" s="157">
        <f t="shared" si="46"/>
        <v>1</v>
      </c>
      <c r="F84" s="157">
        <f t="shared" si="46"/>
        <v>1</v>
      </c>
      <c r="G84" s="157">
        <f t="shared" si="46"/>
        <v>1</v>
      </c>
      <c r="H84" s="157">
        <f t="shared" si="46"/>
        <v>1</v>
      </c>
      <c r="I84" s="157">
        <f t="shared" si="46"/>
        <v>1</v>
      </c>
      <c r="J84" s="157">
        <f t="shared" si="46"/>
        <v>1</v>
      </c>
      <c r="K84" s="157">
        <f t="shared" si="46"/>
        <v>1</v>
      </c>
      <c r="L84" s="157">
        <f t="shared" si="46"/>
        <v>1</v>
      </c>
      <c r="M84" s="157">
        <f t="shared" si="46"/>
        <v>1</v>
      </c>
      <c r="N84" s="157">
        <f t="shared" si="46"/>
        <v>1</v>
      </c>
      <c r="O84" s="157">
        <f t="shared" si="46"/>
        <v>1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48" t="str">
        <f>B84</f>
        <v xml:space="preserve">   Common Stock</v>
      </c>
      <c r="AC84" s="49">
        <v>0</v>
      </c>
      <c r="AD84" s="206">
        <f>AC84</f>
        <v>0</v>
      </c>
      <c r="AE84" s="206">
        <f t="shared" ref="AE84:AO84" si="47">AD84</f>
        <v>0</v>
      </c>
      <c r="AF84" s="206">
        <f t="shared" si="47"/>
        <v>0</v>
      </c>
      <c r="AG84" s="206">
        <f t="shared" si="47"/>
        <v>0</v>
      </c>
      <c r="AH84" s="206">
        <f t="shared" si="47"/>
        <v>0</v>
      </c>
      <c r="AI84" s="206">
        <f t="shared" si="47"/>
        <v>0</v>
      </c>
      <c r="AJ84" s="206">
        <f t="shared" si="47"/>
        <v>0</v>
      </c>
      <c r="AK84" s="206">
        <f t="shared" si="47"/>
        <v>0</v>
      </c>
      <c r="AL84" s="206">
        <f t="shared" si="47"/>
        <v>0</v>
      </c>
      <c r="AM84" s="206">
        <f t="shared" si="47"/>
        <v>0</v>
      </c>
      <c r="AN84" s="206">
        <f t="shared" si="47"/>
        <v>0</v>
      </c>
      <c r="AO84" s="206">
        <f t="shared" si="47"/>
        <v>0</v>
      </c>
      <c r="AP84" s="33"/>
      <c r="AQ84" s="46"/>
      <c r="AR84" s="33"/>
      <c r="BA84" s="33"/>
      <c r="BB84" s="48" t="str">
        <f>B84</f>
        <v xml:space="preserve">   Common Stock</v>
      </c>
      <c r="BC84" s="206">
        <f t="shared" ref="BC84:BO87" si="48">C84-AC84</f>
        <v>1</v>
      </c>
      <c r="BD84" s="206">
        <f t="shared" si="48"/>
        <v>1</v>
      </c>
      <c r="BE84" s="206">
        <f t="shared" si="48"/>
        <v>1</v>
      </c>
      <c r="BF84" s="206">
        <f t="shared" si="48"/>
        <v>1</v>
      </c>
      <c r="BG84" s="206">
        <f t="shared" si="48"/>
        <v>1</v>
      </c>
      <c r="BH84" s="206">
        <f t="shared" si="48"/>
        <v>1</v>
      </c>
      <c r="BI84" s="206">
        <f t="shared" si="48"/>
        <v>1</v>
      </c>
      <c r="BJ84" s="206">
        <f t="shared" si="48"/>
        <v>1</v>
      </c>
      <c r="BK84" s="206">
        <f t="shared" si="48"/>
        <v>1</v>
      </c>
      <c r="BL84" s="206">
        <f t="shared" si="48"/>
        <v>1</v>
      </c>
      <c r="BM84" s="206">
        <f t="shared" si="48"/>
        <v>1</v>
      </c>
      <c r="BN84" s="206">
        <f t="shared" si="48"/>
        <v>1</v>
      </c>
      <c r="BO84" s="206">
        <f t="shared" si="48"/>
        <v>1</v>
      </c>
    </row>
    <row r="85" spans="1:67" ht="13.2" x14ac:dyDescent="0.25">
      <c r="A85" s="33"/>
      <c r="B85" s="48" t="s">
        <v>336</v>
      </c>
      <c r="C85" s="49">
        <v>409191</v>
      </c>
      <c r="D85" s="157">
        <f t="shared" ref="D85:O85" si="49">C85</f>
        <v>409191</v>
      </c>
      <c r="E85" s="157">
        <f t="shared" si="49"/>
        <v>409191</v>
      </c>
      <c r="F85" s="157">
        <f t="shared" si="49"/>
        <v>409191</v>
      </c>
      <c r="G85" s="157">
        <f t="shared" si="49"/>
        <v>409191</v>
      </c>
      <c r="H85" s="157">
        <f t="shared" si="49"/>
        <v>409191</v>
      </c>
      <c r="I85" s="157">
        <f t="shared" si="49"/>
        <v>409191</v>
      </c>
      <c r="J85" s="157">
        <f t="shared" si="49"/>
        <v>409191</v>
      </c>
      <c r="K85" s="157">
        <f t="shared" si="49"/>
        <v>409191</v>
      </c>
      <c r="L85" s="157">
        <f t="shared" si="49"/>
        <v>409191</v>
      </c>
      <c r="M85" s="157">
        <f t="shared" si="49"/>
        <v>409191</v>
      </c>
      <c r="N85" s="157">
        <f t="shared" si="49"/>
        <v>409191</v>
      </c>
      <c r="O85" s="157">
        <f t="shared" si="49"/>
        <v>409191</v>
      </c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48" t="str">
        <f>B85</f>
        <v xml:space="preserve">   Paid-in Capital</v>
      </c>
      <c r="AC85" s="49">
        <v>207835</v>
      </c>
      <c r="AD85" s="206">
        <f>AC85</f>
        <v>207835</v>
      </c>
      <c r="AE85" s="206">
        <f t="shared" ref="AE85:AO85" si="50">AD85</f>
        <v>207835</v>
      </c>
      <c r="AF85" s="206">
        <f t="shared" si="50"/>
        <v>207835</v>
      </c>
      <c r="AG85" s="206">
        <f t="shared" si="50"/>
        <v>207835</v>
      </c>
      <c r="AH85" s="206">
        <f t="shared" si="50"/>
        <v>207835</v>
      </c>
      <c r="AI85" s="206">
        <f t="shared" si="50"/>
        <v>207835</v>
      </c>
      <c r="AJ85" s="206">
        <f t="shared" si="50"/>
        <v>207835</v>
      </c>
      <c r="AK85" s="206">
        <f t="shared" si="50"/>
        <v>207835</v>
      </c>
      <c r="AL85" s="206">
        <f t="shared" si="50"/>
        <v>207835</v>
      </c>
      <c r="AM85" s="206">
        <f t="shared" si="50"/>
        <v>207835</v>
      </c>
      <c r="AN85" s="206">
        <f t="shared" si="50"/>
        <v>207835</v>
      </c>
      <c r="AO85" s="206">
        <f t="shared" si="50"/>
        <v>207835</v>
      </c>
      <c r="AP85" s="33"/>
      <c r="AQ85" s="46"/>
      <c r="AR85" s="33"/>
      <c r="BA85" s="33"/>
      <c r="BB85" s="48" t="str">
        <f>B85</f>
        <v xml:space="preserve">   Paid-in Capital</v>
      </c>
      <c r="BC85" s="206">
        <f t="shared" si="48"/>
        <v>201356</v>
      </c>
      <c r="BD85" s="206">
        <f t="shared" si="48"/>
        <v>201356</v>
      </c>
      <c r="BE85" s="206">
        <f t="shared" si="48"/>
        <v>201356</v>
      </c>
      <c r="BF85" s="206">
        <f t="shared" si="48"/>
        <v>201356</v>
      </c>
      <c r="BG85" s="206">
        <f t="shared" si="48"/>
        <v>201356</v>
      </c>
      <c r="BH85" s="206">
        <f t="shared" si="48"/>
        <v>201356</v>
      </c>
      <c r="BI85" s="206">
        <f t="shared" si="48"/>
        <v>201356</v>
      </c>
      <c r="BJ85" s="206">
        <f t="shared" si="48"/>
        <v>201356</v>
      </c>
      <c r="BK85" s="206">
        <f t="shared" si="48"/>
        <v>201356</v>
      </c>
      <c r="BL85" s="206">
        <f t="shared" si="48"/>
        <v>201356</v>
      </c>
      <c r="BM85" s="206">
        <f t="shared" si="48"/>
        <v>201356</v>
      </c>
      <c r="BN85" s="206">
        <f t="shared" si="48"/>
        <v>201356</v>
      </c>
      <c r="BO85" s="206">
        <f t="shared" si="48"/>
        <v>201356</v>
      </c>
    </row>
    <row r="86" spans="1:67" ht="13.2" x14ac:dyDescent="0.25">
      <c r="A86" s="33"/>
      <c r="B86" s="58" t="s">
        <v>337</v>
      </c>
      <c r="C86" s="157">
        <f>BACKUP!C472+BACKUP!C473</f>
        <v>0</v>
      </c>
      <c r="D86" s="157">
        <f>+C86+BACKUP!D472+BACKUP!D473</f>
        <v>-26217</v>
      </c>
      <c r="E86" s="157">
        <f>+D86+BACKUP!E472+BACKUP!E473</f>
        <v>-17748</v>
      </c>
      <c r="F86" s="157">
        <f>+E86+BACKUP!F472+BACKUP!F473</f>
        <v>-22049</v>
      </c>
      <c r="G86" s="157">
        <f>+F86+BACKUP!G472+BACKUP!G473</f>
        <v>-16071</v>
      </c>
      <c r="H86" s="157">
        <f>+G86+BACKUP!H472+BACKUP!H473</f>
        <v>3038</v>
      </c>
      <c r="I86" s="157">
        <f>+H86+BACKUP!I472+BACKUP!I473</f>
        <v>19953</v>
      </c>
      <c r="J86" s="157">
        <f>+I86+BACKUP!J472+BACKUP!J473</f>
        <v>19452</v>
      </c>
      <c r="K86" s="157">
        <f>+J86+BACKUP!K472+BACKUP!K473</f>
        <v>19452</v>
      </c>
      <c r="L86" s="157">
        <f>+K86+BACKUP!L472+BACKUP!L473</f>
        <v>19452</v>
      </c>
      <c r="M86" s="157">
        <f>+L86+BACKUP!M472+BACKUP!M473</f>
        <v>19452</v>
      </c>
      <c r="N86" s="157">
        <f>+M86+BACKUP!N472+BACKUP!N473</f>
        <v>19452</v>
      </c>
      <c r="O86" s="157">
        <f>+N86+BACKUP!O472+BACKUP!O473</f>
        <v>19452</v>
      </c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48" t="str">
        <f>B86</f>
        <v xml:space="preserve">   Accum. Other Comprehensive Income / (Loss)</v>
      </c>
      <c r="AC86" s="49">
        <v>0</v>
      </c>
      <c r="AD86" s="206">
        <f>AC86</f>
        <v>0</v>
      </c>
      <c r="AE86" s="206">
        <f t="shared" ref="AE86:AO86" si="51">AD86</f>
        <v>0</v>
      </c>
      <c r="AF86" s="206">
        <f t="shared" si="51"/>
        <v>0</v>
      </c>
      <c r="AG86" s="206">
        <f t="shared" si="51"/>
        <v>0</v>
      </c>
      <c r="AH86" s="206">
        <f t="shared" si="51"/>
        <v>0</v>
      </c>
      <c r="AI86" s="206">
        <f t="shared" si="51"/>
        <v>0</v>
      </c>
      <c r="AJ86" s="206">
        <f t="shared" si="51"/>
        <v>0</v>
      </c>
      <c r="AK86" s="206">
        <f t="shared" si="51"/>
        <v>0</v>
      </c>
      <c r="AL86" s="206">
        <f t="shared" si="51"/>
        <v>0</v>
      </c>
      <c r="AM86" s="206">
        <f t="shared" si="51"/>
        <v>0</v>
      </c>
      <c r="AN86" s="206">
        <f t="shared" si="51"/>
        <v>0</v>
      </c>
      <c r="AO86" s="206">
        <f t="shared" si="51"/>
        <v>0</v>
      </c>
      <c r="AP86" s="33"/>
      <c r="AQ86" s="46"/>
      <c r="AR86" s="33"/>
      <c r="BA86" s="33"/>
      <c r="BB86" s="48" t="str">
        <f>B86</f>
        <v xml:space="preserve">   Accum. Other Comprehensive Income / (Loss)</v>
      </c>
      <c r="BC86" s="206">
        <f t="shared" ref="BC86:BO86" si="52">C86-AC86</f>
        <v>0</v>
      </c>
      <c r="BD86" s="206">
        <f t="shared" si="52"/>
        <v>-26217</v>
      </c>
      <c r="BE86" s="206">
        <f t="shared" si="52"/>
        <v>-17748</v>
      </c>
      <c r="BF86" s="206">
        <f t="shared" si="52"/>
        <v>-22049</v>
      </c>
      <c r="BG86" s="206">
        <f t="shared" si="52"/>
        <v>-16071</v>
      </c>
      <c r="BH86" s="206">
        <f t="shared" si="52"/>
        <v>3038</v>
      </c>
      <c r="BI86" s="206">
        <f t="shared" si="52"/>
        <v>19953</v>
      </c>
      <c r="BJ86" s="206">
        <f t="shared" si="52"/>
        <v>19452</v>
      </c>
      <c r="BK86" s="206">
        <f t="shared" si="52"/>
        <v>19452</v>
      </c>
      <c r="BL86" s="206">
        <f t="shared" si="52"/>
        <v>19452</v>
      </c>
      <c r="BM86" s="206">
        <f t="shared" si="52"/>
        <v>19452</v>
      </c>
      <c r="BN86" s="206">
        <f t="shared" si="52"/>
        <v>19452</v>
      </c>
      <c r="BO86" s="206">
        <f t="shared" si="52"/>
        <v>19452</v>
      </c>
    </row>
    <row r="87" spans="1:67" ht="13.2" x14ac:dyDescent="0.25">
      <c r="A87" s="33"/>
      <c r="B87" s="48" t="s">
        <v>338</v>
      </c>
      <c r="C87" s="50">
        <f>BACKUP!C476-C84-C85-C86</f>
        <v>533635</v>
      </c>
      <c r="D87" s="50">
        <f>BACKUP!D476-D84-D85-D86</f>
        <v>540293</v>
      </c>
      <c r="E87" s="50">
        <f>BACKUP!E476-E84-E85-E86</f>
        <v>548833</v>
      </c>
      <c r="F87" s="50">
        <f>BACKUP!F476-F84-F85-F86</f>
        <v>552174</v>
      </c>
      <c r="G87" s="50">
        <f>BACKUP!G476-G84-G85-G86</f>
        <v>560328</v>
      </c>
      <c r="H87" s="50">
        <f>BACKUP!H476-H84-H85-H86</f>
        <v>567906</v>
      </c>
      <c r="I87" s="50">
        <f>BACKUP!I476-I84-I85-I86</f>
        <v>574202</v>
      </c>
      <c r="J87" s="50">
        <f>BACKUP!J476-J84-J85-J86</f>
        <v>581117</v>
      </c>
      <c r="K87" s="50">
        <f>BACKUP!K476-K84-K85-K86</f>
        <v>587569</v>
      </c>
      <c r="L87" s="50">
        <f>BACKUP!L476-L84-L85-L86</f>
        <v>594127</v>
      </c>
      <c r="M87" s="50">
        <f>BACKUP!M476-M84-M85-M86</f>
        <v>600125</v>
      </c>
      <c r="N87" s="50">
        <f>BACKUP!N476-N84-N85-N86</f>
        <v>605611</v>
      </c>
      <c r="O87" s="50">
        <f>BACKUP!O476-O84-O85-O86</f>
        <v>611588</v>
      </c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48" t="str">
        <f>B87</f>
        <v xml:space="preserve">   Retained Earnings</v>
      </c>
      <c r="AC87" s="176">
        <v>-12725</v>
      </c>
      <c r="AD87" s="209">
        <f>AC87-325</f>
        <v>-13050</v>
      </c>
      <c r="AE87" s="209">
        <f t="shared" ref="AE87:AO87" si="53">AD87-325</f>
        <v>-13375</v>
      </c>
      <c r="AF87" s="209">
        <f t="shared" si="53"/>
        <v>-13700</v>
      </c>
      <c r="AG87" s="209">
        <f t="shared" si="53"/>
        <v>-14025</v>
      </c>
      <c r="AH87" s="209">
        <f t="shared" si="53"/>
        <v>-14350</v>
      </c>
      <c r="AI87" s="209">
        <f t="shared" si="53"/>
        <v>-14675</v>
      </c>
      <c r="AJ87" s="209">
        <f t="shared" si="53"/>
        <v>-15000</v>
      </c>
      <c r="AK87" s="209">
        <f t="shared" si="53"/>
        <v>-15325</v>
      </c>
      <c r="AL87" s="209">
        <f t="shared" si="53"/>
        <v>-15650</v>
      </c>
      <c r="AM87" s="209">
        <f t="shared" si="53"/>
        <v>-15975</v>
      </c>
      <c r="AN87" s="209">
        <f t="shared" si="53"/>
        <v>-16300</v>
      </c>
      <c r="AO87" s="209">
        <f t="shared" si="53"/>
        <v>-16625</v>
      </c>
      <c r="AP87" s="33"/>
      <c r="AQ87" s="46"/>
      <c r="AR87" s="33"/>
      <c r="BA87" s="33"/>
      <c r="BB87" s="48" t="str">
        <f>B87</f>
        <v xml:space="preserve">   Retained Earnings</v>
      </c>
      <c r="BC87" s="51">
        <f t="shared" si="48"/>
        <v>546360</v>
      </c>
      <c r="BD87" s="51">
        <f t="shared" si="48"/>
        <v>553343</v>
      </c>
      <c r="BE87" s="51">
        <f t="shared" si="48"/>
        <v>562208</v>
      </c>
      <c r="BF87" s="51">
        <f t="shared" si="48"/>
        <v>565874</v>
      </c>
      <c r="BG87" s="51">
        <f t="shared" si="48"/>
        <v>574353</v>
      </c>
      <c r="BH87" s="51">
        <f t="shared" si="48"/>
        <v>582256</v>
      </c>
      <c r="BI87" s="51">
        <f t="shared" si="48"/>
        <v>588877</v>
      </c>
      <c r="BJ87" s="51">
        <f t="shared" si="48"/>
        <v>596117</v>
      </c>
      <c r="BK87" s="51">
        <f t="shared" si="48"/>
        <v>602894</v>
      </c>
      <c r="BL87" s="51">
        <f t="shared" si="48"/>
        <v>609777</v>
      </c>
      <c r="BM87" s="51">
        <f t="shared" si="48"/>
        <v>616100</v>
      </c>
      <c r="BN87" s="51">
        <f t="shared" si="48"/>
        <v>621911</v>
      </c>
      <c r="BO87" s="51">
        <f t="shared" si="48"/>
        <v>628213</v>
      </c>
    </row>
    <row r="88" spans="1:67" ht="3.9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</row>
    <row r="89" spans="1:67" ht="13.2" x14ac:dyDescent="0.25">
      <c r="A89" s="47" t="s">
        <v>339</v>
      </c>
      <c r="B89" s="31" t="s">
        <v>340</v>
      </c>
      <c r="C89" s="50">
        <f t="shared" ref="C89:O89" si="54">SUM(C84:C88)</f>
        <v>942827</v>
      </c>
      <c r="D89" s="50">
        <f t="shared" si="54"/>
        <v>923268</v>
      </c>
      <c r="E89" s="50">
        <f t="shared" si="54"/>
        <v>940277</v>
      </c>
      <c r="F89" s="50">
        <f t="shared" si="54"/>
        <v>939317</v>
      </c>
      <c r="G89" s="50">
        <f t="shared" si="54"/>
        <v>953449</v>
      </c>
      <c r="H89" s="50">
        <f t="shared" si="54"/>
        <v>980136</v>
      </c>
      <c r="I89" s="50">
        <f t="shared" si="54"/>
        <v>1003347</v>
      </c>
      <c r="J89" s="50">
        <f t="shared" si="54"/>
        <v>1009761</v>
      </c>
      <c r="K89" s="50">
        <f t="shared" si="54"/>
        <v>1016213</v>
      </c>
      <c r="L89" s="50">
        <f t="shared" si="54"/>
        <v>1022771</v>
      </c>
      <c r="M89" s="50">
        <f t="shared" si="54"/>
        <v>1028769</v>
      </c>
      <c r="N89" s="50">
        <f t="shared" si="54"/>
        <v>1034255</v>
      </c>
      <c r="O89" s="50">
        <f t="shared" si="54"/>
        <v>1040232</v>
      </c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47" t="str">
        <f>A89</f>
        <v>K</v>
      </c>
      <c r="AB89" s="31" t="str">
        <f>B89</f>
        <v xml:space="preserve">      Total Equity</v>
      </c>
      <c r="AC89" s="50">
        <f t="shared" ref="AC89:AO89" si="55">SUM(AC84:AC88)</f>
        <v>195110</v>
      </c>
      <c r="AD89" s="50">
        <f t="shared" si="55"/>
        <v>194785</v>
      </c>
      <c r="AE89" s="50">
        <f t="shared" si="55"/>
        <v>194460</v>
      </c>
      <c r="AF89" s="50">
        <f t="shared" si="55"/>
        <v>194135</v>
      </c>
      <c r="AG89" s="50">
        <f t="shared" si="55"/>
        <v>193810</v>
      </c>
      <c r="AH89" s="50">
        <f t="shared" si="55"/>
        <v>193485</v>
      </c>
      <c r="AI89" s="50">
        <f t="shared" si="55"/>
        <v>193160</v>
      </c>
      <c r="AJ89" s="50">
        <f t="shared" si="55"/>
        <v>192835</v>
      </c>
      <c r="AK89" s="50">
        <f t="shared" si="55"/>
        <v>192510</v>
      </c>
      <c r="AL89" s="50">
        <f t="shared" si="55"/>
        <v>192185</v>
      </c>
      <c r="AM89" s="50">
        <f t="shared" si="55"/>
        <v>191860</v>
      </c>
      <c r="AN89" s="50">
        <f t="shared" si="55"/>
        <v>191535</v>
      </c>
      <c r="AO89" s="50">
        <f t="shared" si="55"/>
        <v>191210</v>
      </c>
      <c r="AP89" s="33"/>
      <c r="AQ89" s="46"/>
      <c r="AR89" s="33"/>
      <c r="BA89" s="47" t="str">
        <f>A89</f>
        <v>K</v>
      </c>
      <c r="BB89" s="31" t="str">
        <f>B89</f>
        <v xml:space="preserve">      Total Equity</v>
      </c>
      <c r="BC89" s="50">
        <f t="shared" ref="BC89:BO89" si="56">SUM(BC84:BC88)</f>
        <v>747717</v>
      </c>
      <c r="BD89" s="50">
        <f t="shared" si="56"/>
        <v>728483</v>
      </c>
      <c r="BE89" s="50">
        <f t="shared" si="56"/>
        <v>745817</v>
      </c>
      <c r="BF89" s="50">
        <f t="shared" si="56"/>
        <v>745182</v>
      </c>
      <c r="BG89" s="50">
        <f t="shared" si="56"/>
        <v>759639</v>
      </c>
      <c r="BH89" s="50">
        <f t="shared" si="56"/>
        <v>786651</v>
      </c>
      <c r="BI89" s="50">
        <f t="shared" si="56"/>
        <v>810187</v>
      </c>
      <c r="BJ89" s="50">
        <f t="shared" si="56"/>
        <v>816926</v>
      </c>
      <c r="BK89" s="50">
        <f t="shared" si="56"/>
        <v>823703</v>
      </c>
      <c r="BL89" s="50">
        <f t="shared" si="56"/>
        <v>830586</v>
      </c>
      <c r="BM89" s="50">
        <f t="shared" si="56"/>
        <v>836909</v>
      </c>
      <c r="BN89" s="50">
        <f t="shared" si="56"/>
        <v>842720</v>
      </c>
      <c r="BO89" s="50">
        <f t="shared" si="56"/>
        <v>849022</v>
      </c>
    </row>
    <row r="90" spans="1:67" ht="13.2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</row>
    <row r="91" spans="1:67" ht="13.2" x14ac:dyDescent="0.25">
      <c r="A91" s="33"/>
      <c r="B91" s="33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33"/>
      <c r="AQ91" s="46"/>
      <c r="AR91" s="33"/>
      <c r="BA91" s="33"/>
      <c r="BB91" s="33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</row>
    <row r="92" spans="1:67" ht="13.2" x14ac:dyDescent="0.25">
      <c r="A92" s="30"/>
      <c r="B92" s="31" t="s">
        <v>341</v>
      </c>
      <c r="C92" s="52">
        <f t="shared" ref="C92:O92" si="57">C66+C74+C81+C89</f>
        <v>1372399</v>
      </c>
      <c r="D92" s="52">
        <f t="shared" si="57"/>
        <v>1382503</v>
      </c>
      <c r="E92" s="52">
        <f t="shared" si="57"/>
        <v>1391026</v>
      </c>
      <c r="F92" s="52">
        <f t="shared" si="57"/>
        <v>1416581</v>
      </c>
      <c r="G92" s="52">
        <f t="shared" si="57"/>
        <v>1408881</v>
      </c>
      <c r="H92" s="52">
        <f t="shared" si="57"/>
        <v>1428255</v>
      </c>
      <c r="I92" s="52">
        <f t="shared" si="57"/>
        <v>1295684</v>
      </c>
      <c r="J92" s="52">
        <f t="shared" si="57"/>
        <v>1301499</v>
      </c>
      <c r="K92" s="52">
        <f t="shared" si="57"/>
        <v>1311570</v>
      </c>
      <c r="L92" s="52">
        <f t="shared" si="57"/>
        <v>1323745</v>
      </c>
      <c r="M92" s="52">
        <f t="shared" si="57"/>
        <v>1330903</v>
      </c>
      <c r="N92" s="52">
        <f t="shared" si="57"/>
        <v>1333488</v>
      </c>
      <c r="O92" s="52">
        <f t="shared" si="57"/>
        <v>1338216</v>
      </c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0"/>
      <c r="AB92" s="31" t="str">
        <f>B92</f>
        <v xml:space="preserve">            TOTAL LIABILITIES &amp; EQUITY</v>
      </c>
      <c r="AC92" s="52">
        <f t="shared" ref="AC92:AO92" si="58">AC66+AC74+AC81+AC89</f>
        <v>300164</v>
      </c>
      <c r="AD92" s="52">
        <f t="shared" si="58"/>
        <v>299664</v>
      </c>
      <c r="AE92" s="52">
        <f t="shared" si="58"/>
        <v>299164</v>
      </c>
      <c r="AF92" s="52">
        <f t="shared" si="58"/>
        <v>298664</v>
      </c>
      <c r="AG92" s="52">
        <f t="shared" si="58"/>
        <v>298164</v>
      </c>
      <c r="AH92" s="52">
        <f t="shared" si="58"/>
        <v>297664</v>
      </c>
      <c r="AI92" s="52">
        <f t="shared" si="58"/>
        <v>297164</v>
      </c>
      <c r="AJ92" s="52">
        <f t="shared" si="58"/>
        <v>296664</v>
      </c>
      <c r="AK92" s="52">
        <f t="shared" si="58"/>
        <v>296164</v>
      </c>
      <c r="AL92" s="52">
        <f t="shared" si="58"/>
        <v>295664</v>
      </c>
      <c r="AM92" s="52">
        <f t="shared" si="58"/>
        <v>295164</v>
      </c>
      <c r="AN92" s="52">
        <f t="shared" si="58"/>
        <v>294664</v>
      </c>
      <c r="AO92" s="52">
        <f t="shared" si="58"/>
        <v>294164</v>
      </c>
      <c r="AP92" s="33"/>
      <c r="AQ92" s="46"/>
      <c r="AR92" s="33"/>
      <c r="BA92" s="30"/>
      <c r="BB92" s="31" t="str">
        <f>B92</f>
        <v xml:space="preserve">            TOTAL LIABILITIES &amp; EQUITY</v>
      </c>
      <c r="BC92" s="52">
        <f t="shared" ref="BC92:BO92" si="59">BC66+BC74+BC81+BC89</f>
        <v>1072235</v>
      </c>
      <c r="BD92" s="52">
        <f t="shared" si="59"/>
        <v>1082839</v>
      </c>
      <c r="BE92" s="52">
        <f t="shared" si="59"/>
        <v>1091862</v>
      </c>
      <c r="BF92" s="52">
        <f t="shared" si="59"/>
        <v>1117917</v>
      </c>
      <c r="BG92" s="52">
        <f t="shared" si="59"/>
        <v>1110717</v>
      </c>
      <c r="BH92" s="52">
        <f t="shared" si="59"/>
        <v>1130591</v>
      </c>
      <c r="BI92" s="52">
        <f t="shared" si="59"/>
        <v>998520</v>
      </c>
      <c r="BJ92" s="52">
        <f t="shared" si="59"/>
        <v>1004835</v>
      </c>
      <c r="BK92" s="52">
        <f t="shared" si="59"/>
        <v>1015406</v>
      </c>
      <c r="BL92" s="52">
        <f t="shared" si="59"/>
        <v>1028081</v>
      </c>
      <c r="BM92" s="52">
        <f t="shared" si="59"/>
        <v>1035739</v>
      </c>
      <c r="BN92" s="52">
        <f t="shared" si="59"/>
        <v>1038824</v>
      </c>
      <c r="BO92" s="52">
        <f t="shared" si="59"/>
        <v>1044052</v>
      </c>
    </row>
    <row r="93" spans="1:67" ht="13.2" x14ac:dyDescent="0.25">
      <c r="A93" s="33"/>
      <c r="B93" s="33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33"/>
      <c r="AQ93" s="33"/>
      <c r="AR93" s="33"/>
      <c r="BA93" s="33"/>
      <c r="BB93" s="33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</row>
    <row r="94" spans="1:67" ht="13.2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</row>
    <row r="95" spans="1:67" ht="13.2" x14ac:dyDescent="0.25">
      <c r="A95" s="33"/>
      <c r="B95" s="48" t="s">
        <v>342</v>
      </c>
      <c r="C95" s="46">
        <f t="shared" ref="C95:O95" si="60">C49-C92</f>
        <v>0</v>
      </c>
      <c r="D95" s="46">
        <f t="shared" si="60"/>
        <v>0</v>
      </c>
      <c r="E95" s="46">
        <f t="shared" si="60"/>
        <v>0</v>
      </c>
      <c r="F95" s="46">
        <f t="shared" si="60"/>
        <v>0</v>
      </c>
      <c r="G95" s="46">
        <f t="shared" si="60"/>
        <v>0</v>
      </c>
      <c r="H95" s="46">
        <f t="shared" si="60"/>
        <v>0</v>
      </c>
      <c r="I95" s="46">
        <f t="shared" si="60"/>
        <v>0</v>
      </c>
      <c r="J95" s="46">
        <f t="shared" si="60"/>
        <v>0</v>
      </c>
      <c r="K95" s="46">
        <f t="shared" si="60"/>
        <v>0</v>
      </c>
      <c r="L95" s="46">
        <f t="shared" si="60"/>
        <v>0</v>
      </c>
      <c r="M95" s="46">
        <f t="shared" si="60"/>
        <v>0</v>
      </c>
      <c r="N95" s="46">
        <f t="shared" si="60"/>
        <v>0</v>
      </c>
      <c r="O95" s="46">
        <f t="shared" si="60"/>
        <v>0</v>
      </c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48" t="str">
        <f>B95</f>
        <v xml:space="preserve">      CHECK #</v>
      </c>
      <c r="AC95" s="46">
        <f t="shared" ref="AC95:AO95" si="61">AC49-AC92</f>
        <v>0</v>
      </c>
      <c r="AD95" s="46">
        <f t="shared" si="61"/>
        <v>0</v>
      </c>
      <c r="AE95" s="46">
        <f t="shared" si="61"/>
        <v>0</v>
      </c>
      <c r="AF95" s="46">
        <f t="shared" si="61"/>
        <v>0</v>
      </c>
      <c r="AG95" s="46">
        <f t="shared" si="61"/>
        <v>0</v>
      </c>
      <c r="AH95" s="46">
        <f t="shared" si="61"/>
        <v>0</v>
      </c>
      <c r="AI95" s="46">
        <f t="shared" si="61"/>
        <v>0</v>
      </c>
      <c r="AJ95" s="46">
        <f t="shared" si="61"/>
        <v>0</v>
      </c>
      <c r="AK95" s="46">
        <f t="shared" si="61"/>
        <v>0</v>
      </c>
      <c r="AL95" s="46">
        <f t="shared" si="61"/>
        <v>0</v>
      </c>
      <c r="AM95" s="46">
        <f t="shared" si="61"/>
        <v>0</v>
      </c>
      <c r="AN95" s="46">
        <f t="shared" si="61"/>
        <v>0</v>
      </c>
      <c r="AO95" s="46">
        <f t="shared" si="61"/>
        <v>0</v>
      </c>
      <c r="AP95" s="33"/>
      <c r="AQ95" s="33"/>
      <c r="AR95" s="33"/>
      <c r="BA95" s="33"/>
      <c r="BB95" s="48" t="str">
        <f>B95</f>
        <v xml:space="preserve">      CHECK #</v>
      </c>
      <c r="BC95" s="46">
        <f t="shared" ref="BC95:BO95" si="62">BC49-BC92</f>
        <v>0</v>
      </c>
      <c r="BD95" s="46">
        <f t="shared" si="62"/>
        <v>0</v>
      </c>
      <c r="BE95" s="46">
        <f t="shared" si="62"/>
        <v>0</v>
      </c>
      <c r="BF95" s="46">
        <f t="shared" si="62"/>
        <v>0</v>
      </c>
      <c r="BG95" s="46">
        <f t="shared" si="62"/>
        <v>0</v>
      </c>
      <c r="BH95" s="46">
        <f t="shared" si="62"/>
        <v>0</v>
      </c>
      <c r="BI95" s="46">
        <f t="shared" si="62"/>
        <v>0</v>
      </c>
      <c r="BJ95" s="46">
        <f t="shared" si="62"/>
        <v>0</v>
      </c>
      <c r="BK95" s="46">
        <f t="shared" si="62"/>
        <v>0</v>
      </c>
      <c r="BL95" s="46">
        <f t="shared" si="62"/>
        <v>0</v>
      </c>
      <c r="BM95" s="46">
        <f t="shared" si="62"/>
        <v>0</v>
      </c>
      <c r="BN95" s="46">
        <f t="shared" si="62"/>
        <v>0</v>
      </c>
      <c r="BO95" s="46">
        <f t="shared" si="62"/>
        <v>0</v>
      </c>
    </row>
    <row r="96" spans="1:67" ht="8.1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</row>
    <row r="97" spans="1:44" ht="13.2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</row>
    <row r="98" spans="1:44" ht="13.2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</row>
    <row r="99" spans="1:44" ht="13.2" x14ac:dyDescent="0.25">
      <c r="A99" s="34" t="str">
        <f ca="1">A1</f>
        <v>P:\Finance\2001CE\[TW3rdCECF.xls]BACKUP</v>
      </c>
      <c r="B99" s="30"/>
      <c r="C99" s="30"/>
      <c r="D99" s="30"/>
      <c r="E99" s="30"/>
      <c r="F99" s="170" t="str">
        <f>F1</f>
        <v>TRANSWESTERN PIPELINE GROUP (Including Co. 92)</v>
      </c>
      <c r="G99" s="170"/>
      <c r="H99" s="170"/>
      <c r="I99" s="170"/>
      <c r="J99" s="30"/>
      <c r="K99" s="30"/>
      <c r="L99" s="30"/>
      <c r="M99" s="30"/>
      <c r="N99" s="30"/>
      <c r="O99" s="30"/>
      <c r="P99" s="32">
        <f ca="1">NOW()</f>
        <v>37197.64694421296</v>
      </c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4" t="str">
        <f ca="1">A1</f>
        <v>P:\Finance\2001CE\[TW3rdCECF.xls]BACKUP</v>
      </c>
      <c r="AB99" s="30"/>
      <c r="AC99" s="30"/>
      <c r="AD99" s="30"/>
      <c r="AE99" s="30"/>
      <c r="AF99" s="30" t="str">
        <f>AF1</f>
        <v>FAIR VALUE COMPANY (Co. 92)</v>
      </c>
      <c r="AG99" s="30"/>
      <c r="AH99" s="30"/>
      <c r="AI99" s="30"/>
      <c r="AJ99" s="30"/>
      <c r="AK99" s="30"/>
      <c r="AL99" s="30"/>
      <c r="AM99" s="30"/>
      <c r="AN99" s="30"/>
      <c r="AO99" s="30"/>
      <c r="AP99" s="32">
        <f ca="1">NOW()</f>
        <v>37197.64694421296</v>
      </c>
      <c r="AQ99" s="33"/>
      <c r="AR99" s="33"/>
    </row>
    <row r="100" spans="1:44" ht="13.2" x14ac:dyDescent="0.25">
      <c r="A100" s="59" t="s">
        <v>343</v>
      </c>
      <c r="B100" s="30"/>
      <c r="C100" s="30"/>
      <c r="D100" s="30"/>
      <c r="E100" s="30"/>
      <c r="F100" s="175" t="s">
        <v>344</v>
      </c>
      <c r="G100" s="170"/>
      <c r="H100" s="170"/>
      <c r="I100" s="170"/>
      <c r="J100" s="30"/>
      <c r="K100" s="30"/>
      <c r="L100" s="30"/>
      <c r="M100" s="30"/>
      <c r="N100" s="30"/>
      <c r="O100" s="30"/>
      <c r="P100" s="37">
        <f ca="1">NOW()</f>
        <v>37197.64694421296</v>
      </c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59" t="s">
        <v>345</v>
      </c>
      <c r="AB100" s="30"/>
      <c r="AC100" s="30"/>
      <c r="AD100" s="30"/>
      <c r="AE100" s="30"/>
      <c r="AF100" s="40" t="s">
        <v>346</v>
      </c>
      <c r="AG100" s="30"/>
      <c r="AH100" s="30"/>
      <c r="AI100" s="30"/>
      <c r="AJ100" s="30"/>
      <c r="AK100" s="30"/>
      <c r="AL100" s="30"/>
      <c r="AM100" s="30"/>
      <c r="AN100" s="30"/>
      <c r="AO100" s="30"/>
      <c r="AP100" s="37">
        <f ca="1">NOW()</f>
        <v>37197.64694421296</v>
      </c>
      <c r="AQ100" s="33"/>
      <c r="AR100" s="33"/>
    </row>
    <row r="101" spans="1:44" ht="13.2" x14ac:dyDescent="0.25">
      <c r="A101" s="39"/>
      <c r="B101" s="30"/>
      <c r="C101" s="30"/>
      <c r="D101" s="30"/>
      <c r="E101" s="30"/>
      <c r="F101" s="170" t="str">
        <f>F3</f>
        <v>2001 ACTUAL / ESTIMATE</v>
      </c>
      <c r="G101" s="170"/>
      <c r="H101" s="170"/>
      <c r="I101" s="170"/>
      <c r="J101" s="30"/>
      <c r="K101" s="30"/>
      <c r="L101" s="30"/>
      <c r="M101" s="30"/>
      <c r="N101" s="30"/>
      <c r="O101" s="30"/>
      <c r="P101" s="30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9"/>
      <c r="AB101" s="30"/>
      <c r="AC101" s="30"/>
      <c r="AD101" s="30"/>
      <c r="AE101" s="30"/>
      <c r="AF101" s="30" t="str">
        <f>AF3</f>
        <v>2001 ACTUAL / ESTIMATE</v>
      </c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3"/>
      <c r="AR101" s="33"/>
    </row>
    <row r="102" spans="1:44" ht="13.2" x14ac:dyDescent="0.25">
      <c r="A102" s="30"/>
      <c r="B102" s="30"/>
      <c r="C102" s="30"/>
      <c r="D102" s="30"/>
      <c r="E102" s="30"/>
      <c r="F102" s="170" t="str">
        <f>F4</f>
        <v>(Thousands of Dollars)</v>
      </c>
      <c r="G102" s="170"/>
      <c r="H102" s="170"/>
      <c r="I102" s="170"/>
      <c r="J102" s="30"/>
      <c r="K102" s="30"/>
      <c r="L102" s="30"/>
      <c r="M102" s="30"/>
      <c r="N102" s="30"/>
      <c r="O102" s="30"/>
      <c r="P102" s="30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0"/>
      <c r="AB102" s="30"/>
      <c r="AC102" s="30"/>
      <c r="AD102" s="30"/>
      <c r="AE102" s="30"/>
      <c r="AF102" s="30" t="str">
        <f>AF4</f>
        <v>(Thousands of Dollars)</v>
      </c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3"/>
      <c r="AR102" s="33"/>
    </row>
    <row r="103" spans="1:44" ht="13.2" x14ac:dyDescent="0.25">
      <c r="A103" s="30"/>
      <c r="B103" s="30"/>
      <c r="C103" s="4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3"/>
      <c r="AR103" s="33"/>
    </row>
    <row r="104" spans="1:44" ht="13.2" x14ac:dyDescent="0.25">
      <c r="A104" s="30"/>
      <c r="B104" s="30"/>
      <c r="C104" s="41"/>
      <c r="D104" s="30"/>
      <c r="E104" s="30"/>
      <c r="F104" s="33"/>
      <c r="G104" s="41"/>
      <c r="H104" s="30"/>
      <c r="I104" s="30"/>
      <c r="J104" s="41"/>
      <c r="K104" s="30"/>
      <c r="L104" s="30"/>
      <c r="M104" s="30"/>
      <c r="N104" s="30"/>
      <c r="O104" s="30"/>
      <c r="P104" s="127" t="s">
        <v>347</v>
      </c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0"/>
      <c r="AB104" s="30"/>
      <c r="AC104" s="30"/>
      <c r="AD104" s="30"/>
      <c r="AE104" s="30"/>
      <c r="AF104" s="33"/>
      <c r="AG104" s="41"/>
      <c r="AH104" s="30"/>
      <c r="AI104" s="30"/>
      <c r="AJ104" s="30"/>
      <c r="AK104" s="30"/>
      <c r="AL104" s="30"/>
      <c r="AM104" s="30"/>
      <c r="AN104" s="30"/>
      <c r="AO104" s="30"/>
      <c r="AP104" s="43" t="s">
        <v>347</v>
      </c>
      <c r="AQ104" s="33"/>
      <c r="AR104" s="33"/>
    </row>
    <row r="105" spans="1:44" ht="13.2" x14ac:dyDescent="0.25">
      <c r="A105" s="30"/>
      <c r="B105" s="30"/>
      <c r="C105" s="42" t="str">
        <f t="shared" ref="C105:O105" si="63">C7</f>
        <v>ACTUAL</v>
      </c>
      <c r="D105" s="42" t="str">
        <f t="shared" si="63"/>
        <v>ACT.</v>
      </c>
      <c r="E105" s="42" t="str">
        <f t="shared" si="63"/>
        <v>ACT.</v>
      </c>
      <c r="F105" s="42" t="str">
        <f t="shared" si="63"/>
        <v>ACT.</v>
      </c>
      <c r="G105" s="42" t="str">
        <f t="shared" si="63"/>
        <v>ACT.</v>
      </c>
      <c r="H105" s="42" t="str">
        <f t="shared" si="63"/>
        <v>ACT.</v>
      </c>
      <c r="I105" s="42" t="str">
        <f t="shared" si="63"/>
        <v>ACT.</v>
      </c>
      <c r="J105" s="42" t="str">
        <f t="shared" si="63"/>
        <v>ACT.</v>
      </c>
      <c r="K105" s="42" t="str">
        <f t="shared" si="63"/>
        <v>ACT.</v>
      </c>
      <c r="L105" s="42" t="str">
        <f t="shared" si="63"/>
        <v>3rd CE</v>
      </c>
      <c r="M105" s="42" t="str">
        <f t="shared" si="63"/>
        <v>3rd CE</v>
      </c>
      <c r="N105" s="42" t="str">
        <f t="shared" si="63"/>
        <v>3rd CE</v>
      </c>
      <c r="O105" s="42" t="str">
        <f t="shared" si="63"/>
        <v>3rd CE</v>
      </c>
      <c r="P105" s="127" t="s">
        <v>348</v>
      </c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0"/>
      <c r="AB105" s="30"/>
      <c r="AC105" s="42" t="s">
        <v>7</v>
      </c>
      <c r="AD105" s="42" t="s">
        <v>7</v>
      </c>
      <c r="AE105" s="42" t="s">
        <v>7</v>
      </c>
      <c r="AF105" s="42" t="s">
        <v>7</v>
      </c>
      <c r="AG105" s="42" t="s">
        <v>7</v>
      </c>
      <c r="AH105" s="42" t="s">
        <v>7</v>
      </c>
      <c r="AI105" s="42" t="s">
        <v>7</v>
      </c>
      <c r="AJ105" s="42" t="s">
        <v>7</v>
      </c>
      <c r="AK105" s="42" t="s">
        <v>7</v>
      </c>
      <c r="AL105" s="42" t="s">
        <v>7</v>
      </c>
      <c r="AM105" s="42" t="s">
        <v>7</v>
      </c>
      <c r="AN105" s="42" t="s">
        <v>7</v>
      </c>
      <c r="AO105" s="42" t="s">
        <v>7</v>
      </c>
      <c r="AP105" s="43" t="s">
        <v>348</v>
      </c>
      <c r="AQ105" s="33"/>
      <c r="AR105" s="33"/>
    </row>
    <row r="106" spans="1:44" ht="13.2" x14ac:dyDescent="0.25">
      <c r="A106" s="30"/>
      <c r="B106" s="30"/>
      <c r="C106" s="43" t="str">
        <f t="shared" ref="C106:O106" si="64">C8</f>
        <v xml:space="preserve">BALANCE </v>
      </c>
      <c r="D106" s="43" t="str">
        <f t="shared" si="64"/>
        <v>JAN</v>
      </c>
      <c r="E106" s="43" t="str">
        <f t="shared" si="64"/>
        <v>FEB</v>
      </c>
      <c r="F106" s="43" t="str">
        <f t="shared" si="64"/>
        <v>MAR</v>
      </c>
      <c r="G106" s="43" t="str">
        <f t="shared" si="64"/>
        <v>APR</v>
      </c>
      <c r="H106" s="43" t="str">
        <f t="shared" si="64"/>
        <v>MAY</v>
      </c>
      <c r="I106" s="43" t="str">
        <f t="shared" si="64"/>
        <v>JUN</v>
      </c>
      <c r="J106" s="43" t="str">
        <f t="shared" si="64"/>
        <v>JUL</v>
      </c>
      <c r="K106" s="43" t="str">
        <f t="shared" si="64"/>
        <v>AUG</v>
      </c>
      <c r="L106" s="43" t="str">
        <f t="shared" si="64"/>
        <v>SEP</v>
      </c>
      <c r="M106" s="43" t="str">
        <f t="shared" si="64"/>
        <v>OCT</v>
      </c>
      <c r="N106" s="43" t="str">
        <f t="shared" si="64"/>
        <v>NOV</v>
      </c>
      <c r="O106" s="43" t="str">
        <f t="shared" si="64"/>
        <v>DEC</v>
      </c>
      <c r="P106" s="42">
        <f>O9</f>
        <v>2001</v>
      </c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0"/>
      <c r="AB106" s="30"/>
      <c r="AC106" s="43" t="s">
        <v>24</v>
      </c>
      <c r="AD106" s="43" t="s">
        <v>13</v>
      </c>
      <c r="AE106" s="43" t="s">
        <v>14</v>
      </c>
      <c r="AF106" s="43" t="s">
        <v>15</v>
      </c>
      <c r="AG106" s="43" t="s">
        <v>16</v>
      </c>
      <c r="AH106" s="43" t="s">
        <v>17</v>
      </c>
      <c r="AI106" s="43" t="s">
        <v>349</v>
      </c>
      <c r="AJ106" s="43" t="s">
        <v>19</v>
      </c>
      <c r="AK106" s="43" t="s">
        <v>20</v>
      </c>
      <c r="AL106" s="43" t="s">
        <v>21</v>
      </c>
      <c r="AM106" s="43" t="s">
        <v>22</v>
      </c>
      <c r="AN106" s="43" t="s">
        <v>23</v>
      </c>
      <c r="AO106" s="43" t="s">
        <v>24</v>
      </c>
      <c r="AP106" s="43" t="s">
        <v>350</v>
      </c>
      <c r="AQ106" s="33"/>
      <c r="AR106" s="33"/>
    </row>
    <row r="107" spans="1:44" ht="13.2" x14ac:dyDescent="0.25">
      <c r="A107" s="30"/>
      <c r="B107" s="30"/>
      <c r="C107" s="44" t="str">
        <f t="shared" ref="C107:O107" si="65">C9</f>
        <v>12/31/00</v>
      </c>
      <c r="D107" s="44">
        <f t="shared" si="65"/>
        <v>2001</v>
      </c>
      <c r="E107" s="44">
        <f t="shared" si="65"/>
        <v>2001</v>
      </c>
      <c r="F107" s="44">
        <f t="shared" si="65"/>
        <v>2001</v>
      </c>
      <c r="G107" s="44">
        <f t="shared" si="65"/>
        <v>2001</v>
      </c>
      <c r="H107" s="44">
        <f t="shared" si="65"/>
        <v>2001</v>
      </c>
      <c r="I107" s="44">
        <f t="shared" si="65"/>
        <v>2001</v>
      </c>
      <c r="J107" s="44">
        <f t="shared" si="65"/>
        <v>2001</v>
      </c>
      <c r="K107" s="44">
        <f t="shared" si="65"/>
        <v>2001</v>
      </c>
      <c r="L107" s="44">
        <f t="shared" si="65"/>
        <v>2001</v>
      </c>
      <c r="M107" s="44">
        <f t="shared" si="65"/>
        <v>2001</v>
      </c>
      <c r="N107" s="44">
        <f t="shared" si="65"/>
        <v>2001</v>
      </c>
      <c r="O107" s="44">
        <f t="shared" si="65"/>
        <v>2001</v>
      </c>
      <c r="P107" s="55" t="s">
        <v>351</v>
      </c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0"/>
      <c r="AB107" s="30"/>
      <c r="AC107" s="45" t="s">
        <v>352</v>
      </c>
      <c r="AD107" s="45" t="s">
        <v>350</v>
      </c>
      <c r="AE107" s="45" t="s">
        <v>350</v>
      </c>
      <c r="AF107" s="45" t="s">
        <v>350</v>
      </c>
      <c r="AG107" s="45" t="s">
        <v>350</v>
      </c>
      <c r="AH107" s="45" t="s">
        <v>350</v>
      </c>
      <c r="AI107" s="45" t="s">
        <v>350</v>
      </c>
      <c r="AJ107" s="45" t="s">
        <v>350</v>
      </c>
      <c r="AK107" s="45" t="s">
        <v>350</v>
      </c>
      <c r="AL107" s="45" t="s">
        <v>350</v>
      </c>
      <c r="AM107" s="45" t="s">
        <v>350</v>
      </c>
      <c r="AN107" s="45" t="s">
        <v>350</v>
      </c>
      <c r="AO107" s="45" t="s">
        <v>350</v>
      </c>
      <c r="AP107" s="45" t="s">
        <v>353</v>
      </c>
      <c r="AQ107" s="33"/>
      <c r="AR107" s="33"/>
    </row>
    <row r="108" spans="1:44" ht="6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</row>
    <row r="109" spans="1:44" ht="13.2" x14ac:dyDescent="0.25">
      <c r="A109" s="30"/>
      <c r="B109" s="31" t="s">
        <v>354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0"/>
      <c r="AB109" s="31" t="s">
        <v>354</v>
      </c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33"/>
      <c r="AQ109" s="33"/>
      <c r="AR109" s="33"/>
    </row>
    <row r="110" spans="1:44" ht="13.2" x14ac:dyDescent="0.25">
      <c r="A110" s="30"/>
      <c r="B110" s="31" t="s">
        <v>355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0"/>
      <c r="AB110" s="31" t="s">
        <v>355</v>
      </c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</row>
    <row r="111" spans="1:44" ht="13.2" x14ac:dyDescent="0.25">
      <c r="A111" s="33"/>
      <c r="B111" s="48" t="s">
        <v>356</v>
      </c>
      <c r="C111" s="46">
        <f t="shared" ref="C111:O111" si="66">C12</f>
        <v>4</v>
      </c>
      <c r="D111" s="46">
        <f t="shared" si="66"/>
        <v>4</v>
      </c>
      <c r="E111" s="46">
        <f t="shared" si="66"/>
        <v>4</v>
      </c>
      <c r="F111" s="46">
        <f t="shared" si="66"/>
        <v>4</v>
      </c>
      <c r="G111" s="46">
        <f t="shared" si="66"/>
        <v>4</v>
      </c>
      <c r="H111" s="46">
        <f t="shared" si="66"/>
        <v>4</v>
      </c>
      <c r="I111" s="46">
        <f t="shared" si="66"/>
        <v>4</v>
      </c>
      <c r="J111" s="46">
        <f t="shared" si="66"/>
        <v>3</v>
      </c>
      <c r="K111" s="46">
        <f t="shared" si="66"/>
        <v>3</v>
      </c>
      <c r="L111" s="46">
        <f t="shared" si="66"/>
        <v>3</v>
      </c>
      <c r="M111" s="46">
        <f t="shared" si="66"/>
        <v>3</v>
      </c>
      <c r="N111" s="46">
        <f t="shared" si="66"/>
        <v>3</v>
      </c>
      <c r="O111" s="46">
        <f t="shared" si="66"/>
        <v>3</v>
      </c>
      <c r="P111" s="46">
        <f t="shared" ref="P111:P118" si="67">ROUND(SUM(C111:O111)/13,0)</f>
        <v>4</v>
      </c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48" t="s">
        <v>356</v>
      </c>
      <c r="AC111" s="46">
        <f t="shared" ref="AC111:AO111" si="68">AC12</f>
        <v>0</v>
      </c>
      <c r="AD111" s="46">
        <f t="shared" si="68"/>
        <v>0</v>
      </c>
      <c r="AE111" s="46">
        <f t="shared" si="68"/>
        <v>0</v>
      </c>
      <c r="AF111" s="46">
        <f t="shared" si="68"/>
        <v>0</v>
      </c>
      <c r="AG111" s="46">
        <f t="shared" si="68"/>
        <v>0</v>
      </c>
      <c r="AH111" s="46">
        <f t="shared" si="68"/>
        <v>0</v>
      </c>
      <c r="AI111" s="46">
        <f t="shared" si="68"/>
        <v>0</v>
      </c>
      <c r="AJ111" s="46">
        <f t="shared" si="68"/>
        <v>0</v>
      </c>
      <c r="AK111" s="46">
        <f t="shared" si="68"/>
        <v>0</v>
      </c>
      <c r="AL111" s="46">
        <f t="shared" si="68"/>
        <v>0</v>
      </c>
      <c r="AM111" s="46">
        <f t="shared" si="68"/>
        <v>0</v>
      </c>
      <c r="AN111" s="46">
        <f t="shared" si="68"/>
        <v>0</v>
      </c>
      <c r="AO111" s="46">
        <f t="shared" si="68"/>
        <v>0</v>
      </c>
      <c r="AP111" s="46">
        <f t="shared" ref="AP111:AP118" si="69">ROUND(SUM(AC111:AO111)/13,0)</f>
        <v>0</v>
      </c>
      <c r="AQ111" s="33"/>
      <c r="AR111" s="33"/>
    </row>
    <row r="112" spans="1:44" ht="13.2" x14ac:dyDescent="0.25">
      <c r="A112" s="33"/>
      <c r="B112" s="48" t="s">
        <v>357</v>
      </c>
      <c r="C112" s="46">
        <f t="shared" ref="C112:O112" si="70">C13</f>
        <v>7581</v>
      </c>
      <c r="D112" s="46">
        <f t="shared" si="70"/>
        <v>6648</v>
      </c>
      <c r="E112" s="46">
        <f t="shared" si="70"/>
        <v>7120</v>
      </c>
      <c r="F112" s="46">
        <f t="shared" si="70"/>
        <v>21572</v>
      </c>
      <c r="G112" s="46">
        <f t="shared" si="70"/>
        <v>17146</v>
      </c>
      <c r="H112" s="46">
        <f t="shared" si="70"/>
        <v>19651</v>
      </c>
      <c r="I112" s="46">
        <f t="shared" si="70"/>
        <v>8677</v>
      </c>
      <c r="J112" s="46">
        <f t="shared" si="70"/>
        <v>20275</v>
      </c>
      <c r="K112" s="46">
        <f t="shared" si="70"/>
        <v>20296</v>
      </c>
      <c r="L112" s="46">
        <f t="shared" si="70"/>
        <v>23229</v>
      </c>
      <c r="M112" s="46">
        <f t="shared" si="70"/>
        <v>23196</v>
      </c>
      <c r="N112" s="46">
        <f t="shared" si="70"/>
        <v>22347</v>
      </c>
      <c r="O112" s="46">
        <f t="shared" si="70"/>
        <v>22942</v>
      </c>
      <c r="P112" s="46">
        <f t="shared" si="67"/>
        <v>16975</v>
      </c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48" t="s">
        <v>357</v>
      </c>
      <c r="AC112" s="46">
        <f t="shared" ref="AC112:AO112" si="71">AC13</f>
        <v>0</v>
      </c>
      <c r="AD112" s="46">
        <f t="shared" si="71"/>
        <v>0</v>
      </c>
      <c r="AE112" s="46">
        <f t="shared" si="71"/>
        <v>0</v>
      </c>
      <c r="AF112" s="46">
        <f t="shared" si="71"/>
        <v>0</v>
      </c>
      <c r="AG112" s="46">
        <f t="shared" si="71"/>
        <v>0</v>
      </c>
      <c r="AH112" s="46">
        <f t="shared" si="71"/>
        <v>0</v>
      </c>
      <c r="AI112" s="46">
        <f t="shared" si="71"/>
        <v>0</v>
      </c>
      <c r="AJ112" s="46">
        <f t="shared" si="71"/>
        <v>0</v>
      </c>
      <c r="AK112" s="46">
        <f t="shared" si="71"/>
        <v>0</v>
      </c>
      <c r="AL112" s="46">
        <f t="shared" si="71"/>
        <v>0</v>
      </c>
      <c r="AM112" s="46">
        <f t="shared" si="71"/>
        <v>0</v>
      </c>
      <c r="AN112" s="46">
        <f t="shared" si="71"/>
        <v>0</v>
      </c>
      <c r="AO112" s="46">
        <f t="shared" si="71"/>
        <v>0</v>
      </c>
      <c r="AP112" s="46">
        <f t="shared" si="69"/>
        <v>0</v>
      </c>
      <c r="AQ112" s="33"/>
      <c r="AR112" s="33"/>
    </row>
    <row r="113" spans="1:44" ht="13.2" x14ac:dyDescent="0.25">
      <c r="A113" s="33"/>
      <c r="B113" s="58" t="s">
        <v>358</v>
      </c>
      <c r="C113" s="46">
        <f t="shared" ref="C113:O113" si="72">C14</f>
        <v>524956</v>
      </c>
      <c r="D113" s="46">
        <f t="shared" si="72"/>
        <v>541799</v>
      </c>
      <c r="E113" s="46">
        <f t="shared" si="72"/>
        <v>560015</v>
      </c>
      <c r="F113" s="46">
        <f t="shared" si="72"/>
        <v>579696</v>
      </c>
      <c r="G113" s="46">
        <f t="shared" si="72"/>
        <v>591337</v>
      </c>
      <c r="H113" s="46">
        <f t="shared" si="72"/>
        <v>587311</v>
      </c>
      <c r="I113" s="46">
        <f t="shared" si="72"/>
        <v>460025</v>
      </c>
      <c r="J113" s="46">
        <f t="shared" si="72"/>
        <v>461271</v>
      </c>
      <c r="K113" s="46">
        <f t="shared" si="72"/>
        <v>476871</v>
      </c>
      <c r="L113" s="46">
        <f t="shared" si="72"/>
        <v>478771</v>
      </c>
      <c r="M113" s="46">
        <f t="shared" si="72"/>
        <v>484471</v>
      </c>
      <c r="N113" s="46">
        <f t="shared" si="72"/>
        <v>484271</v>
      </c>
      <c r="O113" s="46">
        <f t="shared" si="72"/>
        <v>484071</v>
      </c>
      <c r="P113" s="46">
        <f t="shared" si="67"/>
        <v>516528</v>
      </c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48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33"/>
      <c r="AR113" s="33"/>
    </row>
    <row r="114" spans="1:44" ht="13.2" x14ac:dyDescent="0.25">
      <c r="A114" s="33"/>
      <c r="B114" s="48" t="s">
        <v>359</v>
      </c>
      <c r="C114" s="46">
        <f t="shared" ref="C114:O114" si="73">C16+C17</f>
        <v>4134</v>
      </c>
      <c r="D114" s="46">
        <f t="shared" si="73"/>
        <v>4127</v>
      </c>
      <c r="E114" s="46">
        <f t="shared" si="73"/>
        <v>4133</v>
      </c>
      <c r="F114" s="46">
        <f t="shared" si="73"/>
        <v>4106</v>
      </c>
      <c r="G114" s="46">
        <f t="shared" si="73"/>
        <v>4138</v>
      </c>
      <c r="H114" s="46">
        <f t="shared" si="73"/>
        <v>4116</v>
      </c>
      <c r="I114" s="46">
        <f t="shared" si="73"/>
        <v>8592</v>
      </c>
      <c r="J114" s="46">
        <f t="shared" si="73"/>
        <v>9416</v>
      </c>
      <c r="K114" s="46">
        <f t="shared" si="73"/>
        <v>9416</v>
      </c>
      <c r="L114" s="46">
        <f t="shared" si="73"/>
        <v>9416</v>
      </c>
      <c r="M114" s="46">
        <f t="shared" si="73"/>
        <v>9416</v>
      </c>
      <c r="N114" s="46">
        <f t="shared" si="73"/>
        <v>9416</v>
      </c>
      <c r="O114" s="46">
        <f t="shared" si="73"/>
        <v>9416</v>
      </c>
      <c r="P114" s="46">
        <f t="shared" si="67"/>
        <v>6911</v>
      </c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48" t="s">
        <v>359</v>
      </c>
      <c r="AC114" s="46">
        <f t="shared" ref="AC114:AO114" si="74">AC16+AC17</f>
        <v>0</v>
      </c>
      <c r="AD114" s="46">
        <f t="shared" si="74"/>
        <v>0</v>
      </c>
      <c r="AE114" s="46">
        <f t="shared" si="74"/>
        <v>0</v>
      </c>
      <c r="AF114" s="46">
        <f t="shared" si="74"/>
        <v>0</v>
      </c>
      <c r="AG114" s="46">
        <f t="shared" si="74"/>
        <v>0</v>
      </c>
      <c r="AH114" s="46">
        <f t="shared" si="74"/>
        <v>0</v>
      </c>
      <c r="AI114" s="46">
        <f t="shared" si="74"/>
        <v>0</v>
      </c>
      <c r="AJ114" s="46">
        <f t="shared" si="74"/>
        <v>0</v>
      </c>
      <c r="AK114" s="46">
        <f t="shared" si="74"/>
        <v>0</v>
      </c>
      <c r="AL114" s="46">
        <f t="shared" si="74"/>
        <v>0</v>
      </c>
      <c r="AM114" s="46">
        <f t="shared" si="74"/>
        <v>0</v>
      </c>
      <c r="AN114" s="46">
        <f t="shared" si="74"/>
        <v>0</v>
      </c>
      <c r="AO114" s="46">
        <f t="shared" si="74"/>
        <v>0</v>
      </c>
      <c r="AP114" s="46">
        <f t="shared" si="69"/>
        <v>0</v>
      </c>
      <c r="AQ114" s="33"/>
      <c r="AR114" s="33"/>
    </row>
    <row r="115" spans="1:44" ht="13.2" x14ac:dyDescent="0.25">
      <c r="A115" s="33"/>
      <c r="B115" s="48" t="s">
        <v>360</v>
      </c>
      <c r="C115" s="46">
        <f t="shared" ref="C115:O115" si="75">C18-C59+C19+C20+C22</f>
        <v>4724</v>
      </c>
      <c r="D115" s="46">
        <f t="shared" si="75"/>
        <v>5494</v>
      </c>
      <c r="E115" s="46">
        <f t="shared" si="75"/>
        <v>7030</v>
      </c>
      <c r="F115" s="46">
        <f t="shared" si="75"/>
        <v>3800</v>
      </c>
      <c r="G115" s="46">
        <f t="shared" si="75"/>
        <v>3613</v>
      </c>
      <c r="H115" s="46">
        <f t="shared" si="75"/>
        <v>3689</v>
      </c>
      <c r="I115" s="46">
        <f t="shared" si="75"/>
        <v>3071</v>
      </c>
      <c r="J115" s="46">
        <f t="shared" si="75"/>
        <v>1353</v>
      </c>
      <c r="K115" s="46">
        <f t="shared" si="75"/>
        <v>1353</v>
      </c>
      <c r="L115" s="46">
        <f t="shared" si="75"/>
        <v>1353</v>
      </c>
      <c r="M115" s="46">
        <f t="shared" si="75"/>
        <v>1353</v>
      </c>
      <c r="N115" s="46">
        <f t="shared" si="75"/>
        <v>1353</v>
      </c>
      <c r="O115" s="46">
        <f t="shared" si="75"/>
        <v>1509</v>
      </c>
      <c r="P115" s="46">
        <f t="shared" si="67"/>
        <v>3053</v>
      </c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48" t="s">
        <v>360</v>
      </c>
      <c r="AC115" s="46">
        <f t="shared" ref="AC115:AO115" si="76">AC18-AC59+AC19+AC20+AC22</f>
        <v>0</v>
      </c>
      <c r="AD115" s="46">
        <f t="shared" si="76"/>
        <v>0</v>
      </c>
      <c r="AE115" s="46">
        <f t="shared" si="76"/>
        <v>0</v>
      </c>
      <c r="AF115" s="46">
        <f t="shared" si="76"/>
        <v>0</v>
      </c>
      <c r="AG115" s="46">
        <f t="shared" si="76"/>
        <v>0</v>
      </c>
      <c r="AH115" s="46">
        <f t="shared" si="76"/>
        <v>0</v>
      </c>
      <c r="AI115" s="46">
        <f t="shared" si="76"/>
        <v>0</v>
      </c>
      <c r="AJ115" s="46">
        <f t="shared" si="76"/>
        <v>0</v>
      </c>
      <c r="AK115" s="46">
        <f t="shared" si="76"/>
        <v>0</v>
      </c>
      <c r="AL115" s="46">
        <f t="shared" si="76"/>
        <v>0</v>
      </c>
      <c r="AM115" s="46">
        <f t="shared" si="76"/>
        <v>0</v>
      </c>
      <c r="AN115" s="46">
        <f t="shared" si="76"/>
        <v>0</v>
      </c>
      <c r="AO115" s="46">
        <f t="shared" si="76"/>
        <v>0</v>
      </c>
      <c r="AP115" s="46">
        <f t="shared" si="69"/>
        <v>0</v>
      </c>
      <c r="AQ115" s="33"/>
      <c r="AR115" s="33"/>
    </row>
    <row r="116" spans="1:44" ht="13.2" x14ac:dyDescent="0.25">
      <c r="A116" s="33"/>
      <c r="B116" s="48" t="s">
        <v>361</v>
      </c>
      <c r="C116" s="46">
        <f t="shared" ref="C116:O116" si="77">C38</f>
        <v>882743</v>
      </c>
      <c r="D116" s="46">
        <f t="shared" si="77"/>
        <v>881636</v>
      </c>
      <c r="E116" s="46">
        <f t="shared" si="77"/>
        <v>879479</v>
      </c>
      <c r="F116" s="46">
        <f t="shared" si="77"/>
        <v>878728</v>
      </c>
      <c r="G116" s="46">
        <f t="shared" si="77"/>
        <v>879881</v>
      </c>
      <c r="H116" s="46">
        <f t="shared" si="77"/>
        <v>894312</v>
      </c>
      <c r="I116" s="46">
        <f t="shared" si="77"/>
        <v>896096</v>
      </c>
      <c r="J116" s="46">
        <f t="shared" si="77"/>
        <v>895641</v>
      </c>
      <c r="K116" s="46">
        <f t="shared" si="77"/>
        <v>895956</v>
      </c>
      <c r="L116" s="46">
        <f t="shared" si="77"/>
        <v>907363</v>
      </c>
      <c r="M116" s="46">
        <f t="shared" si="77"/>
        <v>911444</v>
      </c>
      <c r="N116" s="46">
        <f t="shared" si="77"/>
        <v>921461</v>
      </c>
      <c r="O116" s="46">
        <f t="shared" si="77"/>
        <v>931124</v>
      </c>
      <c r="P116" s="46">
        <f t="shared" si="67"/>
        <v>896605</v>
      </c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48" t="s">
        <v>361</v>
      </c>
      <c r="AC116" s="46">
        <f t="shared" ref="AC116:AO116" si="78">AC38</f>
        <v>300169</v>
      </c>
      <c r="AD116" s="46">
        <f t="shared" si="78"/>
        <v>299669</v>
      </c>
      <c r="AE116" s="46">
        <f t="shared" si="78"/>
        <v>299169</v>
      </c>
      <c r="AF116" s="46">
        <f t="shared" si="78"/>
        <v>298669</v>
      </c>
      <c r="AG116" s="46">
        <f t="shared" si="78"/>
        <v>298169</v>
      </c>
      <c r="AH116" s="46">
        <f t="shared" si="78"/>
        <v>297669</v>
      </c>
      <c r="AI116" s="46">
        <f t="shared" si="78"/>
        <v>297169</v>
      </c>
      <c r="AJ116" s="46">
        <f t="shared" si="78"/>
        <v>296669</v>
      </c>
      <c r="AK116" s="46">
        <f t="shared" si="78"/>
        <v>296169</v>
      </c>
      <c r="AL116" s="46">
        <f t="shared" si="78"/>
        <v>295669</v>
      </c>
      <c r="AM116" s="46">
        <f t="shared" si="78"/>
        <v>295169</v>
      </c>
      <c r="AN116" s="46">
        <f t="shared" si="78"/>
        <v>294669</v>
      </c>
      <c r="AO116" s="46">
        <f t="shared" si="78"/>
        <v>294169</v>
      </c>
      <c r="AP116" s="46">
        <f t="shared" si="69"/>
        <v>297169</v>
      </c>
      <c r="AQ116" s="33"/>
      <c r="AR116" s="33"/>
    </row>
    <row r="117" spans="1:44" ht="13.2" x14ac:dyDescent="0.25">
      <c r="A117" s="33"/>
      <c r="B117" s="48" t="s">
        <v>362</v>
      </c>
      <c r="C117" s="46">
        <f t="shared" ref="C117:O117" si="79">C32</f>
        <v>0</v>
      </c>
      <c r="D117" s="46">
        <f t="shared" si="79"/>
        <v>128</v>
      </c>
      <c r="E117" s="46">
        <f t="shared" si="79"/>
        <v>128</v>
      </c>
      <c r="F117" s="46">
        <f t="shared" si="79"/>
        <v>128</v>
      </c>
      <c r="G117" s="46">
        <f t="shared" si="79"/>
        <v>86</v>
      </c>
      <c r="H117" s="46">
        <f t="shared" si="79"/>
        <v>10987</v>
      </c>
      <c r="I117" s="46">
        <f t="shared" si="79"/>
        <v>15539</v>
      </c>
      <c r="J117" s="46">
        <f t="shared" si="79"/>
        <v>14193</v>
      </c>
      <c r="K117" s="46">
        <f t="shared" si="79"/>
        <v>14193</v>
      </c>
      <c r="L117" s="46">
        <f t="shared" si="79"/>
        <v>14193</v>
      </c>
      <c r="M117" s="46">
        <f t="shared" si="79"/>
        <v>14193</v>
      </c>
      <c r="N117" s="46">
        <f t="shared" si="79"/>
        <v>14193</v>
      </c>
      <c r="O117" s="46">
        <f t="shared" si="79"/>
        <v>14193</v>
      </c>
      <c r="P117" s="46">
        <f t="shared" si="67"/>
        <v>8627</v>
      </c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48" t="s">
        <v>362</v>
      </c>
      <c r="AC117" s="46">
        <f t="shared" ref="AC117:AO117" si="80">AC32</f>
        <v>0</v>
      </c>
      <c r="AD117" s="46">
        <f t="shared" si="80"/>
        <v>0</v>
      </c>
      <c r="AE117" s="46">
        <f t="shared" si="80"/>
        <v>0</v>
      </c>
      <c r="AF117" s="46">
        <f t="shared" si="80"/>
        <v>0</v>
      </c>
      <c r="AG117" s="46">
        <f t="shared" si="80"/>
        <v>0</v>
      </c>
      <c r="AH117" s="46">
        <f t="shared" si="80"/>
        <v>0</v>
      </c>
      <c r="AI117" s="46">
        <f t="shared" si="80"/>
        <v>0</v>
      </c>
      <c r="AJ117" s="46">
        <f t="shared" si="80"/>
        <v>0</v>
      </c>
      <c r="AK117" s="46">
        <f t="shared" si="80"/>
        <v>0</v>
      </c>
      <c r="AL117" s="46">
        <f t="shared" si="80"/>
        <v>0</v>
      </c>
      <c r="AM117" s="46">
        <f t="shared" si="80"/>
        <v>0</v>
      </c>
      <c r="AN117" s="46">
        <f t="shared" si="80"/>
        <v>0</v>
      </c>
      <c r="AO117" s="46">
        <f t="shared" si="80"/>
        <v>0</v>
      </c>
      <c r="AP117" s="46">
        <f t="shared" si="69"/>
        <v>0</v>
      </c>
      <c r="AQ117" s="33"/>
      <c r="AR117" s="33"/>
    </row>
    <row r="118" spans="1:44" ht="13.2" x14ac:dyDescent="0.25">
      <c r="A118" s="33"/>
      <c r="B118" s="48" t="s">
        <v>363</v>
      </c>
      <c r="C118" s="50">
        <f t="shared" ref="C118:O118" si="81">C46+C21</f>
        <v>87861</v>
      </c>
      <c r="D118" s="50">
        <f t="shared" si="81"/>
        <v>87252</v>
      </c>
      <c r="E118" s="50">
        <f t="shared" si="81"/>
        <v>87449</v>
      </c>
      <c r="F118" s="50">
        <f t="shared" si="81"/>
        <v>85934</v>
      </c>
      <c r="G118" s="50">
        <f t="shared" si="81"/>
        <v>85733</v>
      </c>
      <c r="H118" s="50">
        <f t="shared" si="81"/>
        <v>85837</v>
      </c>
      <c r="I118" s="50">
        <f t="shared" si="81"/>
        <v>85755</v>
      </c>
      <c r="J118" s="50">
        <f t="shared" si="81"/>
        <v>85546</v>
      </c>
      <c r="K118" s="50">
        <f t="shared" si="81"/>
        <v>85081</v>
      </c>
      <c r="L118" s="50">
        <f t="shared" si="81"/>
        <v>85916</v>
      </c>
      <c r="M118" s="50">
        <f t="shared" si="81"/>
        <v>85326</v>
      </c>
      <c r="N118" s="50">
        <f t="shared" si="81"/>
        <v>84743</v>
      </c>
      <c r="O118" s="50">
        <f t="shared" si="81"/>
        <v>84657</v>
      </c>
      <c r="P118" s="50">
        <f t="shared" si="67"/>
        <v>85930</v>
      </c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48" t="s">
        <v>363</v>
      </c>
      <c r="AC118" s="50">
        <f t="shared" ref="AC118:AO118" si="82">AC46+AC21</f>
        <v>0</v>
      </c>
      <c r="AD118" s="50">
        <f t="shared" si="82"/>
        <v>0</v>
      </c>
      <c r="AE118" s="50">
        <f t="shared" si="82"/>
        <v>0</v>
      </c>
      <c r="AF118" s="50">
        <f t="shared" si="82"/>
        <v>0</v>
      </c>
      <c r="AG118" s="50">
        <f t="shared" si="82"/>
        <v>0</v>
      </c>
      <c r="AH118" s="50">
        <f t="shared" si="82"/>
        <v>0</v>
      </c>
      <c r="AI118" s="50">
        <f t="shared" si="82"/>
        <v>0</v>
      </c>
      <c r="AJ118" s="50">
        <f t="shared" si="82"/>
        <v>0</v>
      </c>
      <c r="AK118" s="50">
        <f t="shared" si="82"/>
        <v>0</v>
      </c>
      <c r="AL118" s="50">
        <f t="shared" si="82"/>
        <v>0</v>
      </c>
      <c r="AM118" s="50">
        <f t="shared" si="82"/>
        <v>0</v>
      </c>
      <c r="AN118" s="50">
        <f t="shared" si="82"/>
        <v>0</v>
      </c>
      <c r="AO118" s="50">
        <f t="shared" si="82"/>
        <v>0</v>
      </c>
      <c r="AP118" s="50">
        <f t="shared" si="69"/>
        <v>0</v>
      </c>
      <c r="AQ118" s="33"/>
      <c r="AR118" s="33"/>
    </row>
    <row r="119" spans="1:44" ht="3.9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</row>
    <row r="120" spans="1:44" ht="13.2" x14ac:dyDescent="0.25">
      <c r="A120" s="30"/>
      <c r="B120" s="31" t="s">
        <v>364</v>
      </c>
      <c r="C120" s="50">
        <f t="shared" ref="C120:P120" si="83">SUM(C111:C119)</f>
        <v>1512003</v>
      </c>
      <c r="D120" s="50">
        <f t="shared" si="83"/>
        <v>1527088</v>
      </c>
      <c r="E120" s="50">
        <f t="shared" si="83"/>
        <v>1545358</v>
      </c>
      <c r="F120" s="50">
        <f t="shared" si="83"/>
        <v>1573968</v>
      </c>
      <c r="G120" s="50">
        <f t="shared" si="83"/>
        <v>1581938</v>
      </c>
      <c r="H120" s="50">
        <f t="shared" si="83"/>
        <v>1605907</v>
      </c>
      <c r="I120" s="50">
        <f t="shared" si="83"/>
        <v>1477759</v>
      </c>
      <c r="J120" s="50">
        <f t="shared" si="83"/>
        <v>1487698</v>
      </c>
      <c r="K120" s="50">
        <f t="shared" si="83"/>
        <v>1503169</v>
      </c>
      <c r="L120" s="50">
        <f t="shared" si="83"/>
        <v>1520244</v>
      </c>
      <c r="M120" s="50">
        <f t="shared" si="83"/>
        <v>1529402</v>
      </c>
      <c r="N120" s="50">
        <f t="shared" si="83"/>
        <v>1537787</v>
      </c>
      <c r="O120" s="50">
        <f t="shared" si="83"/>
        <v>1547915</v>
      </c>
      <c r="P120" s="50">
        <f t="shared" si="83"/>
        <v>1534633</v>
      </c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0"/>
      <c r="AB120" s="31" t="s">
        <v>364</v>
      </c>
      <c r="AC120" s="50">
        <f t="shared" ref="AC120:AP120" si="84">SUM(AC111:AC119)</f>
        <v>300169</v>
      </c>
      <c r="AD120" s="50">
        <f t="shared" si="84"/>
        <v>299669</v>
      </c>
      <c r="AE120" s="50">
        <f t="shared" si="84"/>
        <v>299169</v>
      </c>
      <c r="AF120" s="50">
        <f t="shared" si="84"/>
        <v>298669</v>
      </c>
      <c r="AG120" s="50">
        <f t="shared" si="84"/>
        <v>298169</v>
      </c>
      <c r="AH120" s="50">
        <f t="shared" si="84"/>
        <v>297669</v>
      </c>
      <c r="AI120" s="50">
        <f t="shared" si="84"/>
        <v>297169</v>
      </c>
      <c r="AJ120" s="50">
        <f t="shared" si="84"/>
        <v>296669</v>
      </c>
      <c r="AK120" s="50">
        <f t="shared" si="84"/>
        <v>296169</v>
      </c>
      <c r="AL120" s="50">
        <f t="shared" si="84"/>
        <v>295669</v>
      </c>
      <c r="AM120" s="50">
        <f t="shared" si="84"/>
        <v>295169</v>
      </c>
      <c r="AN120" s="50">
        <f t="shared" si="84"/>
        <v>294669</v>
      </c>
      <c r="AO120" s="50">
        <f t="shared" si="84"/>
        <v>294169</v>
      </c>
      <c r="AP120" s="50">
        <f t="shared" si="84"/>
        <v>297169</v>
      </c>
      <c r="AQ120" s="33"/>
      <c r="AR120" s="33"/>
    </row>
    <row r="121" spans="1:44" ht="13.2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</row>
    <row r="122" spans="1:44" ht="13.2" x14ac:dyDescent="0.25">
      <c r="A122" s="30"/>
      <c r="B122" s="31" t="s">
        <v>365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0"/>
      <c r="AB122" s="31" t="s">
        <v>365</v>
      </c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</row>
    <row r="123" spans="1:44" ht="13.2" x14ac:dyDescent="0.25">
      <c r="A123" s="30"/>
      <c r="B123" s="31" t="s">
        <v>366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0"/>
      <c r="AB123" s="31" t="s">
        <v>366</v>
      </c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33"/>
      <c r="AQ123" s="33"/>
      <c r="AR123" s="33"/>
    </row>
    <row r="124" spans="1:44" ht="13.2" x14ac:dyDescent="0.25">
      <c r="A124" s="33"/>
      <c r="B124" s="48" t="s">
        <v>367</v>
      </c>
      <c r="C124" s="46">
        <f t="shared" ref="C124:O124" si="85">C56+C15+C57</f>
        <v>-139200</v>
      </c>
      <c r="D124" s="46">
        <f t="shared" si="85"/>
        <v>-142986</v>
      </c>
      <c r="E124" s="46">
        <f t="shared" si="85"/>
        <v>-151808</v>
      </c>
      <c r="F124" s="46">
        <f t="shared" si="85"/>
        <v>-145484</v>
      </c>
      <c r="G124" s="46">
        <f t="shared" si="85"/>
        <v>-174863</v>
      </c>
      <c r="H124" s="46">
        <f t="shared" si="85"/>
        <v>-180649</v>
      </c>
      <c r="I124" s="46">
        <f t="shared" si="85"/>
        <v>-183823</v>
      </c>
      <c r="J124" s="46">
        <f t="shared" si="85"/>
        <v>-192063</v>
      </c>
      <c r="K124" s="46">
        <f t="shared" si="85"/>
        <v>-194892</v>
      </c>
      <c r="L124" s="46">
        <f t="shared" si="85"/>
        <v>-195598</v>
      </c>
      <c r="M124" s="46">
        <f t="shared" si="85"/>
        <v>-197287</v>
      </c>
      <c r="N124" s="46">
        <f t="shared" si="85"/>
        <v>-201395</v>
      </c>
      <c r="O124" s="46">
        <f t="shared" si="85"/>
        <v>-207829</v>
      </c>
      <c r="P124" s="46">
        <f>ROUND(SUM(C124:O124)/13,0)</f>
        <v>-177529</v>
      </c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48" t="s">
        <v>367</v>
      </c>
      <c r="AC124" s="46" t="e">
        <f t="shared" ref="AC124:AO124" si="86">AC56+#REF!+AC57</f>
        <v>#REF!</v>
      </c>
      <c r="AD124" s="46" t="e">
        <f t="shared" si="86"/>
        <v>#REF!</v>
      </c>
      <c r="AE124" s="46" t="e">
        <f t="shared" si="86"/>
        <v>#REF!</v>
      </c>
      <c r="AF124" s="46" t="e">
        <f t="shared" si="86"/>
        <v>#REF!</v>
      </c>
      <c r="AG124" s="46" t="e">
        <f t="shared" si="86"/>
        <v>#REF!</v>
      </c>
      <c r="AH124" s="46" t="e">
        <f t="shared" si="86"/>
        <v>#REF!</v>
      </c>
      <c r="AI124" s="46" t="e">
        <f t="shared" si="86"/>
        <v>#REF!</v>
      </c>
      <c r="AJ124" s="46" t="e">
        <f t="shared" si="86"/>
        <v>#REF!</v>
      </c>
      <c r="AK124" s="46" t="e">
        <f t="shared" si="86"/>
        <v>#REF!</v>
      </c>
      <c r="AL124" s="46" t="e">
        <f t="shared" si="86"/>
        <v>#REF!</v>
      </c>
      <c r="AM124" s="46" t="e">
        <f t="shared" si="86"/>
        <v>#REF!</v>
      </c>
      <c r="AN124" s="46" t="e">
        <f t="shared" si="86"/>
        <v>#REF!</v>
      </c>
      <c r="AO124" s="46" t="e">
        <f t="shared" si="86"/>
        <v>#REF!</v>
      </c>
      <c r="AP124" s="46" t="e">
        <f>ROUND(SUM(AC124:AO124)/13,0)</f>
        <v>#REF!</v>
      </c>
      <c r="AQ124" s="33"/>
      <c r="AR124" s="33"/>
    </row>
    <row r="125" spans="1:44" ht="13.2" x14ac:dyDescent="0.25">
      <c r="A125" s="33"/>
      <c r="B125" s="48" t="s">
        <v>368</v>
      </c>
      <c r="C125" s="46">
        <f t="shared" ref="C125:O125" si="87">C60+C62</f>
        <v>9138</v>
      </c>
      <c r="D125" s="46">
        <f t="shared" si="87"/>
        <v>9448</v>
      </c>
      <c r="E125" s="46">
        <f t="shared" si="87"/>
        <v>11553</v>
      </c>
      <c r="F125" s="46">
        <f t="shared" si="87"/>
        <v>13645</v>
      </c>
      <c r="G125" s="46">
        <f t="shared" si="87"/>
        <v>6388</v>
      </c>
      <c r="H125" s="46">
        <f t="shared" si="87"/>
        <v>6548</v>
      </c>
      <c r="I125" s="46">
        <f t="shared" si="87"/>
        <v>5905</v>
      </c>
      <c r="J125" s="46">
        <f t="shared" si="87"/>
        <v>6785</v>
      </c>
      <c r="K125" s="46">
        <f t="shared" si="87"/>
        <v>7513</v>
      </c>
      <c r="L125" s="46">
        <f t="shared" si="87"/>
        <v>8457</v>
      </c>
      <c r="M125" s="46">
        <f t="shared" si="87"/>
        <v>6073</v>
      </c>
      <c r="N125" s="46">
        <f t="shared" si="87"/>
        <v>6107</v>
      </c>
      <c r="O125" s="46">
        <f t="shared" si="87"/>
        <v>5815</v>
      </c>
      <c r="P125" s="46">
        <f>ROUND(SUM(C125:O125)/13,0)</f>
        <v>7952</v>
      </c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48" t="s">
        <v>368</v>
      </c>
      <c r="AC125" s="46">
        <f t="shared" ref="AC125:AO125" si="88">AC60+AC62</f>
        <v>0</v>
      </c>
      <c r="AD125" s="46">
        <f t="shared" si="88"/>
        <v>0</v>
      </c>
      <c r="AE125" s="46">
        <f t="shared" si="88"/>
        <v>0</v>
      </c>
      <c r="AF125" s="46">
        <f t="shared" si="88"/>
        <v>0</v>
      </c>
      <c r="AG125" s="46">
        <f t="shared" si="88"/>
        <v>0</v>
      </c>
      <c r="AH125" s="46">
        <f t="shared" si="88"/>
        <v>0</v>
      </c>
      <c r="AI125" s="46">
        <f t="shared" si="88"/>
        <v>0</v>
      </c>
      <c r="AJ125" s="46">
        <f t="shared" si="88"/>
        <v>0</v>
      </c>
      <c r="AK125" s="46">
        <f t="shared" si="88"/>
        <v>0</v>
      </c>
      <c r="AL125" s="46">
        <f t="shared" si="88"/>
        <v>0</v>
      </c>
      <c r="AM125" s="46">
        <f t="shared" si="88"/>
        <v>0</v>
      </c>
      <c r="AN125" s="46">
        <f t="shared" si="88"/>
        <v>0</v>
      </c>
      <c r="AO125" s="46">
        <f t="shared" si="88"/>
        <v>0</v>
      </c>
      <c r="AP125" s="46">
        <f>ROUND(SUM(AC125:AO125)/13,0)</f>
        <v>0</v>
      </c>
      <c r="AQ125" s="33"/>
      <c r="AR125" s="33"/>
    </row>
    <row r="126" spans="1:44" ht="13.2" x14ac:dyDescent="0.25">
      <c r="A126" s="33"/>
      <c r="B126" s="48" t="s">
        <v>369</v>
      </c>
      <c r="C126" s="46">
        <f t="shared" ref="C126:O126" si="89">C61</f>
        <v>2129</v>
      </c>
      <c r="D126" s="46">
        <f t="shared" si="89"/>
        <v>2129</v>
      </c>
      <c r="E126" s="46">
        <f t="shared" si="89"/>
        <v>2129</v>
      </c>
      <c r="F126" s="46">
        <f t="shared" si="89"/>
        <v>2129</v>
      </c>
      <c r="G126" s="46">
        <f t="shared" si="89"/>
        <v>879</v>
      </c>
      <c r="H126" s="46">
        <f t="shared" si="89"/>
        <v>6632</v>
      </c>
      <c r="I126" s="46">
        <f t="shared" si="89"/>
        <v>2129</v>
      </c>
      <c r="J126" s="46">
        <f t="shared" si="89"/>
        <v>2119</v>
      </c>
      <c r="K126" s="46">
        <f t="shared" si="89"/>
        <v>2119</v>
      </c>
      <c r="L126" s="46">
        <f t="shared" si="89"/>
        <v>2119</v>
      </c>
      <c r="M126" s="46">
        <f t="shared" si="89"/>
        <v>2119</v>
      </c>
      <c r="N126" s="46">
        <f t="shared" si="89"/>
        <v>2119</v>
      </c>
      <c r="O126" s="46">
        <f t="shared" si="89"/>
        <v>2119</v>
      </c>
      <c r="P126" s="46">
        <f>ROUND(SUM(C126:O126)/13,0)</f>
        <v>2375</v>
      </c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48" t="s">
        <v>369</v>
      </c>
      <c r="AC126" s="46">
        <f t="shared" ref="AC126:AO126" si="90">AC61</f>
        <v>0</v>
      </c>
      <c r="AD126" s="46">
        <f t="shared" si="90"/>
        <v>0</v>
      </c>
      <c r="AE126" s="46">
        <f t="shared" si="90"/>
        <v>0</v>
      </c>
      <c r="AF126" s="46">
        <f t="shared" si="90"/>
        <v>0</v>
      </c>
      <c r="AG126" s="46">
        <f t="shared" si="90"/>
        <v>0</v>
      </c>
      <c r="AH126" s="46">
        <f t="shared" si="90"/>
        <v>0</v>
      </c>
      <c r="AI126" s="46">
        <f t="shared" si="90"/>
        <v>0</v>
      </c>
      <c r="AJ126" s="46">
        <f t="shared" si="90"/>
        <v>0</v>
      </c>
      <c r="AK126" s="46">
        <f t="shared" si="90"/>
        <v>0</v>
      </c>
      <c r="AL126" s="46">
        <f t="shared" si="90"/>
        <v>0</v>
      </c>
      <c r="AM126" s="46">
        <f t="shared" si="90"/>
        <v>0</v>
      </c>
      <c r="AN126" s="46">
        <f t="shared" si="90"/>
        <v>0</v>
      </c>
      <c r="AO126" s="46">
        <f t="shared" si="90"/>
        <v>0</v>
      </c>
      <c r="AP126" s="46">
        <f>ROUND(SUM(AC126:AO126)/13,0)</f>
        <v>0</v>
      </c>
      <c r="AQ126" s="33"/>
      <c r="AR126" s="33"/>
    </row>
    <row r="127" spans="1:44" ht="13.2" x14ac:dyDescent="0.25">
      <c r="A127" s="33"/>
      <c r="B127" s="48" t="s">
        <v>370</v>
      </c>
      <c r="C127" s="46">
        <f t="shared" ref="C127:O127" si="91">C69</f>
        <v>238702</v>
      </c>
      <c r="D127" s="46">
        <f t="shared" si="91"/>
        <v>238852</v>
      </c>
      <c r="E127" s="46">
        <f t="shared" si="91"/>
        <v>238944</v>
      </c>
      <c r="F127" s="46">
        <f t="shared" si="91"/>
        <v>220220</v>
      </c>
      <c r="G127" s="46">
        <f t="shared" si="91"/>
        <v>226075</v>
      </c>
      <c r="H127" s="46">
        <f t="shared" si="91"/>
        <v>232744</v>
      </c>
      <c r="I127" s="46">
        <f t="shared" si="91"/>
        <v>235318</v>
      </c>
      <c r="J127" s="46">
        <f t="shared" si="91"/>
        <v>235584</v>
      </c>
      <c r="K127" s="46">
        <f t="shared" si="91"/>
        <v>235684</v>
      </c>
      <c r="L127" s="46">
        <f t="shared" si="91"/>
        <v>236431</v>
      </c>
      <c r="M127" s="46">
        <f t="shared" si="91"/>
        <v>239688</v>
      </c>
      <c r="N127" s="46">
        <f t="shared" si="91"/>
        <v>238935</v>
      </c>
      <c r="O127" s="46">
        <f t="shared" si="91"/>
        <v>238875</v>
      </c>
      <c r="P127" s="46">
        <f>ROUND(SUM(C127:O127)/13,0)</f>
        <v>235081</v>
      </c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48" t="s">
        <v>370</v>
      </c>
      <c r="AC127" s="46">
        <f t="shared" ref="AC127:AO127" si="92">AC69</f>
        <v>105054</v>
      </c>
      <c r="AD127" s="46">
        <f t="shared" si="92"/>
        <v>104879</v>
      </c>
      <c r="AE127" s="46">
        <f t="shared" si="92"/>
        <v>104704</v>
      </c>
      <c r="AF127" s="46">
        <f t="shared" si="92"/>
        <v>104529</v>
      </c>
      <c r="AG127" s="46">
        <f t="shared" si="92"/>
        <v>104354</v>
      </c>
      <c r="AH127" s="46">
        <f t="shared" si="92"/>
        <v>104179</v>
      </c>
      <c r="AI127" s="46">
        <f t="shared" si="92"/>
        <v>104004</v>
      </c>
      <c r="AJ127" s="46">
        <f t="shared" si="92"/>
        <v>103829</v>
      </c>
      <c r="AK127" s="46">
        <f t="shared" si="92"/>
        <v>103654</v>
      </c>
      <c r="AL127" s="46">
        <f t="shared" si="92"/>
        <v>103479</v>
      </c>
      <c r="AM127" s="46">
        <f t="shared" si="92"/>
        <v>103304</v>
      </c>
      <c r="AN127" s="46">
        <f t="shared" si="92"/>
        <v>103129</v>
      </c>
      <c r="AO127" s="46">
        <f t="shared" si="92"/>
        <v>102954</v>
      </c>
      <c r="AP127" s="46">
        <f>ROUND(SUM(AC127:AO127)/13,0)</f>
        <v>104004</v>
      </c>
      <c r="AQ127" s="33"/>
      <c r="AR127" s="33"/>
    </row>
    <row r="128" spans="1:44" ht="13.2" x14ac:dyDescent="0.25">
      <c r="A128" s="33"/>
      <c r="B128" s="48" t="s">
        <v>371</v>
      </c>
      <c r="C128" s="50" t="e">
        <f>#REF!+C63+C64+#REF!+C70+C71+C72</f>
        <v>#REF!</v>
      </c>
      <c r="D128" s="50" t="e">
        <f>#REF!+D63+D64+#REF!+D70+D71+D72</f>
        <v>#REF!</v>
      </c>
      <c r="E128" s="50" t="e">
        <f>#REF!+E63+E64+#REF!+E70+E71+E72</f>
        <v>#REF!</v>
      </c>
      <c r="F128" s="50" t="e">
        <f>#REF!+F63+F64+#REF!+F70+F71+F72</f>
        <v>#REF!</v>
      </c>
      <c r="G128" s="50" t="e">
        <f>#REF!+G63+G64+#REF!+G70+G71+G72</f>
        <v>#REF!</v>
      </c>
      <c r="H128" s="50" t="e">
        <f>#REF!+H63+H64+#REF!+H70+H71+H72</f>
        <v>#REF!</v>
      </c>
      <c r="I128" s="50" t="e">
        <f>#REF!+I63+I64+#REF!+I70+I71+I72</f>
        <v>#REF!</v>
      </c>
      <c r="J128" s="50" t="e">
        <f>#REF!+J63+J64+#REF!+J70+J71+J72</f>
        <v>#REF!</v>
      </c>
      <c r="K128" s="50" t="e">
        <f>#REF!+K63+K64+#REF!+K70+K71+K72</f>
        <v>#REF!</v>
      </c>
      <c r="L128" s="50" t="e">
        <f>#REF!+L63+L64+#REF!+L70+L71+L72</f>
        <v>#REF!</v>
      </c>
      <c r="M128" s="50" t="e">
        <f>#REF!+M63+M64+#REF!+M70+M71+M72</f>
        <v>#REF!</v>
      </c>
      <c r="N128" s="50" t="e">
        <f>#REF!+N63+N64+#REF!+N70+N71+N72</f>
        <v>#REF!</v>
      </c>
      <c r="O128" s="50" t="e">
        <f>#REF!+O63+O64+#REF!+O70+O71+O72</f>
        <v>#REF!</v>
      </c>
      <c r="P128" s="50" t="e">
        <f>ROUND(SUM(C128:O128)/13,0)</f>
        <v>#REF!</v>
      </c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48" t="s">
        <v>371</v>
      </c>
      <c r="AC128" s="50" t="e">
        <f>#REF!+AC64+#REF!+AC70+AC71+AC72</f>
        <v>#REF!</v>
      </c>
      <c r="AD128" s="50" t="e">
        <f>#REF!+AD64+#REF!+AD70+AD71+AD72</f>
        <v>#REF!</v>
      </c>
      <c r="AE128" s="50" t="e">
        <f>#REF!+AE64+#REF!+AE70+AE71+AE72</f>
        <v>#REF!</v>
      </c>
      <c r="AF128" s="50" t="e">
        <f>#REF!+AF64+#REF!+AF70+AF71+AF72</f>
        <v>#REF!</v>
      </c>
      <c r="AG128" s="50" t="e">
        <f>#REF!+AG64+#REF!+AG70+AG71+AG72</f>
        <v>#REF!</v>
      </c>
      <c r="AH128" s="50" t="e">
        <f>#REF!+AH64+#REF!+AH70+AH71+AH72</f>
        <v>#REF!</v>
      </c>
      <c r="AI128" s="50" t="e">
        <f>#REF!+AI64+#REF!+AI70+AI71+AI72</f>
        <v>#REF!</v>
      </c>
      <c r="AJ128" s="50" t="e">
        <f>#REF!+AJ64+#REF!+AJ70+AJ71+AJ72</f>
        <v>#REF!</v>
      </c>
      <c r="AK128" s="50" t="e">
        <f>#REF!+AK64+#REF!+AK70+AK71+AK72</f>
        <v>#REF!</v>
      </c>
      <c r="AL128" s="50" t="e">
        <f>#REF!+AL64+#REF!+AL70+AL71+AL72</f>
        <v>#REF!</v>
      </c>
      <c r="AM128" s="50" t="e">
        <f>#REF!+AM64+#REF!+AM70+AM71+AM72</f>
        <v>#REF!</v>
      </c>
      <c r="AN128" s="50" t="e">
        <f>#REF!+AN64+#REF!+AN70+AN71+AN72</f>
        <v>#REF!</v>
      </c>
      <c r="AO128" s="50" t="e">
        <f>#REF!+AO64+#REF!+AO70+AO71+AO72</f>
        <v>#REF!</v>
      </c>
      <c r="AP128" s="50" t="e">
        <f>ROUND(SUM(AC128:AO128)/13,0)</f>
        <v>#REF!</v>
      </c>
      <c r="AQ128" s="33"/>
      <c r="AR128" s="33"/>
    </row>
    <row r="129" spans="1:44" ht="3.9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</row>
    <row r="130" spans="1:44" ht="13.2" x14ac:dyDescent="0.25">
      <c r="A130" s="30"/>
      <c r="B130" s="31" t="s">
        <v>372</v>
      </c>
      <c r="C130" s="50" t="e">
        <f t="shared" ref="C130:P130" si="93">SUM(C124:C129)</f>
        <v>#REF!</v>
      </c>
      <c r="D130" s="50" t="e">
        <f t="shared" si="93"/>
        <v>#REF!</v>
      </c>
      <c r="E130" s="50" t="e">
        <f t="shared" si="93"/>
        <v>#REF!</v>
      </c>
      <c r="F130" s="50" t="e">
        <f t="shared" si="93"/>
        <v>#REF!</v>
      </c>
      <c r="G130" s="50" t="e">
        <f t="shared" si="93"/>
        <v>#REF!</v>
      </c>
      <c r="H130" s="50" t="e">
        <f t="shared" si="93"/>
        <v>#REF!</v>
      </c>
      <c r="I130" s="50" t="e">
        <f t="shared" si="93"/>
        <v>#REF!</v>
      </c>
      <c r="J130" s="50" t="e">
        <f t="shared" si="93"/>
        <v>#REF!</v>
      </c>
      <c r="K130" s="50" t="e">
        <f t="shared" si="93"/>
        <v>#REF!</v>
      </c>
      <c r="L130" s="50" t="e">
        <f t="shared" si="93"/>
        <v>#REF!</v>
      </c>
      <c r="M130" s="50" t="e">
        <f t="shared" si="93"/>
        <v>#REF!</v>
      </c>
      <c r="N130" s="50" t="e">
        <f t="shared" si="93"/>
        <v>#REF!</v>
      </c>
      <c r="O130" s="50" t="e">
        <f t="shared" si="93"/>
        <v>#REF!</v>
      </c>
      <c r="P130" s="50" t="e">
        <f t="shared" si="93"/>
        <v>#REF!</v>
      </c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0"/>
      <c r="AB130" s="31" t="s">
        <v>372</v>
      </c>
      <c r="AC130" s="50" t="e">
        <f t="shared" ref="AC130:AP130" si="94">SUM(AC124:AC129)</f>
        <v>#REF!</v>
      </c>
      <c r="AD130" s="50" t="e">
        <f t="shared" si="94"/>
        <v>#REF!</v>
      </c>
      <c r="AE130" s="50" t="e">
        <f t="shared" si="94"/>
        <v>#REF!</v>
      </c>
      <c r="AF130" s="50" t="e">
        <f t="shared" si="94"/>
        <v>#REF!</v>
      </c>
      <c r="AG130" s="50" t="e">
        <f t="shared" si="94"/>
        <v>#REF!</v>
      </c>
      <c r="AH130" s="50" t="e">
        <f t="shared" si="94"/>
        <v>#REF!</v>
      </c>
      <c r="AI130" s="50" t="e">
        <f t="shared" si="94"/>
        <v>#REF!</v>
      </c>
      <c r="AJ130" s="50" t="e">
        <f t="shared" si="94"/>
        <v>#REF!</v>
      </c>
      <c r="AK130" s="50" t="e">
        <f t="shared" si="94"/>
        <v>#REF!</v>
      </c>
      <c r="AL130" s="50" t="e">
        <f t="shared" si="94"/>
        <v>#REF!</v>
      </c>
      <c r="AM130" s="50" t="e">
        <f t="shared" si="94"/>
        <v>#REF!</v>
      </c>
      <c r="AN130" s="50" t="e">
        <f t="shared" si="94"/>
        <v>#REF!</v>
      </c>
      <c r="AO130" s="50" t="e">
        <f t="shared" si="94"/>
        <v>#REF!</v>
      </c>
      <c r="AP130" s="50" t="e">
        <f t="shared" si="94"/>
        <v>#REF!</v>
      </c>
      <c r="AQ130" s="33"/>
      <c r="AR130" s="33"/>
    </row>
    <row r="131" spans="1:44" ht="13.2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</row>
    <row r="132" spans="1:44" ht="13.2" x14ac:dyDescent="0.25">
      <c r="A132" s="30"/>
      <c r="B132" s="31" t="s">
        <v>373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0"/>
      <c r="AB132" s="31" t="s">
        <v>373</v>
      </c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</row>
    <row r="133" spans="1:44" ht="13.2" x14ac:dyDescent="0.25">
      <c r="A133" s="33"/>
      <c r="B133" s="58" t="s">
        <v>374</v>
      </c>
      <c r="C133" s="46">
        <f t="shared" ref="C133:O133" si="95">C77</f>
        <v>0</v>
      </c>
      <c r="D133" s="46">
        <f t="shared" si="95"/>
        <v>0</v>
      </c>
      <c r="E133" s="46">
        <f t="shared" si="95"/>
        <v>0</v>
      </c>
      <c r="F133" s="46">
        <f t="shared" si="95"/>
        <v>0</v>
      </c>
      <c r="G133" s="46">
        <f t="shared" si="95"/>
        <v>0</v>
      </c>
      <c r="H133" s="46">
        <f t="shared" si="95"/>
        <v>0</v>
      </c>
      <c r="I133" s="46">
        <f t="shared" si="95"/>
        <v>0</v>
      </c>
      <c r="J133" s="46">
        <f t="shared" si="95"/>
        <v>0</v>
      </c>
      <c r="K133" s="46">
        <f t="shared" si="95"/>
        <v>0</v>
      </c>
      <c r="L133" s="46">
        <f t="shared" si="95"/>
        <v>0</v>
      </c>
      <c r="M133" s="46">
        <f t="shared" si="95"/>
        <v>0</v>
      </c>
      <c r="N133" s="46">
        <f t="shared" si="95"/>
        <v>0</v>
      </c>
      <c r="O133" s="46">
        <f t="shared" si="95"/>
        <v>0</v>
      </c>
      <c r="P133" s="46">
        <f>ROUND(SUM(C133:O133)/13,0)</f>
        <v>0</v>
      </c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48" t="s">
        <v>375</v>
      </c>
      <c r="AC133" s="46">
        <f t="shared" ref="AC133:AO133" si="96">AC77</f>
        <v>0</v>
      </c>
      <c r="AD133" s="46">
        <f t="shared" si="96"/>
        <v>0</v>
      </c>
      <c r="AE133" s="46">
        <f t="shared" si="96"/>
        <v>0</v>
      </c>
      <c r="AF133" s="46">
        <f t="shared" si="96"/>
        <v>0</v>
      </c>
      <c r="AG133" s="46">
        <f t="shared" si="96"/>
        <v>0</v>
      </c>
      <c r="AH133" s="46">
        <f t="shared" si="96"/>
        <v>0</v>
      </c>
      <c r="AI133" s="46">
        <f t="shared" si="96"/>
        <v>0</v>
      </c>
      <c r="AJ133" s="46">
        <f t="shared" si="96"/>
        <v>0</v>
      </c>
      <c r="AK133" s="46">
        <f t="shared" si="96"/>
        <v>0</v>
      </c>
      <c r="AL133" s="46">
        <f t="shared" si="96"/>
        <v>0</v>
      </c>
      <c r="AM133" s="46">
        <f t="shared" si="96"/>
        <v>0</v>
      </c>
      <c r="AN133" s="46">
        <f t="shared" si="96"/>
        <v>0</v>
      </c>
      <c r="AO133" s="46">
        <f t="shared" si="96"/>
        <v>0</v>
      </c>
      <c r="AP133" s="46">
        <f>ROUND(SUM(AC133:AO133)/13,0)</f>
        <v>0</v>
      </c>
      <c r="AQ133" s="33"/>
      <c r="AR133" s="33"/>
    </row>
    <row r="134" spans="1:44" ht="13.2" x14ac:dyDescent="0.25">
      <c r="A134" s="33"/>
      <c r="B134" s="58" t="s">
        <v>376</v>
      </c>
      <c r="C134" s="49">
        <v>0</v>
      </c>
      <c r="D134" s="49">
        <v>0</v>
      </c>
      <c r="E134" s="49">
        <v>0</v>
      </c>
      <c r="F134" s="49">
        <v>0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46">
        <f>ROUND(SUM(C134:O134)/13,0)</f>
        <v>0</v>
      </c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48" t="s">
        <v>377</v>
      </c>
      <c r="AC134" s="49">
        <v>0</v>
      </c>
      <c r="AD134" s="49">
        <v>0</v>
      </c>
      <c r="AE134" s="49">
        <v>0</v>
      </c>
      <c r="AF134" s="49">
        <v>0</v>
      </c>
      <c r="AG134" s="49">
        <v>0</v>
      </c>
      <c r="AH134" s="49">
        <v>0</v>
      </c>
      <c r="AI134" s="49">
        <v>0</v>
      </c>
      <c r="AJ134" s="49">
        <v>0</v>
      </c>
      <c r="AK134" s="49">
        <v>0</v>
      </c>
      <c r="AL134" s="49">
        <v>0</v>
      </c>
      <c r="AM134" s="49">
        <v>0</v>
      </c>
      <c r="AN134" s="49">
        <v>0</v>
      </c>
      <c r="AO134" s="49">
        <v>0</v>
      </c>
      <c r="AP134" s="46">
        <f>ROUND(SUM(AC134:AO134)/13,0)</f>
        <v>0</v>
      </c>
      <c r="AQ134" s="33"/>
      <c r="AR134" s="33"/>
    </row>
    <row r="135" spans="1:44" ht="13.2" x14ac:dyDescent="0.25">
      <c r="A135" s="33"/>
      <c r="B135" s="48" t="s">
        <v>378</v>
      </c>
      <c r="C135" s="50">
        <f t="shared" ref="C135:O135" si="97">C78-C134</f>
        <v>161600</v>
      </c>
      <c r="D135" s="50">
        <f t="shared" si="97"/>
        <v>161600</v>
      </c>
      <c r="E135" s="50">
        <f t="shared" si="97"/>
        <v>161600</v>
      </c>
      <c r="F135" s="50">
        <f t="shared" si="97"/>
        <v>161600</v>
      </c>
      <c r="G135" s="50">
        <f t="shared" si="97"/>
        <v>161600</v>
      </c>
      <c r="H135" s="50">
        <f t="shared" si="97"/>
        <v>161600</v>
      </c>
      <c r="I135" s="50">
        <f t="shared" si="97"/>
        <v>11600</v>
      </c>
      <c r="J135" s="50">
        <f t="shared" si="97"/>
        <v>11600</v>
      </c>
      <c r="K135" s="50">
        <f t="shared" si="97"/>
        <v>11600</v>
      </c>
      <c r="L135" s="50">
        <f t="shared" si="97"/>
        <v>11600</v>
      </c>
      <c r="M135" s="50">
        <f t="shared" si="97"/>
        <v>11600</v>
      </c>
      <c r="N135" s="50">
        <f t="shared" si="97"/>
        <v>7750</v>
      </c>
      <c r="O135" s="50">
        <f t="shared" si="97"/>
        <v>7750</v>
      </c>
      <c r="P135" s="50">
        <f>ROUND(SUM(C135:O135)/13,0)</f>
        <v>80238</v>
      </c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48" t="s">
        <v>378</v>
      </c>
      <c r="AC135" s="50">
        <f t="shared" ref="AC135:AO135" si="98">AC78-AC134</f>
        <v>0</v>
      </c>
      <c r="AD135" s="50">
        <f t="shared" si="98"/>
        <v>0</v>
      </c>
      <c r="AE135" s="50">
        <f t="shared" si="98"/>
        <v>0</v>
      </c>
      <c r="AF135" s="50">
        <f t="shared" si="98"/>
        <v>0</v>
      </c>
      <c r="AG135" s="50">
        <f t="shared" si="98"/>
        <v>0</v>
      </c>
      <c r="AH135" s="50">
        <f t="shared" si="98"/>
        <v>0</v>
      </c>
      <c r="AI135" s="50">
        <f t="shared" si="98"/>
        <v>0</v>
      </c>
      <c r="AJ135" s="50">
        <f t="shared" si="98"/>
        <v>0</v>
      </c>
      <c r="AK135" s="50">
        <f t="shared" si="98"/>
        <v>0</v>
      </c>
      <c r="AL135" s="50">
        <f t="shared" si="98"/>
        <v>0</v>
      </c>
      <c r="AM135" s="50">
        <f t="shared" si="98"/>
        <v>0</v>
      </c>
      <c r="AN135" s="50">
        <f t="shared" si="98"/>
        <v>0</v>
      </c>
      <c r="AO135" s="50">
        <f t="shared" si="98"/>
        <v>0</v>
      </c>
      <c r="AP135" s="50">
        <f>ROUND(SUM(AC135:AO135)/13,0)</f>
        <v>0</v>
      </c>
      <c r="AQ135" s="33"/>
      <c r="AR135" s="33"/>
    </row>
    <row r="136" spans="1:44" ht="6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</row>
    <row r="137" spans="1:44" ht="13.2" x14ac:dyDescent="0.25">
      <c r="A137" s="30"/>
      <c r="B137" s="31" t="s">
        <v>379</v>
      </c>
      <c r="C137" s="46">
        <f t="shared" ref="C137:P137" si="99">SUM(C133:C136)</f>
        <v>161600</v>
      </c>
      <c r="D137" s="46">
        <f t="shared" si="99"/>
        <v>161600</v>
      </c>
      <c r="E137" s="46">
        <f t="shared" si="99"/>
        <v>161600</v>
      </c>
      <c r="F137" s="46">
        <f t="shared" si="99"/>
        <v>161600</v>
      </c>
      <c r="G137" s="46">
        <f t="shared" si="99"/>
        <v>161600</v>
      </c>
      <c r="H137" s="46">
        <f t="shared" si="99"/>
        <v>161600</v>
      </c>
      <c r="I137" s="46">
        <f t="shared" si="99"/>
        <v>11600</v>
      </c>
      <c r="J137" s="46">
        <f t="shared" si="99"/>
        <v>11600</v>
      </c>
      <c r="K137" s="46">
        <f t="shared" si="99"/>
        <v>11600</v>
      </c>
      <c r="L137" s="46">
        <f t="shared" si="99"/>
        <v>11600</v>
      </c>
      <c r="M137" s="46">
        <f t="shared" si="99"/>
        <v>11600</v>
      </c>
      <c r="N137" s="46">
        <f t="shared" si="99"/>
        <v>7750</v>
      </c>
      <c r="O137" s="46">
        <f t="shared" si="99"/>
        <v>7750</v>
      </c>
      <c r="P137" s="46">
        <f t="shared" si="99"/>
        <v>80238</v>
      </c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0"/>
      <c r="AB137" s="31" t="s">
        <v>379</v>
      </c>
      <c r="AC137" s="46">
        <f t="shared" ref="AC137:AP137" si="100">SUM(AC133:AC136)</f>
        <v>0</v>
      </c>
      <c r="AD137" s="46">
        <f t="shared" si="100"/>
        <v>0</v>
      </c>
      <c r="AE137" s="46">
        <f t="shared" si="100"/>
        <v>0</v>
      </c>
      <c r="AF137" s="46">
        <f t="shared" si="100"/>
        <v>0</v>
      </c>
      <c r="AG137" s="46">
        <f t="shared" si="100"/>
        <v>0</v>
      </c>
      <c r="AH137" s="46">
        <f t="shared" si="100"/>
        <v>0</v>
      </c>
      <c r="AI137" s="46">
        <f t="shared" si="100"/>
        <v>0</v>
      </c>
      <c r="AJ137" s="46">
        <f t="shared" si="100"/>
        <v>0</v>
      </c>
      <c r="AK137" s="46">
        <f t="shared" si="100"/>
        <v>0</v>
      </c>
      <c r="AL137" s="46">
        <f t="shared" si="100"/>
        <v>0</v>
      </c>
      <c r="AM137" s="46">
        <f t="shared" si="100"/>
        <v>0</v>
      </c>
      <c r="AN137" s="46">
        <f t="shared" si="100"/>
        <v>0</v>
      </c>
      <c r="AO137" s="46">
        <f t="shared" si="100"/>
        <v>0</v>
      </c>
      <c r="AP137" s="46">
        <f t="shared" si="100"/>
        <v>0</v>
      </c>
      <c r="AQ137" s="33"/>
      <c r="AR137" s="33"/>
    </row>
    <row r="138" spans="1:44" ht="13.2" x14ac:dyDescent="0.25">
      <c r="A138" s="30"/>
      <c r="B138" s="31" t="s">
        <v>380</v>
      </c>
      <c r="C138" s="50">
        <f t="shared" ref="C138:O138" si="101">C84+C85+C87</f>
        <v>942827</v>
      </c>
      <c r="D138" s="50">
        <f t="shared" si="101"/>
        <v>949485</v>
      </c>
      <c r="E138" s="50">
        <f t="shared" si="101"/>
        <v>958025</v>
      </c>
      <c r="F138" s="50">
        <f t="shared" si="101"/>
        <v>961366</v>
      </c>
      <c r="G138" s="50">
        <f t="shared" si="101"/>
        <v>969520</v>
      </c>
      <c r="H138" s="50">
        <f t="shared" si="101"/>
        <v>977098</v>
      </c>
      <c r="I138" s="50">
        <f t="shared" si="101"/>
        <v>983394</v>
      </c>
      <c r="J138" s="50">
        <f t="shared" si="101"/>
        <v>990309</v>
      </c>
      <c r="K138" s="50">
        <f t="shared" si="101"/>
        <v>996761</v>
      </c>
      <c r="L138" s="50">
        <f t="shared" si="101"/>
        <v>1003319</v>
      </c>
      <c r="M138" s="50">
        <f t="shared" si="101"/>
        <v>1009317</v>
      </c>
      <c r="N138" s="50">
        <f t="shared" si="101"/>
        <v>1014803</v>
      </c>
      <c r="O138" s="50">
        <f t="shared" si="101"/>
        <v>1020780</v>
      </c>
      <c r="P138" s="50">
        <f>ROUND(SUM(C138:O138)/13,0)</f>
        <v>982846</v>
      </c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0"/>
      <c r="AB138" s="31" t="s">
        <v>380</v>
      </c>
      <c r="AC138" s="50">
        <f t="shared" ref="AC138:AO138" si="102">AC84+AC85+AC87</f>
        <v>195110</v>
      </c>
      <c r="AD138" s="50">
        <f t="shared" si="102"/>
        <v>194785</v>
      </c>
      <c r="AE138" s="50">
        <f t="shared" si="102"/>
        <v>194460</v>
      </c>
      <c r="AF138" s="50">
        <f t="shared" si="102"/>
        <v>194135</v>
      </c>
      <c r="AG138" s="50">
        <f t="shared" si="102"/>
        <v>193810</v>
      </c>
      <c r="AH138" s="50">
        <f t="shared" si="102"/>
        <v>193485</v>
      </c>
      <c r="AI138" s="50">
        <f t="shared" si="102"/>
        <v>193160</v>
      </c>
      <c r="AJ138" s="50">
        <f t="shared" si="102"/>
        <v>192835</v>
      </c>
      <c r="AK138" s="50">
        <f t="shared" si="102"/>
        <v>192510</v>
      </c>
      <c r="AL138" s="50">
        <f t="shared" si="102"/>
        <v>192185</v>
      </c>
      <c r="AM138" s="50">
        <f t="shared" si="102"/>
        <v>191860</v>
      </c>
      <c r="AN138" s="50">
        <f t="shared" si="102"/>
        <v>191535</v>
      </c>
      <c r="AO138" s="50">
        <f t="shared" si="102"/>
        <v>191210</v>
      </c>
      <c r="AP138" s="50">
        <f>ROUND(SUM(AC138:AO138)/13,0)</f>
        <v>193160</v>
      </c>
      <c r="AQ138" s="33"/>
      <c r="AR138" s="33"/>
    </row>
    <row r="139" spans="1:44" ht="13.2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</row>
    <row r="140" spans="1:44" ht="13.2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</row>
    <row r="141" spans="1:44" ht="13.2" x14ac:dyDescent="0.25">
      <c r="A141" s="30"/>
      <c r="B141" s="31" t="s">
        <v>381</v>
      </c>
      <c r="C141" s="52">
        <f t="shared" ref="C141:P141" si="103">SUM(C137:C139)</f>
        <v>1104427</v>
      </c>
      <c r="D141" s="52">
        <f t="shared" si="103"/>
        <v>1111085</v>
      </c>
      <c r="E141" s="52">
        <f t="shared" si="103"/>
        <v>1119625</v>
      </c>
      <c r="F141" s="52">
        <f t="shared" si="103"/>
        <v>1122966</v>
      </c>
      <c r="G141" s="52">
        <f t="shared" si="103"/>
        <v>1131120</v>
      </c>
      <c r="H141" s="52">
        <f t="shared" si="103"/>
        <v>1138698</v>
      </c>
      <c r="I141" s="52">
        <f t="shared" si="103"/>
        <v>994994</v>
      </c>
      <c r="J141" s="52">
        <f t="shared" si="103"/>
        <v>1001909</v>
      </c>
      <c r="K141" s="52">
        <f t="shared" si="103"/>
        <v>1008361</v>
      </c>
      <c r="L141" s="52">
        <f t="shared" si="103"/>
        <v>1014919</v>
      </c>
      <c r="M141" s="52">
        <f t="shared" si="103"/>
        <v>1020917</v>
      </c>
      <c r="N141" s="52">
        <f t="shared" si="103"/>
        <v>1022553</v>
      </c>
      <c r="O141" s="52">
        <f t="shared" si="103"/>
        <v>1028530</v>
      </c>
      <c r="P141" s="52">
        <f t="shared" si="103"/>
        <v>1063084</v>
      </c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0"/>
      <c r="AB141" s="31" t="s">
        <v>381</v>
      </c>
      <c r="AC141" s="52">
        <f t="shared" ref="AC141:AP141" si="104">SUM(AC137:AC139)</f>
        <v>195110</v>
      </c>
      <c r="AD141" s="52">
        <f t="shared" si="104"/>
        <v>194785</v>
      </c>
      <c r="AE141" s="52">
        <f t="shared" si="104"/>
        <v>194460</v>
      </c>
      <c r="AF141" s="52">
        <f t="shared" si="104"/>
        <v>194135</v>
      </c>
      <c r="AG141" s="52">
        <f t="shared" si="104"/>
        <v>193810</v>
      </c>
      <c r="AH141" s="52">
        <f t="shared" si="104"/>
        <v>193485</v>
      </c>
      <c r="AI141" s="52">
        <f t="shared" si="104"/>
        <v>193160</v>
      </c>
      <c r="AJ141" s="52">
        <f t="shared" si="104"/>
        <v>192835</v>
      </c>
      <c r="AK141" s="52">
        <f t="shared" si="104"/>
        <v>192510</v>
      </c>
      <c r="AL141" s="52">
        <f t="shared" si="104"/>
        <v>192185</v>
      </c>
      <c r="AM141" s="52">
        <f t="shared" si="104"/>
        <v>191860</v>
      </c>
      <c r="AN141" s="52">
        <f t="shared" si="104"/>
        <v>191535</v>
      </c>
      <c r="AO141" s="52">
        <f t="shared" si="104"/>
        <v>191210</v>
      </c>
      <c r="AP141" s="52">
        <f t="shared" si="104"/>
        <v>193160</v>
      </c>
      <c r="AQ141" s="33"/>
      <c r="AR141" s="33"/>
    </row>
    <row r="142" spans="1:44" ht="13.2" x14ac:dyDescent="0.25">
      <c r="A142" s="33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33"/>
      <c r="AR142" s="33"/>
    </row>
    <row r="143" spans="1:44" ht="13.2" x14ac:dyDescent="0.25">
      <c r="A143" s="33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33"/>
      <c r="AQ143" s="33"/>
      <c r="AR143" s="33"/>
    </row>
    <row r="144" spans="1:44" ht="13.2" x14ac:dyDescent="0.25">
      <c r="A144" s="30"/>
      <c r="B144" s="31" t="s">
        <v>382</v>
      </c>
      <c r="C144" s="33"/>
      <c r="D144" s="157">
        <f>BACKUP!D468</f>
        <v>6658</v>
      </c>
      <c r="E144" s="157">
        <f>BACKUP!E468</f>
        <v>8540</v>
      </c>
      <c r="F144" s="157">
        <f>BACKUP!F468</f>
        <v>3341</v>
      </c>
      <c r="G144" s="157">
        <f>BACKUP!G468</f>
        <v>8154</v>
      </c>
      <c r="H144" s="157">
        <f>BACKUP!H468</f>
        <v>7578</v>
      </c>
      <c r="I144" s="157">
        <f>BACKUP!I468</f>
        <v>6296</v>
      </c>
      <c r="J144" s="157">
        <f>BACKUP!J468</f>
        <v>6915</v>
      </c>
      <c r="K144" s="157">
        <f>BACKUP!K468</f>
        <v>6452</v>
      </c>
      <c r="L144" s="157">
        <f>BACKUP!L468</f>
        <v>6558</v>
      </c>
      <c r="M144" s="157">
        <f>BACKUP!M468</f>
        <v>5998</v>
      </c>
      <c r="N144" s="157">
        <f>BACKUP!N468</f>
        <v>5486</v>
      </c>
      <c r="O144" s="157">
        <f>BACKUP!O468</f>
        <v>5977</v>
      </c>
      <c r="P144" s="157">
        <f>BACKUP!P468</f>
        <v>77953</v>
      </c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0"/>
      <c r="AB144" s="31" t="s">
        <v>382</v>
      </c>
      <c r="AC144" s="33"/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9">
        <v>0</v>
      </c>
      <c r="AJ144" s="49">
        <v>0</v>
      </c>
      <c r="AK144" s="49">
        <v>0</v>
      </c>
      <c r="AL144" s="49">
        <v>0</v>
      </c>
      <c r="AM144" s="49">
        <v>0</v>
      </c>
      <c r="AN144" s="49">
        <v>0</v>
      </c>
      <c r="AO144" s="49">
        <v>0</v>
      </c>
      <c r="AP144" s="49">
        <f>SUM(AC144:AO144)</f>
        <v>0</v>
      </c>
      <c r="AQ144" s="33"/>
      <c r="AR144" s="33"/>
    </row>
    <row r="145" spans="1:44" ht="13.2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</row>
    <row r="146" spans="1:44" ht="13.2" x14ac:dyDescent="0.25">
      <c r="A146" s="30"/>
      <c r="B146" s="31" t="s">
        <v>383</v>
      </c>
      <c r="C146" s="33"/>
      <c r="D146" s="53">
        <f t="shared" ref="D146:P146" si="105">D144/D141</f>
        <v>5.9923408200092702E-3</v>
      </c>
      <c r="E146" s="53">
        <f t="shared" si="105"/>
        <v>7.6275538684827506E-3</v>
      </c>
      <c r="F146" s="53">
        <f t="shared" si="105"/>
        <v>2.9751568613831584E-3</v>
      </c>
      <c r="G146" s="53">
        <f t="shared" si="105"/>
        <v>7.2087842138765122E-3</v>
      </c>
      <c r="H146" s="53">
        <f t="shared" si="105"/>
        <v>6.6549690962836505E-3</v>
      </c>
      <c r="I146" s="53">
        <f t="shared" si="105"/>
        <v>6.3276763477970724E-3</v>
      </c>
      <c r="J146" s="53">
        <f t="shared" si="105"/>
        <v>6.9018244171875891E-3</v>
      </c>
      <c r="K146" s="53">
        <f t="shared" si="105"/>
        <v>6.3985021237433813E-3</v>
      </c>
      <c r="L146" s="53">
        <f t="shared" si="105"/>
        <v>6.4615993985726941E-3</v>
      </c>
      <c r="M146" s="53">
        <f t="shared" si="105"/>
        <v>5.8751103174890813E-3</v>
      </c>
      <c r="N146" s="53">
        <f t="shared" si="105"/>
        <v>5.3650030854146434E-3</v>
      </c>
      <c r="O146" s="53">
        <f t="shared" si="105"/>
        <v>5.8112062846975782E-3</v>
      </c>
      <c r="P146" s="53">
        <f t="shared" si="105"/>
        <v>7.3327225318036954E-2</v>
      </c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0"/>
      <c r="AB146" s="31" t="s">
        <v>383</v>
      </c>
      <c r="AC146" s="33"/>
      <c r="AD146" s="53">
        <f t="shared" ref="AD146:AP146" si="106">AD144/AD141</f>
        <v>0</v>
      </c>
      <c r="AE146" s="53">
        <f t="shared" si="106"/>
        <v>0</v>
      </c>
      <c r="AF146" s="53">
        <f t="shared" si="106"/>
        <v>0</v>
      </c>
      <c r="AG146" s="53">
        <f t="shared" si="106"/>
        <v>0</v>
      </c>
      <c r="AH146" s="53">
        <f t="shared" si="106"/>
        <v>0</v>
      </c>
      <c r="AI146" s="53">
        <f t="shared" si="106"/>
        <v>0</v>
      </c>
      <c r="AJ146" s="53">
        <f t="shared" si="106"/>
        <v>0</v>
      </c>
      <c r="AK146" s="53">
        <f t="shared" si="106"/>
        <v>0</v>
      </c>
      <c r="AL146" s="53">
        <f t="shared" si="106"/>
        <v>0</v>
      </c>
      <c r="AM146" s="53">
        <f t="shared" si="106"/>
        <v>0</v>
      </c>
      <c r="AN146" s="53">
        <f t="shared" si="106"/>
        <v>0</v>
      </c>
      <c r="AO146" s="53">
        <f t="shared" si="106"/>
        <v>0</v>
      </c>
      <c r="AP146" s="53">
        <f t="shared" si="106"/>
        <v>0</v>
      </c>
      <c r="AQ146" s="33"/>
      <c r="AR146" s="33"/>
    </row>
    <row r="147" spans="1:44" ht="13.2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</row>
    <row r="148" spans="1:44" ht="13.2" x14ac:dyDescent="0.25">
      <c r="A148" s="33"/>
      <c r="B148" s="48" t="s">
        <v>342</v>
      </c>
      <c r="C148" s="46" t="e">
        <f t="shared" ref="C148:O148" si="107">C120-C130-C141</f>
        <v>#REF!</v>
      </c>
      <c r="D148" s="46" t="e">
        <f t="shared" si="107"/>
        <v>#REF!</v>
      </c>
      <c r="E148" s="46" t="e">
        <f t="shared" si="107"/>
        <v>#REF!</v>
      </c>
      <c r="F148" s="46" t="e">
        <f t="shared" si="107"/>
        <v>#REF!</v>
      </c>
      <c r="G148" s="46" t="e">
        <f t="shared" si="107"/>
        <v>#REF!</v>
      </c>
      <c r="H148" s="46" t="e">
        <f t="shared" si="107"/>
        <v>#REF!</v>
      </c>
      <c r="I148" s="46" t="e">
        <f t="shared" si="107"/>
        <v>#REF!</v>
      </c>
      <c r="J148" s="46" t="e">
        <f t="shared" si="107"/>
        <v>#REF!</v>
      </c>
      <c r="K148" s="46" t="e">
        <f t="shared" si="107"/>
        <v>#REF!</v>
      </c>
      <c r="L148" s="46" t="e">
        <f t="shared" si="107"/>
        <v>#REF!</v>
      </c>
      <c r="M148" s="46" t="e">
        <f t="shared" si="107"/>
        <v>#REF!</v>
      </c>
      <c r="N148" s="46" t="e">
        <f t="shared" si="107"/>
        <v>#REF!</v>
      </c>
      <c r="O148" s="46" t="e">
        <f t="shared" si="107"/>
        <v>#REF!</v>
      </c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48" t="s">
        <v>342</v>
      </c>
      <c r="AC148" s="46" t="e">
        <f t="shared" ref="AC148:AO148" si="108">AC120-AC130-AC141</f>
        <v>#REF!</v>
      </c>
      <c r="AD148" s="46" t="e">
        <f t="shared" si="108"/>
        <v>#REF!</v>
      </c>
      <c r="AE148" s="46" t="e">
        <f t="shared" si="108"/>
        <v>#REF!</v>
      </c>
      <c r="AF148" s="46" t="e">
        <f t="shared" si="108"/>
        <v>#REF!</v>
      </c>
      <c r="AG148" s="46" t="e">
        <f t="shared" si="108"/>
        <v>#REF!</v>
      </c>
      <c r="AH148" s="46" t="e">
        <f t="shared" si="108"/>
        <v>#REF!</v>
      </c>
      <c r="AI148" s="46" t="e">
        <f t="shared" si="108"/>
        <v>#REF!</v>
      </c>
      <c r="AJ148" s="46" t="e">
        <f t="shared" si="108"/>
        <v>#REF!</v>
      </c>
      <c r="AK148" s="46" t="e">
        <f t="shared" si="108"/>
        <v>#REF!</v>
      </c>
      <c r="AL148" s="46" t="e">
        <f t="shared" si="108"/>
        <v>#REF!</v>
      </c>
      <c r="AM148" s="46" t="e">
        <f t="shared" si="108"/>
        <v>#REF!</v>
      </c>
      <c r="AN148" s="46" t="e">
        <f t="shared" si="108"/>
        <v>#REF!</v>
      </c>
      <c r="AO148" s="46" t="e">
        <f t="shared" si="108"/>
        <v>#REF!</v>
      </c>
      <c r="AP148" s="33"/>
      <c r="AQ148" s="33"/>
      <c r="AR148" s="33"/>
    </row>
    <row r="149" spans="1:44" ht="13.2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</row>
    <row r="150" spans="1:44" ht="13.2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</row>
    <row r="151" spans="1:44" ht="13.2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</row>
    <row r="152" spans="1:44" ht="8.1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</row>
    <row r="153" spans="1:44" ht="13.2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</row>
    <row r="154" spans="1:44" ht="13.2" x14ac:dyDescent="0.25">
      <c r="A154" s="34" t="str">
        <f ca="1">A1</f>
        <v>P:\Finance\2001CE\[TW3rdCECF.xls]BACKUP</v>
      </c>
      <c r="B154" s="30"/>
      <c r="C154" s="30"/>
      <c r="D154" s="30"/>
      <c r="E154" s="30"/>
      <c r="F154" s="170" t="str">
        <f>F1</f>
        <v>TRANSWESTERN PIPELINE GROUP (Including Co. 92)</v>
      </c>
      <c r="G154" s="170"/>
      <c r="H154" s="170"/>
      <c r="I154" s="170"/>
      <c r="J154" s="30"/>
      <c r="K154" s="30"/>
      <c r="L154" s="30"/>
      <c r="M154" s="30"/>
      <c r="N154" s="30"/>
      <c r="O154" s="30"/>
      <c r="P154" s="32">
        <f ca="1">NOW()</f>
        <v>37197.64694421296</v>
      </c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4" t="str">
        <f ca="1">A1</f>
        <v>P:\Finance\2001CE\[TW3rdCECF.xls]BACKUP</v>
      </c>
      <c r="AB154" s="30"/>
      <c r="AC154" s="30"/>
      <c r="AD154" s="30"/>
      <c r="AE154" s="30"/>
      <c r="AF154" s="30" t="str">
        <f>AF1</f>
        <v>FAIR VALUE COMPANY (Co. 92)</v>
      </c>
      <c r="AG154" s="30"/>
      <c r="AH154" s="30"/>
      <c r="AI154" s="30"/>
      <c r="AJ154" s="30"/>
      <c r="AK154" s="30"/>
      <c r="AL154" s="30"/>
      <c r="AM154" s="30"/>
      <c r="AN154" s="30"/>
      <c r="AO154" s="30"/>
      <c r="AP154" s="32">
        <f ca="1">NOW()</f>
        <v>37197.64694421296</v>
      </c>
      <c r="AQ154" s="33"/>
      <c r="AR154" s="33"/>
    </row>
    <row r="155" spans="1:44" ht="13.2" x14ac:dyDescent="0.25">
      <c r="A155" s="59" t="s">
        <v>384</v>
      </c>
      <c r="B155" s="30"/>
      <c r="C155" s="30"/>
      <c r="D155" s="30"/>
      <c r="E155" s="30"/>
      <c r="F155" s="175" t="s">
        <v>385</v>
      </c>
      <c r="G155" s="170"/>
      <c r="H155" s="170"/>
      <c r="I155" s="170"/>
      <c r="J155" s="30"/>
      <c r="K155" s="30"/>
      <c r="L155" s="30"/>
      <c r="M155" s="30"/>
      <c r="N155" s="30"/>
      <c r="O155" s="30"/>
      <c r="P155" s="37">
        <f ca="1">NOW()</f>
        <v>37197.64694421296</v>
      </c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59" t="s">
        <v>386</v>
      </c>
      <c r="AB155" s="30"/>
      <c r="AC155" s="30"/>
      <c r="AD155" s="30"/>
      <c r="AE155" s="30"/>
      <c r="AF155" s="40" t="s">
        <v>387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7">
        <f ca="1">NOW()</f>
        <v>37197.64694421296</v>
      </c>
      <c r="AQ155" s="33"/>
      <c r="AR155" s="33"/>
    </row>
    <row r="156" spans="1:44" ht="13.2" x14ac:dyDescent="0.25">
      <c r="A156" s="39"/>
      <c r="B156" s="30"/>
      <c r="C156" s="30"/>
      <c r="D156" s="30"/>
      <c r="E156" s="30"/>
      <c r="F156" s="170" t="str">
        <f>F3</f>
        <v>2001 ACTUAL / ESTIMATE</v>
      </c>
      <c r="G156" s="170"/>
      <c r="H156" s="170"/>
      <c r="I156" s="170"/>
      <c r="J156" s="30"/>
      <c r="K156" s="30"/>
      <c r="L156" s="30"/>
      <c r="M156" s="30"/>
      <c r="N156" s="30"/>
      <c r="O156" s="30"/>
      <c r="P156" s="30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9"/>
      <c r="AB156" s="30"/>
      <c r="AC156" s="30"/>
      <c r="AD156" s="30"/>
      <c r="AE156" s="30"/>
      <c r="AF156" s="30" t="str">
        <f>AF3</f>
        <v>2001 ACTUAL / ESTIMATE</v>
      </c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3"/>
      <c r="AR156" s="33"/>
    </row>
    <row r="157" spans="1:44" ht="13.2" x14ac:dyDescent="0.25">
      <c r="A157" s="30"/>
      <c r="B157" s="30"/>
      <c r="C157" s="30"/>
      <c r="D157" s="30"/>
      <c r="E157" s="30"/>
      <c r="F157" s="170" t="str">
        <f>F4</f>
        <v>(Thousands of Dollars)</v>
      </c>
      <c r="G157" s="170"/>
      <c r="H157" s="170"/>
      <c r="I157" s="170"/>
      <c r="J157" s="30"/>
      <c r="K157" s="30"/>
      <c r="L157" s="30"/>
      <c r="M157" s="30"/>
      <c r="N157" s="30"/>
      <c r="O157" s="30"/>
      <c r="P157" s="30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0"/>
      <c r="AB157" s="30"/>
      <c r="AC157" s="30"/>
      <c r="AD157" s="30"/>
      <c r="AE157" s="30"/>
      <c r="AF157" s="30" t="str">
        <f>AF4</f>
        <v>(Thousands of Dollars)</v>
      </c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3"/>
      <c r="AR157" s="33"/>
    </row>
    <row r="158" spans="1:44" ht="13.2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3"/>
      <c r="AR158" s="33"/>
    </row>
    <row r="159" spans="1:44" ht="13.2" x14ac:dyDescent="0.25">
      <c r="A159" s="30"/>
      <c r="B159" s="30"/>
      <c r="C159" s="41"/>
      <c r="D159" s="60"/>
      <c r="E159" s="61"/>
      <c r="F159" s="60"/>
      <c r="G159" s="57"/>
      <c r="H159" s="57"/>
      <c r="I159" s="56"/>
      <c r="J159" s="57"/>
      <c r="K159" s="60"/>
      <c r="L159" s="60"/>
      <c r="M159" s="60"/>
      <c r="N159" s="60"/>
      <c r="O159" s="60"/>
      <c r="P159" s="30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0"/>
      <c r="AB159" s="30"/>
      <c r="AC159" s="30"/>
      <c r="AD159" s="30"/>
      <c r="AE159" s="33"/>
      <c r="AF159" s="30"/>
      <c r="AG159" s="41"/>
      <c r="AH159" s="41"/>
      <c r="AI159" s="30"/>
      <c r="AJ159" s="30"/>
      <c r="AK159" s="30"/>
      <c r="AL159" s="30"/>
      <c r="AM159" s="30"/>
      <c r="AN159" s="30"/>
      <c r="AO159" s="30"/>
      <c r="AP159" s="30"/>
      <c r="AQ159" s="33"/>
      <c r="AR159" s="33"/>
    </row>
    <row r="160" spans="1:44" ht="13.2" x14ac:dyDescent="0.25">
      <c r="A160" s="30"/>
      <c r="B160" s="30"/>
      <c r="C160" s="42" t="str">
        <f t="shared" ref="C160:O160" si="109">C7</f>
        <v>ACTUAL</v>
      </c>
      <c r="D160" s="42" t="str">
        <f t="shared" si="109"/>
        <v>ACT.</v>
      </c>
      <c r="E160" s="42" t="str">
        <f t="shared" si="109"/>
        <v>ACT.</v>
      </c>
      <c r="F160" s="42" t="str">
        <f t="shared" si="109"/>
        <v>ACT.</v>
      </c>
      <c r="G160" s="42" t="str">
        <f t="shared" si="109"/>
        <v>ACT.</v>
      </c>
      <c r="H160" s="42" t="str">
        <f t="shared" si="109"/>
        <v>ACT.</v>
      </c>
      <c r="I160" s="42" t="str">
        <f t="shared" si="109"/>
        <v>ACT.</v>
      </c>
      <c r="J160" s="42" t="str">
        <f t="shared" si="109"/>
        <v>ACT.</v>
      </c>
      <c r="K160" s="42" t="str">
        <f t="shared" si="109"/>
        <v>ACT.</v>
      </c>
      <c r="L160" s="42" t="str">
        <f t="shared" si="109"/>
        <v>3rd CE</v>
      </c>
      <c r="M160" s="42" t="str">
        <f t="shared" si="109"/>
        <v>3rd CE</v>
      </c>
      <c r="N160" s="42" t="str">
        <f t="shared" si="109"/>
        <v>3rd CE</v>
      </c>
      <c r="O160" s="42" t="str">
        <f t="shared" si="109"/>
        <v>3rd CE</v>
      </c>
      <c r="P160" s="30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0"/>
      <c r="AB160" s="30"/>
      <c r="AC160" s="42" t="s">
        <v>7</v>
      </c>
      <c r="AD160" s="42" t="s">
        <v>7</v>
      </c>
      <c r="AE160" s="42" t="s">
        <v>7</v>
      </c>
      <c r="AF160" s="42" t="s">
        <v>7</v>
      </c>
      <c r="AG160" s="42" t="s">
        <v>7</v>
      </c>
      <c r="AH160" s="42" t="s">
        <v>7</v>
      </c>
      <c r="AI160" s="42" t="s">
        <v>7</v>
      </c>
      <c r="AJ160" s="42" t="s">
        <v>7</v>
      </c>
      <c r="AK160" s="42" t="s">
        <v>7</v>
      </c>
      <c r="AL160" s="42" t="s">
        <v>7</v>
      </c>
      <c r="AM160" s="42" t="s">
        <v>7</v>
      </c>
      <c r="AN160" s="42" t="s">
        <v>7</v>
      </c>
      <c r="AO160" s="42" t="s">
        <v>7</v>
      </c>
      <c r="AP160" s="30"/>
      <c r="AQ160" s="33"/>
      <c r="AR160" s="33"/>
    </row>
    <row r="161" spans="1:44" ht="13.2" x14ac:dyDescent="0.25">
      <c r="A161" s="30"/>
      <c r="B161" s="30"/>
      <c r="C161" s="43" t="str">
        <f t="shared" ref="C161:O161" si="110">C8</f>
        <v xml:space="preserve">BALANCE </v>
      </c>
      <c r="D161" s="43" t="str">
        <f t="shared" si="110"/>
        <v>JAN</v>
      </c>
      <c r="E161" s="43" t="str">
        <f t="shared" si="110"/>
        <v>FEB</v>
      </c>
      <c r="F161" s="43" t="str">
        <f t="shared" si="110"/>
        <v>MAR</v>
      </c>
      <c r="G161" s="43" t="str">
        <f t="shared" si="110"/>
        <v>APR</v>
      </c>
      <c r="H161" s="43" t="str">
        <f t="shared" si="110"/>
        <v>MAY</v>
      </c>
      <c r="I161" s="43" t="str">
        <f t="shared" si="110"/>
        <v>JUN</v>
      </c>
      <c r="J161" s="43" t="str">
        <f t="shared" si="110"/>
        <v>JUL</v>
      </c>
      <c r="K161" s="43" t="str">
        <f t="shared" si="110"/>
        <v>AUG</v>
      </c>
      <c r="L161" s="43" t="str">
        <f t="shared" si="110"/>
        <v>SEP</v>
      </c>
      <c r="M161" s="43" t="str">
        <f t="shared" si="110"/>
        <v>OCT</v>
      </c>
      <c r="N161" s="43" t="str">
        <f t="shared" si="110"/>
        <v>NOV</v>
      </c>
      <c r="O161" s="43" t="str">
        <f t="shared" si="110"/>
        <v>DEC</v>
      </c>
      <c r="P161" s="30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0"/>
      <c r="AB161" s="30"/>
      <c r="AC161" s="43" t="s">
        <v>24</v>
      </c>
      <c r="AD161" s="43" t="s">
        <v>13</v>
      </c>
      <c r="AE161" s="43" t="s">
        <v>14</v>
      </c>
      <c r="AF161" s="43" t="s">
        <v>15</v>
      </c>
      <c r="AG161" s="43" t="s">
        <v>16</v>
      </c>
      <c r="AH161" s="43" t="s">
        <v>17</v>
      </c>
      <c r="AI161" s="43" t="s">
        <v>349</v>
      </c>
      <c r="AJ161" s="43" t="s">
        <v>19</v>
      </c>
      <c r="AK161" s="43" t="s">
        <v>20</v>
      </c>
      <c r="AL161" s="43" t="s">
        <v>21</v>
      </c>
      <c r="AM161" s="43" t="s">
        <v>22</v>
      </c>
      <c r="AN161" s="43" t="s">
        <v>23</v>
      </c>
      <c r="AO161" s="43" t="s">
        <v>24</v>
      </c>
      <c r="AP161" s="30"/>
      <c r="AQ161" s="33"/>
      <c r="AR161" s="33"/>
    </row>
    <row r="162" spans="1:44" ht="13.2" x14ac:dyDescent="0.25">
      <c r="A162" s="30"/>
      <c r="B162" s="30"/>
      <c r="C162" s="44" t="str">
        <f t="shared" ref="C162:O162" si="111">C9</f>
        <v>12/31/00</v>
      </c>
      <c r="D162" s="44">
        <f t="shared" si="111"/>
        <v>2001</v>
      </c>
      <c r="E162" s="44">
        <f t="shared" si="111"/>
        <v>2001</v>
      </c>
      <c r="F162" s="44">
        <f t="shared" si="111"/>
        <v>2001</v>
      </c>
      <c r="G162" s="44">
        <f t="shared" si="111"/>
        <v>2001</v>
      </c>
      <c r="H162" s="44">
        <f t="shared" si="111"/>
        <v>2001</v>
      </c>
      <c r="I162" s="44">
        <f t="shared" si="111"/>
        <v>2001</v>
      </c>
      <c r="J162" s="44">
        <f t="shared" si="111"/>
        <v>2001</v>
      </c>
      <c r="K162" s="44">
        <f t="shared" si="111"/>
        <v>2001</v>
      </c>
      <c r="L162" s="44">
        <f t="shared" si="111"/>
        <v>2001</v>
      </c>
      <c r="M162" s="44">
        <f t="shared" si="111"/>
        <v>2001</v>
      </c>
      <c r="N162" s="44">
        <f t="shared" si="111"/>
        <v>2001</v>
      </c>
      <c r="O162" s="44">
        <f t="shared" si="111"/>
        <v>2001</v>
      </c>
      <c r="P162" s="54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0"/>
      <c r="AB162" s="30"/>
      <c r="AC162" s="45" t="s">
        <v>352</v>
      </c>
      <c r="AD162" s="45" t="s">
        <v>350</v>
      </c>
      <c r="AE162" s="45" t="s">
        <v>350</v>
      </c>
      <c r="AF162" s="45" t="s">
        <v>350</v>
      </c>
      <c r="AG162" s="45" t="s">
        <v>350</v>
      </c>
      <c r="AH162" s="45" t="s">
        <v>350</v>
      </c>
      <c r="AI162" s="45" t="s">
        <v>350</v>
      </c>
      <c r="AJ162" s="45" t="s">
        <v>350</v>
      </c>
      <c r="AK162" s="45" t="s">
        <v>350</v>
      </c>
      <c r="AL162" s="45" t="s">
        <v>350</v>
      </c>
      <c r="AM162" s="45" t="s">
        <v>350</v>
      </c>
      <c r="AN162" s="45" t="s">
        <v>350</v>
      </c>
      <c r="AO162" s="45" t="s">
        <v>350</v>
      </c>
      <c r="AP162" s="54"/>
      <c r="AQ162" s="33"/>
      <c r="AR162" s="33"/>
    </row>
    <row r="163" spans="1:44" ht="6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</row>
    <row r="164" spans="1:44" ht="13.2" x14ac:dyDescent="0.25">
      <c r="A164" s="30"/>
      <c r="B164" s="31" t="s">
        <v>388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0"/>
      <c r="AB164" s="31" t="s">
        <v>388</v>
      </c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</row>
    <row r="165" spans="1:44" ht="13.2" x14ac:dyDescent="0.25">
      <c r="A165" s="47" t="s">
        <v>275</v>
      </c>
      <c r="B165" s="48" t="s">
        <v>389</v>
      </c>
      <c r="C165" s="46">
        <f t="shared" ref="C165:O165" si="112">C12</f>
        <v>4</v>
      </c>
      <c r="D165" s="46">
        <f t="shared" si="112"/>
        <v>4</v>
      </c>
      <c r="E165" s="46">
        <f t="shared" si="112"/>
        <v>4</v>
      </c>
      <c r="F165" s="46">
        <f t="shared" si="112"/>
        <v>4</v>
      </c>
      <c r="G165" s="46">
        <f t="shared" si="112"/>
        <v>4</v>
      </c>
      <c r="H165" s="46">
        <f t="shared" si="112"/>
        <v>4</v>
      </c>
      <c r="I165" s="46">
        <f t="shared" si="112"/>
        <v>4</v>
      </c>
      <c r="J165" s="46">
        <f t="shared" si="112"/>
        <v>3</v>
      </c>
      <c r="K165" s="46">
        <f t="shared" si="112"/>
        <v>3</v>
      </c>
      <c r="L165" s="46">
        <f t="shared" si="112"/>
        <v>3</v>
      </c>
      <c r="M165" s="46">
        <f t="shared" si="112"/>
        <v>3</v>
      </c>
      <c r="N165" s="46">
        <f t="shared" si="112"/>
        <v>3</v>
      </c>
      <c r="O165" s="46">
        <f t="shared" si="112"/>
        <v>3</v>
      </c>
      <c r="P165" s="46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47" t="s">
        <v>275</v>
      </c>
      <c r="AB165" s="48" t="s">
        <v>389</v>
      </c>
      <c r="AC165" s="46">
        <f t="shared" ref="AC165:AO165" si="113">AC12</f>
        <v>0</v>
      </c>
      <c r="AD165" s="46">
        <f t="shared" si="113"/>
        <v>0</v>
      </c>
      <c r="AE165" s="46">
        <f t="shared" si="113"/>
        <v>0</v>
      </c>
      <c r="AF165" s="46">
        <f t="shared" si="113"/>
        <v>0</v>
      </c>
      <c r="AG165" s="46">
        <f t="shared" si="113"/>
        <v>0</v>
      </c>
      <c r="AH165" s="46">
        <f t="shared" si="113"/>
        <v>0</v>
      </c>
      <c r="AI165" s="46">
        <f t="shared" si="113"/>
        <v>0</v>
      </c>
      <c r="AJ165" s="46">
        <f t="shared" si="113"/>
        <v>0</v>
      </c>
      <c r="AK165" s="46">
        <f t="shared" si="113"/>
        <v>0</v>
      </c>
      <c r="AL165" s="46">
        <f t="shared" si="113"/>
        <v>0</v>
      </c>
      <c r="AM165" s="46">
        <f t="shared" si="113"/>
        <v>0</v>
      </c>
      <c r="AN165" s="46">
        <f t="shared" si="113"/>
        <v>0</v>
      </c>
      <c r="AO165" s="46">
        <f t="shared" si="113"/>
        <v>0</v>
      </c>
      <c r="AP165" s="46"/>
      <c r="AQ165" s="33"/>
      <c r="AR165" s="33"/>
    </row>
    <row r="166" spans="1:44" ht="13.2" x14ac:dyDescent="0.25">
      <c r="A166" s="47" t="s">
        <v>277</v>
      </c>
      <c r="B166" s="48" t="s">
        <v>390</v>
      </c>
      <c r="C166" s="46">
        <f t="shared" ref="C166:O166" si="114">C13</f>
        <v>7581</v>
      </c>
      <c r="D166" s="46">
        <f t="shared" si="114"/>
        <v>6648</v>
      </c>
      <c r="E166" s="46">
        <f t="shared" si="114"/>
        <v>7120</v>
      </c>
      <c r="F166" s="46">
        <f t="shared" si="114"/>
        <v>21572</v>
      </c>
      <c r="G166" s="46">
        <f t="shared" si="114"/>
        <v>17146</v>
      </c>
      <c r="H166" s="46">
        <f t="shared" si="114"/>
        <v>19651</v>
      </c>
      <c r="I166" s="46">
        <f t="shared" si="114"/>
        <v>8677</v>
      </c>
      <c r="J166" s="46">
        <f t="shared" si="114"/>
        <v>20275</v>
      </c>
      <c r="K166" s="46">
        <f t="shared" si="114"/>
        <v>20296</v>
      </c>
      <c r="L166" s="46">
        <f t="shared" si="114"/>
        <v>23229</v>
      </c>
      <c r="M166" s="46">
        <f t="shared" si="114"/>
        <v>23196</v>
      </c>
      <c r="N166" s="46">
        <f t="shared" si="114"/>
        <v>22347</v>
      </c>
      <c r="O166" s="46">
        <f t="shared" si="114"/>
        <v>22942</v>
      </c>
      <c r="P166" s="46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47" t="s">
        <v>277</v>
      </c>
      <c r="AB166" s="48" t="s">
        <v>390</v>
      </c>
      <c r="AC166" s="46">
        <f t="shared" ref="AC166:AO166" si="115">AC13</f>
        <v>0</v>
      </c>
      <c r="AD166" s="46">
        <f t="shared" si="115"/>
        <v>0</v>
      </c>
      <c r="AE166" s="46">
        <f t="shared" si="115"/>
        <v>0</v>
      </c>
      <c r="AF166" s="46">
        <f t="shared" si="115"/>
        <v>0</v>
      </c>
      <c r="AG166" s="46">
        <f t="shared" si="115"/>
        <v>0</v>
      </c>
      <c r="AH166" s="46">
        <f t="shared" si="115"/>
        <v>0</v>
      </c>
      <c r="AI166" s="46">
        <f t="shared" si="115"/>
        <v>0</v>
      </c>
      <c r="AJ166" s="46">
        <f t="shared" si="115"/>
        <v>0</v>
      </c>
      <c r="AK166" s="46">
        <f t="shared" si="115"/>
        <v>0</v>
      </c>
      <c r="AL166" s="46">
        <f t="shared" si="115"/>
        <v>0</v>
      </c>
      <c r="AM166" s="46">
        <f t="shared" si="115"/>
        <v>0</v>
      </c>
      <c r="AN166" s="46">
        <f t="shared" si="115"/>
        <v>0</v>
      </c>
      <c r="AO166" s="46">
        <f t="shared" si="115"/>
        <v>0</v>
      </c>
      <c r="AP166" s="46"/>
      <c r="AQ166" s="33"/>
      <c r="AR166" s="33"/>
    </row>
    <row r="167" spans="1:44" ht="13.2" x14ac:dyDescent="0.25">
      <c r="A167" s="47" t="s">
        <v>279</v>
      </c>
      <c r="B167" s="58" t="s">
        <v>391</v>
      </c>
      <c r="C167" s="46">
        <f t="shared" ref="C167:O167" si="116">C14</f>
        <v>524956</v>
      </c>
      <c r="D167" s="46">
        <f t="shared" si="116"/>
        <v>541799</v>
      </c>
      <c r="E167" s="46">
        <f t="shared" si="116"/>
        <v>560015</v>
      </c>
      <c r="F167" s="46">
        <f t="shared" si="116"/>
        <v>579696</v>
      </c>
      <c r="G167" s="46">
        <f t="shared" si="116"/>
        <v>591337</v>
      </c>
      <c r="H167" s="46">
        <f t="shared" si="116"/>
        <v>587311</v>
      </c>
      <c r="I167" s="46">
        <f t="shared" si="116"/>
        <v>460025</v>
      </c>
      <c r="J167" s="46">
        <f t="shared" si="116"/>
        <v>461271</v>
      </c>
      <c r="K167" s="46">
        <f t="shared" si="116"/>
        <v>476871</v>
      </c>
      <c r="L167" s="46">
        <f t="shared" si="116"/>
        <v>478771</v>
      </c>
      <c r="M167" s="46">
        <f t="shared" si="116"/>
        <v>484471</v>
      </c>
      <c r="N167" s="46">
        <f t="shared" si="116"/>
        <v>484271</v>
      </c>
      <c r="O167" s="46">
        <f t="shared" si="116"/>
        <v>484071</v>
      </c>
      <c r="P167" s="46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47"/>
      <c r="AB167" s="48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33"/>
      <c r="AR167" s="33"/>
    </row>
    <row r="168" spans="1:44" ht="13.2" x14ac:dyDescent="0.25">
      <c r="A168" s="47" t="s">
        <v>282</v>
      </c>
      <c r="B168" s="48" t="s">
        <v>392</v>
      </c>
      <c r="C168" s="46">
        <f t="shared" ref="C168:O168" si="117">C16+C17</f>
        <v>4134</v>
      </c>
      <c r="D168" s="46">
        <f t="shared" si="117"/>
        <v>4127</v>
      </c>
      <c r="E168" s="46">
        <f t="shared" si="117"/>
        <v>4133</v>
      </c>
      <c r="F168" s="46">
        <f t="shared" si="117"/>
        <v>4106</v>
      </c>
      <c r="G168" s="46">
        <f t="shared" si="117"/>
        <v>4138</v>
      </c>
      <c r="H168" s="46">
        <f t="shared" si="117"/>
        <v>4116</v>
      </c>
      <c r="I168" s="46">
        <f t="shared" si="117"/>
        <v>8592</v>
      </c>
      <c r="J168" s="46">
        <f t="shared" si="117"/>
        <v>9416</v>
      </c>
      <c r="K168" s="46">
        <f t="shared" si="117"/>
        <v>9416</v>
      </c>
      <c r="L168" s="46">
        <f t="shared" si="117"/>
        <v>9416</v>
      </c>
      <c r="M168" s="46">
        <f t="shared" si="117"/>
        <v>9416</v>
      </c>
      <c r="N168" s="46">
        <f t="shared" si="117"/>
        <v>9416</v>
      </c>
      <c r="O168" s="46">
        <f t="shared" si="117"/>
        <v>9416</v>
      </c>
      <c r="P168" s="46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47" t="s">
        <v>282</v>
      </c>
      <c r="AB168" s="48" t="s">
        <v>392</v>
      </c>
      <c r="AC168" s="46">
        <f t="shared" ref="AC168:AO168" si="118">AC16+AC17</f>
        <v>0</v>
      </c>
      <c r="AD168" s="46">
        <f t="shared" si="118"/>
        <v>0</v>
      </c>
      <c r="AE168" s="46">
        <f t="shared" si="118"/>
        <v>0</v>
      </c>
      <c r="AF168" s="46">
        <f t="shared" si="118"/>
        <v>0</v>
      </c>
      <c r="AG168" s="46">
        <f t="shared" si="118"/>
        <v>0</v>
      </c>
      <c r="AH168" s="46">
        <f t="shared" si="118"/>
        <v>0</v>
      </c>
      <c r="AI168" s="46">
        <f t="shared" si="118"/>
        <v>0</v>
      </c>
      <c r="AJ168" s="46">
        <f t="shared" si="118"/>
        <v>0</v>
      </c>
      <c r="AK168" s="46">
        <f t="shared" si="118"/>
        <v>0</v>
      </c>
      <c r="AL168" s="46">
        <f t="shared" si="118"/>
        <v>0</v>
      </c>
      <c r="AM168" s="46">
        <f t="shared" si="118"/>
        <v>0</v>
      </c>
      <c r="AN168" s="46">
        <f t="shared" si="118"/>
        <v>0</v>
      </c>
      <c r="AO168" s="46">
        <f t="shared" si="118"/>
        <v>0</v>
      </c>
      <c r="AP168" s="46"/>
      <c r="AQ168" s="33"/>
      <c r="AR168" s="33"/>
    </row>
    <row r="169" spans="1:44" ht="13.2" x14ac:dyDescent="0.25">
      <c r="A169" s="47" t="s">
        <v>285</v>
      </c>
      <c r="B169" s="48" t="s">
        <v>393</v>
      </c>
      <c r="C169" s="46">
        <f t="shared" ref="C169:O169" si="119">C18+C19+C20+C22</f>
        <v>12055</v>
      </c>
      <c r="D169" s="46">
        <f t="shared" si="119"/>
        <v>14064</v>
      </c>
      <c r="E169" s="46">
        <f t="shared" si="119"/>
        <v>13713</v>
      </c>
      <c r="F169" s="46">
        <f t="shared" si="119"/>
        <v>12436</v>
      </c>
      <c r="G169" s="46">
        <f t="shared" si="119"/>
        <v>14206</v>
      </c>
      <c r="H169" s="46">
        <f t="shared" si="119"/>
        <v>15120</v>
      </c>
      <c r="I169" s="46">
        <f t="shared" si="119"/>
        <v>15078</v>
      </c>
      <c r="J169" s="46">
        <f t="shared" si="119"/>
        <v>14544</v>
      </c>
      <c r="K169" s="46">
        <f t="shared" si="119"/>
        <v>14544</v>
      </c>
      <c r="L169" s="46">
        <f t="shared" si="119"/>
        <v>14544</v>
      </c>
      <c r="M169" s="46">
        <f t="shared" si="119"/>
        <v>14544</v>
      </c>
      <c r="N169" s="46">
        <f t="shared" si="119"/>
        <v>14544</v>
      </c>
      <c r="O169" s="46">
        <f t="shared" si="119"/>
        <v>14700</v>
      </c>
      <c r="P169" s="46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47" t="s">
        <v>285</v>
      </c>
      <c r="AB169" s="48" t="s">
        <v>393</v>
      </c>
      <c r="AC169" s="46">
        <f t="shared" ref="AC169:AO169" si="120">AC18+AC19+AC20+AC22</f>
        <v>0</v>
      </c>
      <c r="AD169" s="46">
        <f t="shared" si="120"/>
        <v>0</v>
      </c>
      <c r="AE169" s="46">
        <f t="shared" si="120"/>
        <v>0</v>
      </c>
      <c r="AF169" s="46">
        <f t="shared" si="120"/>
        <v>0</v>
      </c>
      <c r="AG169" s="46">
        <f t="shared" si="120"/>
        <v>0</v>
      </c>
      <c r="AH169" s="46">
        <f t="shared" si="120"/>
        <v>0</v>
      </c>
      <c r="AI169" s="46">
        <f t="shared" si="120"/>
        <v>0</v>
      </c>
      <c r="AJ169" s="46">
        <f t="shared" si="120"/>
        <v>0</v>
      </c>
      <c r="AK169" s="46">
        <f t="shared" si="120"/>
        <v>0</v>
      </c>
      <c r="AL169" s="46">
        <f t="shared" si="120"/>
        <v>0</v>
      </c>
      <c r="AM169" s="46">
        <f t="shared" si="120"/>
        <v>0</v>
      </c>
      <c r="AN169" s="46">
        <f t="shared" si="120"/>
        <v>0</v>
      </c>
      <c r="AO169" s="46">
        <f t="shared" si="120"/>
        <v>0</v>
      </c>
      <c r="AP169" s="46"/>
      <c r="AQ169" s="33"/>
      <c r="AR169" s="33"/>
    </row>
    <row r="170" spans="1:44" ht="13.2" x14ac:dyDescent="0.25">
      <c r="A170" s="47" t="s">
        <v>293</v>
      </c>
      <c r="B170" s="48" t="s">
        <v>394</v>
      </c>
      <c r="C170" s="46">
        <f t="shared" ref="C170:O170" si="121">C32</f>
        <v>0</v>
      </c>
      <c r="D170" s="46">
        <f t="shared" si="121"/>
        <v>128</v>
      </c>
      <c r="E170" s="46">
        <f t="shared" si="121"/>
        <v>128</v>
      </c>
      <c r="F170" s="46">
        <f t="shared" si="121"/>
        <v>128</v>
      </c>
      <c r="G170" s="46">
        <f t="shared" si="121"/>
        <v>86</v>
      </c>
      <c r="H170" s="46">
        <f t="shared" si="121"/>
        <v>10987</v>
      </c>
      <c r="I170" s="46">
        <f t="shared" si="121"/>
        <v>15539</v>
      </c>
      <c r="J170" s="46">
        <f t="shared" si="121"/>
        <v>14193</v>
      </c>
      <c r="K170" s="46">
        <f t="shared" si="121"/>
        <v>14193</v>
      </c>
      <c r="L170" s="46">
        <f t="shared" si="121"/>
        <v>14193</v>
      </c>
      <c r="M170" s="46">
        <f t="shared" si="121"/>
        <v>14193</v>
      </c>
      <c r="N170" s="46">
        <f t="shared" si="121"/>
        <v>14193</v>
      </c>
      <c r="O170" s="46">
        <f t="shared" si="121"/>
        <v>14193</v>
      </c>
      <c r="P170" s="46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47" t="s">
        <v>293</v>
      </c>
      <c r="AB170" s="48" t="s">
        <v>394</v>
      </c>
      <c r="AC170" s="46">
        <f t="shared" ref="AC170:AO170" si="122">AC32</f>
        <v>0</v>
      </c>
      <c r="AD170" s="46">
        <f t="shared" si="122"/>
        <v>0</v>
      </c>
      <c r="AE170" s="46">
        <f t="shared" si="122"/>
        <v>0</v>
      </c>
      <c r="AF170" s="46">
        <f t="shared" si="122"/>
        <v>0</v>
      </c>
      <c r="AG170" s="46">
        <f t="shared" si="122"/>
        <v>0</v>
      </c>
      <c r="AH170" s="46">
        <f t="shared" si="122"/>
        <v>0</v>
      </c>
      <c r="AI170" s="46">
        <f t="shared" si="122"/>
        <v>0</v>
      </c>
      <c r="AJ170" s="46">
        <f t="shared" si="122"/>
        <v>0</v>
      </c>
      <c r="AK170" s="46">
        <f t="shared" si="122"/>
        <v>0</v>
      </c>
      <c r="AL170" s="46">
        <f t="shared" si="122"/>
        <v>0</v>
      </c>
      <c r="AM170" s="46">
        <f t="shared" si="122"/>
        <v>0</v>
      </c>
      <c r="AN170" s="46">
        <f t="shared" si="122"/>
        <v>0</v>
      </c>
      <c r="AO170" s="46">
        <f t="shared" si="122"/>
        <v>0</v>
      </c>
      <c r="AP170" s="46"/>
      <c r="AQ170" s="33"/>
      <c r="AR170" s="33"/>
    </row>
    <row r="171" spans="1:44" ht="13.2" x14ac:dyDescent="0.25">
      <c r="A171" s="47" t="s">
        <v>299</v>
      </c>
      <c r="B171" s="48" t="s">
        <v>395</v>
      </c>
      <c r="C171" s="46">
        <f t="shared" ref="C171:O171" si="123">C38</f>
        <v>882743</v>
      </c>
      <c r="D171" s="46">
        <f t="shared" si="123"/>
        <v>881636</v>
      </c>
      <c r="E171" s="46">
        <f t="shared" si="123"/>
        <v>879479</v>
      </c>
      <c r="F171" s="46">
        <f t="shared" si="123"/>
        <v>878728</v>
      </c>
      <c r="G171" s="46">
        <f t="shared" si="123"/>
        <v>879881</v>
      </c>
      <c r="H171" s="46">
        <f t="shared" si="123"/>
        <v>894312</v>
      </c>
      <c r="I171" s="46">
        <f t="shared" si="123"/>
        <v>896096</v>
      </c>
      <c r="J171" s="46">
        <f t="shared" si="123"/>
        <v>895641</v>
      </c>
      <c r="K171" s="46">
        <f t="shared" si="123"/>
        <v>895956</v>
      </c>
      <c r="L171" s="46">
        <f t="shared" si="123"/>
        <v>907363</v>
      </c>
      <c r="M171" s="46">
        <f t="shared" si="123"/>
        <v>911444</v>
      </c>
      <c r="N171" s="46">
        <f t="shared" si="123"/>
        <v>921461</v>
      </c>
      <c r="O171" s="46">
        <f t="shared" si="123"/>
        <v>931124</v>
      </c>
      <c r="P171" s="46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47" t="s">
        <v>299</v>
      </c>
      <c r="AB171" s="48" t="s">
        <v>395</v>
      </c>
      <c r="AC171" s="46">
        <f t="shared" ref="AC171:AO171" si="124">AC38</f>
        <v>300169</v>
      </c>
      <c r="AD171" s="46">
        <f t="shared" si="124"/>
        <v>299669</v>
      </c>
      <c r="AE171" s="46">
        <f t="shared" si="124"/>
        <v>299169</v>
      </c>
      <c r="AF171" s="46">
        <f t="shared" si="124"/>
        <v>298669</v>
      </c>
      <c r="AG171" s="46">
        <f t="shared" si="124"/>
        <v>298169</v>
      </c>
      <c r="AH171" s="46">
        <f t="shared" si="124"/>
        <v>297669</v>
      </c>
      <c r="AI171" s="46">
        <f t="shared" si="124"/>
        <v>297169</v>
      </c>
      <c r="AJ171" s="46">
        <f t="shared" si="124"/>
        <v>296669</v>
      </c>
      <c r="AK171" s="46">
        <f t="shared" si="124"/>
        <v>296169</v>
      </c>
      <c r="AL171" s="46">
        <f t="shared" si="124"/>
        <v>295669</v>
      </c>
      <c r="AM171" s="46">
        <f t="shared" si="124"/>
        <v>295169</v>
      </c>
      <c r="AN171" s="46">
        <f t="shared" si="124"/>
        <v>294669</v>
      </c>
      <c r="AO171" s="46">
        <f t="shared" si="124"/>
        <v>294169</v>
      </c>
      <c r="AP171" s="46"/>
      <c r="AQ171" s="33"/>
      <c r="AR171" s="33"/>
    </row>
    <row r="172" spans="1:44" ht="13.2" x14ac:dyDescent="0.25">
      <c r="A172" s="33"/>
      <c r="B172" s="48" t="s">
        <v>396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6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48" t="s">
        <v>396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9">
        <v>0</v>
      </c>
      <c r="AJ172" s="49">
        <v>0</v>
      </c>
      <c r="AK172" s="49">
        <v>0</v>
      </c>
      <c r="AL172" s="49">
        <v>0</v>
      </c>
      <c r="AM172" s="49">
        <v>0</v>
      </c>
      <c r="AN172" s="49">
        <v>0</v>
      </c>
      <c r="AO172" s="49">
        <v>0</v>
      </c>
      <c r="AP172" s="46"/>
      <c r="AQ172" s="33"/>
      <c r="AR172" s="33"/>
    </row>
    <row r="173" spans="1:44" ht="13.2" x14ac:dyDescent="0.25">
      <c r="A173" s="47" t="s">
        <v>303</v>
      </c>
      <c r="B173" s="48" t="s">
        <v>397</v>
      </c>
      <c r="C173" s="46">
        <f t="shared" ref="C173:O173" si="125">C43</f>
        <v>79054</v>
      </c>
      <c r="D173" s="46">
        <f t="shared" si="125"/>
        <v>78591</v>
      </c>
      <c r="E173" s="46">
        <f t="shared" si="125"/>
        <v>78162</v>
      </c>
      <c r="F173" s="46">
        <f t="shared" si="125"/>
        <v>77693</v>
      </c>
      <c r="G173" s="46">
        <f t="shared" si="125"/>
        <v>77224</v>
      </c>
      <c r="H173" s="46">
        <f t="shared" si="125"/>
        <v>76755</v>
      </c>
      <c r="I173" s="46">
        <f t="shared" si="125"/>
        <v>76288</v>
      </c>
      <c r="J173" s="46">
        <f t="shared" si="125"/>
        <v>75860</v>
      </c>
      <c r="K173" s="46">
        <f t="shared" si="125"/>
        <v>75408</v>
      </c>
      <c r="L173" s="46">
        <f t="shared" si="125"/>
        <v>74947</v>
      </c>
      <c r="M173" s="46">
        <f t="shared" si="125"/>
        <v>74479</v>
      </c>
      <c r="N173" s="46">
        <f t="shared" si="125"/>
        <v>74017</v>
      </c>
      <c r="O173" s="46">
        <f t="shared" si="125"/>
        <v>74053</v>
      </c>
      <c r="P173" s="46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47" t="s">
        <v>303</v>
      </c>
      <c r="AB173" s="48" t="s">
        <v>397</v>
      </c>
      <c r="AC173" s="46">
        <f t="shared" ref="AC173:AO173" si="126">AC43</f>
        <v>0</v>
      </c>
      <c r="AD173" s="46">
        <f t="shared" si="126"/>
        <v>0</v>
      </c>
      <c r="AE173" s="46">
        <f t="shared" si="126"/>
        <v>0</v>
      </c>
      <c r="AF173" s="46">
        <f t="shared" si="126"/>
        <v>0</v>
      </c>
      <c r="AG173" s="46">
        <f t="shared" si="126"/>
        <v>0</v>
      </c>
      <c r="AH173" s="46">
        <f t="shared" si="126"/>
        <v>0</v>
      </c>
      <c r="AI173" s="46">
        <f t="shared" si="126"/>
        <v>0</v>
      </c>
      <c r="AJ173" s="46">
        <f t="shared" si="126"/>
        <v>0</v>
      </c>
      <c r="AK173" s="46">
        <f t="shared" si="126"/>
        <v>0</v>
      </c>
      <c r="AL173" s="46">
        <f t="shared" si="126"/>
        <v>0</v>
      </c>
      <c r="AM173" s="46">
        <f t="shared" si="126"/>
        <v>0</v>
      </c>
      <c r="AN173" s="46">
        <f t="shared" si="126"/>
        <v>0</v>
      </c>
      <c r="AO173" s="46">
        <f t="shared" si="126"/>
        <v>0</v>
      </c>
      <c r="AP173" s="46"/>
      <c r="AQ173" s="33"/>
      <c r="AR173" s="33"/>
    </row>
    <row r="174" spans="1:44" ht="13.2" x14ac:dyDescent="0.25">
      <c r="A174" s="47" t="s">
        <v>289</v>
      </c>
      <c r="B174" s="48" t="s">
        <v>398</v>
      </c>
      <c r="C174" s="46">
        <f t="shared" ref="C174:O174" si="127">C21+C42</f>
        <v>6553</v>
      </c>
      <c r="D174" s="46">
        <f t="shared" si="127"/>
        <v>6456</v>
      </c>
      <c r="E174" s="46">
        <f t="shared" si="127"/>
        <v>6359</v>
      </c>
      <c r="F174" s="46">
        <f t="shared" si="127"/>
        <v>5681</v>
      </c>
      <c r="G174" s="46">
        <f t="shared" si="127"/>
        <v>5681</v>
      </c>
      <c r="H174" s="46">
        <f t="shared" si="127"/>
        <v>5681</v>
      </c>
      <c r="I174" s="46">
        <f t="shared" si="127"/>
        <v>5681</v>
      </c>
      <c r="J174" s="46">
        <f t="shared" si="127"/>
        <v>5660</v>
      </c>
      <c r="K174" s="46">
        <f t="shared" si="127"/>
        <v>5660</v>
      </c>
      <c r="L174" s="46">
        <f t="shared" si="127"/>
        <v>6968</v>
      </c>
      <c r="M174" s="46">
        <f t="shared" si="127"/>
        <v>6859</v>
      </c>
      <c r="N174" s="46">
        <f t="shared" si="127"/>
        <v>6750</v>
      </c>
      <c r="O174" s="46">
        <f t="shared" si="127"/>
        <v>6641</v>
      </c>
      <c r="P174" s="46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47" t="s">
        <v>289</v>
      </c>
      <c r="AB174" s="48" t="s">
        <v>398</v>
      </c>
      <c r="AC174" s="46">
        <f t="shared" ref="AC174:AO174" si="128">AC21+AC42</f>
        <v>0</v>
      </c>
      <c r="AD174" s="46">
        <f t="shared" si="128"/>
        <v>0</v>
      </c>
      <c r="AE174" s="46">
        <f t="shared" si="128"/>
        <v>0</v>
      </c>
      <c r="AF174" s="46">
        <f t="shared" si="128"/>
        <v>0</v>
      </c>
      <c r="AG174" s="46">
        <f t="shared" si="128"/>
        <v>0</v>
      </c>
      <c r="AH174" s="46">
        <f t="shared" si="128"/>
        <v>0</v>
      </c>
      <c r="AI174" s="46">
        <f t="shared" si="128"/>
        <v>0</v>
      </c>
      <c r="AJ174" s="46">
        <f t="shared" si="128"/>
        <v>0</v>
      </c>
      <c r="AK174" s="46">
        <f t="shared" si="128"/>
        <v>0</v>
      </c>
      <c r="AL174" s="46">
        <f t="shared" si="128"/>
        <v>0</v>
      </c>
      <c r="AM174" s="46">
        <f t="shared" si="128"/>
        <v>0</v>
      </c>
      <c r="AN174" s="46">
        <f t="shared" si="128"/>
        <v>0</v>
      </c>
      <c r="AO174" s="46">
        <f t="shared" si="128"/>
        <v>0</v>
      </c>
      <c r="AP174" s="46"/>
      <c r="AQ174" s="33"/>
      <c r="AR174" s="33"/>
    </row>
    <row r="175" spans="1:44" ht="13.2" x14ac:dyDescent="0.25">
      <c r="A175" s="33"/>
      <c r="B175" s="48" t="s">
        <v>399</v>
      </c>
      <c r="C175" s="49">
        <v>0</v>
      </c>
      <c r="D175" s="49">
        <v>0</v>
      </c>
      <c r="E175" s="49">
        <v>0</v>
      </c>
      <c r="F175" s="49">
        <v>0</v>
      </c>
      <c r="G175" s="49">
        <v>0</v>
      </c>
      <c r="H175" s="49">
        <v>0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6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48" t="s">
        <v>399</v>
      </c>
      <c r="AC175" s="49">
        <v>0</v>
      </c>
      <c r="AD175" s="49">
        <v>0</v>
      </c>
      <c r="AE175" s="49">
        <v>0</v>
      </c>
      <c r="AF175" s="49">
        <v>0</v>
      </c>
      <c r="AG175" s="49">
        <v>0</v>
      </c>
      <c r="AH175" s="49">
        <v>0</v>
      </c>
      <c r="AI175" s="49">
        <v>0</v>
      </c>
      <c r="AJ175" s="49">
        <v>0</v>
      </c>
      <c r="AK175" s="49">
        <v>0</v>
      </c>
      <c r="AL175" s="49">
        <v>0</v>
      </c>
      <c r="AM175" s="49">
        <v>0</v>
      </c>
      <c r="AN175" s="49">
        <v>0</v>
      </c>
      <c r="AO175" s="49">
        <v>0</v>
      </c>
      <c r="AP175" s="46"/>
      <c r="AQ175" s="33"/>
      <c r="AR175" s="33"/>
    </row>
    <row r="176" spans="1:44" ht="13.2" x14ac:dyDescent="0.25">
      <c r="A176" s="47" t="s">
        <v>295</v>
      </c>
      <c r="B176" s="48" t="s">
        <v>400</v>
      </c>
      <c r="C176" s="50">
        <f t="shared" ref="C176:O176" si="129">C29+C44</f>
        <v>2254</v>
      </c>
      <c r="D176" s="50">
        <f t="shared" si="129"/>
        <v>2333</v>
      </c>
      <c r="E176" s="50">
        <f t="shared" si="129"/>
        <v>3056</v>
      </c>
      <c r="F176" s="50">
        <f t="shared" si="129"/>
        <v>2688</v>
      </c>
      <c r="G176" s="50">
        <f t="shared" si="129"/>
        <v>2914</v>
      </c>
      <c r="H176" s="50">
        <f t="shared" si="129"/>
        <v>14388</v>
      </c>
      <c r="I176" s="50">
        <f t="shared" si="129"/>
        <v>19325</v>
      </c>
      <c r="J176" s="50">
        <f t="shared" si="129"/>
        <v>18219</v>
      </c>
      <c r="K176" s="50">
        <f t="shared" si="129"/>
        <v>18206</v>
      </c>
      <c r="L176" s="50">
        <f t="shared" si="129"/>
        <v>18194</v>
      </c>
      <c r="M176" s="50">
        <f t="shared" si="129"/>
        <v>18181</v>
      </c>
      <c r="N176" s="50">
        <f t="shared" si="129"/>
        <v>18169</v>
      </c>
      <c r="O176" s="50">
        <f t="shared" si="129"/>
        <v>18156</v>
      </c>
      <c r="P176" s="50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47" t="s">
        <v>295</v>
      </c>
      <c r="AB176" s="48" t="s">
        <v>400</v>
      </c>
      <c r="AC176" s="50">
        <f t="shared" ref="AC176:AO176" si="130">AC29+AC44</f>
        <v>0</v>
      </c>
      <c r="AD176" s="50">
        <f t="shared" si="130"/>
        <v>0</v>
      </c>
      <c r="AE176" s="50">
        <f t="shared" si="130"/>
        <v>0</v>
      </c>
      <c r="AF176" s="50">
        <f t="shared" si="130"/>
        <v>0</v>
      </c>
      <c r="AG176" s="50">
        <f t="shared" si="130"/>
        <v>0</v>
      </c>
      <c r="AH176" s="50">
        <f t="shared" si="130"/>
        <v>0</v>
      </c>
      <c r="AI176" s="50">
        <f t="shared" si="130"/>
        <v>0</v>
      </c>
      <c r="AJ176" s="50">
        <f t="shared" si="130"/>
        <v>0</v>
      </c>
      <c r="AK176" s="50">
        <f t="shared" si="130"/>
        <v>0</v>
      </c>
      <c r="AL176" s="50">
        <f t="shared" si="130"/>
        <v>0</v>
      </c>
      <c r="AM176" s="50">
        <f t="shared" si="130"/>
        <v>0</v>
      </c>
      <c r="AN176" s="50">
        <f t="shared" si="130"/>
        <v>0</v>
      </c>
      <c r="AO176" s="50">
        <f t="shared" si="130"/>
        <v>0</v>
      </c>
      <c r="AP176" s="50"/>
      <c r="AQ176" s="33"/>
      <c r="AR176" s="33"/>
    </row>
    <row r="177" spans="1:44" ht="3.9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</row>
    <row r="178" spans="1:44" ht="13.2" x14ac:dyDescent="0.25">
      <c r="A178" s="30"/>
      <c r="B178" s="31" t="s">
        <v>401</v>
      </c>
      <c r="C178" s="52">
        <f t="shared" ref="C178:O178" si="131">SUM(C165:C177)</f>
        <v>1519334</v>
      </c>
      <c r="D178" s="52">
        <f t="shared" si="131"/>
        <v>1535786</v>
      </c>
      <c r="E178" s="52">
        <f t="shared" si="131"/>
        <v>1552169</v>
      </c>
      <c r="F178" s="52">
        <f t="shared" si="131"/>
        <v>1582732</v>
      </c>
      <c r="G178" s="52">
        <f t="shared" si="131"/>
        <v>1592617</v>
      </c>
      <c r="H178" s="52">
        <f t="shared" si="131"/>
        <v>1628325</v>
      </c>
      <c r="I178" s="52">
        <f t="shared" si="131"/>
        <v>1505305</v>
      </c>
      <c r="J178" s="52">
        <f t="shared" si="131"/>
        <v>1515082</v>
      </c>
      <c r="K178" s="52">
        <f t="shared" si="131"/>
        <v>1530553</v>
      </c>
      <c r="L178" s="52">
        <f t="shared" si="131"/>
        <v>1547628</v>
      </c>
      <c r="M178" s="52">
        <f t="shared" si="131"/>
        <v>1556786</v>
      </c>
      <c r="N178" s="52">
        <f t="shared" si="131"/>
        <v>1565171</v>
      </c>
      <c r="O178" s="52">
        <f t="shared" si="131"/>
        <v>1575299</v>
      </c>
      <c r="P178" s="50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0"/>
      <c r="AB178" s="31" t="s">
        <v>401</v>
      </c>
      <c r="AC178" s="52">
        <f t="shared" ref="AC178:AO178" si="132">SUM(AC165:AC177)</f>
        <v>300169</v>
      </c>
      <c r="AD178" s="52">
        <f t="shared" si="132"/>
        <v>299669</v>
      </c>
      <c r="AE178" s="52">
        <f t="shared" si="132"/>
        <v>299169</v>
      </c>
      <c r="AF178" s="52">
        <f t="shared" si="132"/>
        <v>298669</v>
      </c>
      <c r="AG178" s="52">
        <f t="shared" si="132"/>
        <v>298169</v>
      </c>
      <c r="AH178" s="52">
        <f t="shared" si="132"/>
        <v>297669</v>
      </c>
      <c r="AI178" s="52">
        <f t="shared" si="132"/>
        <v>297169</v>
      </c>
      <c r="AJ178" s="52">
        <f t="shared" si="132"/>
        <v>296669</v>
      </c>
      <c r="AK178" s="52">
        <f t="shared" si="132"/>
        <v>296169</v>
      </c>
      <c r="AL178" s="52">
        <f t="shared" si="132"/>
        <v>295669</v>
      </c>
      <c r="AM178" s="52">
        <f t="shared" si="132"/>
        <v>295169</v>
      </c>
      <c r="AN178" s="52">
        <f t="shared" si="132"/>
        <v>294669</v>
      </c>
      <c r="AO178" s="52">
        <f t="shared" si="132"/>
        <v>294169</v>
      </c>
      <c r="AP178" s="50"/>
      <c r="AQ178" s="33"/>
      <c r="AR178" s="33"/>
    </row>
    <row r="179" spans="1:44" ht="13.2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</row>
    <row r="180" spans="1:44" ht="13.2" x14ac:dyDescent="0.25">
      <c r="A180" s="30"/>
      <c r="B180" s="30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0"/>
      <c r="AB180" s="30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</row>
    <row r="181" spans="1:44" ht="13.2" x14ac:dyDescent="0.25">
      <c r="A181" s="30"/>
      <c r="B181" s="31" t="s">
        <v>402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0"/>
      <c r="AB181" s="31" t="s">
        <v>402</v>
      </c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33"/>
      <c r="AQ181" s="33"/>
      <c r="AR181" s="33"/>
    </row>
    <row r="182" spans="1:44" ht="13.2" x14ac:dyDescent="0.25">
      <c r="A182" s="47" t="s">
        <v>308</v>
      </c>
      <c r="B182" s="48" t="s">
        <v>403</v>
      </c>
      <c r="C182" s="46">
        <f t="shared" ref="C182:O182" si="133">C56+C15+C57</f>
        <v>-139200</v>
      </c>
      <c r="D182" s="46">
        <f t="shared" si="133"/>
        <v>-142986</v>
      </c>
      <c r="E182" s="46">
        <f t="shared" si="133"/>
        <v>-151808</v>
      </c>
      <c r="F182" s="46">
        <f t="shared" si="133"/>
        <v>-145484</v>
      </c>
      <c r="G182" s="46">
        <f t="shared" si="133"/>
        <v>-174863</v>
      </c>
      <c r="H182" s="46">
        <f t="shared" si="133"/>
        <v>-180649</v>
      </c>
      <c r="I182" s="46">
        <f t="shared" si="133"/>
        <v>-183823</v>
      </c>
      <c r="J182" s="46">
        <f t="shared" si="133"/>
        <v>-192063</v>
      </c>
      <c r="K182" s="46">
        <f t="shared" si="133"/>
        <v>-194892</v>
      </c>
      <c r="L182" s="46">
        <f t="shared" si="133"/>
        <v>-195598</v>
      </c>
      <c r="M182" s="46">
        <f t="shared" si="133"/>
        <v>-197287</v>
      </c>
      <c r="N182" s="46">
        <f t="shared" si="133"/>
        <v>-201395</v>
      </c>
      <c r="O182" s="46">
        <f t="shared" si="133"/>
        <v>-207829</v>
      </c>
      <c r="P182" s="46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47" t="s">
        <v>308</v>
      </c>
      <c r="AB182" s="48" t="s">
        <v>403</v>
      </c>
      <c r="AC182" s="46" t="e">
        <f t="shared" ref="AC182:AO182" si="134">AC56+#REF!+AC57</f>
        <v>#REF!</v>
      </c>
      <c r="AD182" s="46" t="e">
        <f t="shared" si="134"/>
        <v>#REF!</v>
      </c>
      <c r="AE182" s="46" t="e">
        <f t="shared" si="134"/>
        <v>#REF!</v>
      </c>
      <c r="AF182" s="46" t="e">
        <f t="shared" si="134"/>
        <v>#REF!</v>
      </c>
      <c r="AG182" s="46" t="e">
        <f t="shared" si="134"/>
        <v>#REF!</v>
      </c>
      <c r="AH182" s="46" t="e">
        <f t="shared" si="134"/>
        <v>#REF!</v>
      </c>
      <c r="AI182" s="46" t="e">
        <f t="shared" si="134"/>
        <v>#REF!</v>
      </c>
      <c r="AJ182" s="46" t="e">
        <f t="shared" si="134"/>
        <v>#REF!</v>
      </c>
      <c r="AK182" s="46" t="e">
        <f t="shared" si="134"/>
        <v>#REF!</v>
      </c>
      <c r="AL182" s="46" t="e">
        <f t="shared" si="134"/>
        <v>#REF!</v>
      </c>
      <c r="AM182" s="46" t="e">
        <f t="shared" si="134"/>
        <v>#REF!</v>
      </c>
      <c r="AN182" s="46" t="e">
        <f t="shared" si="134"/>
        <v>#REF!</v>
      </c>
      <c r="AO182" s="46" t="e">
        <f t="shared" si="134"/>
        <v>#REF!</v>
      </c>
      <c r="AP182" s="46"/>
      <c r="AQ182" s="33"/>
      <c r="AR182" s="33"/>
    </row>
    <row r="183" spans="1:44" ht="13.2" x14ac:dyDescent="0.25">
      <c r="A183" s="47" t="s">
        <v>311</v>
      </c>
      <c r="B183" s="48" t="s">
        <v>404</v>
      </c>
      <c r="C183" s="46">
        <f t="shared" ref="C183:O183" si="135">C59+C60+C62</f>
        <v>16469</v>
      </c>
      <c r="D183" s="46">
        <f t="shared" si="135"/>
        <v>18018</v>
      </c>
      <c r="E183" s="46">
        <f t="shared" si="135"/>
        <v>18236</v>
      </c>
      <c r="F183" s="46">
        <f t="shared" si="135"/>
        <v>22281</v>
      </c>
      <c r="G183" s="46">
        <f t="shared" si="135"/>
        <v>16981</v>
      </c>
      <c r="H183" s="46">
        <f t="shared" si="135"/>
        <v>17979</v>
      </c>
      <c r="I183" s="46">
        <f t="shared" si="135"/>
        <v>17912</v>
      </c>
      <c r="J183" s="46">
        <f t="shared" si="135"/>
        <v>19976</v>
      </c>
      <c r="K183" s="46">
        <f t="shared" si="135"/>
        <v>20704</v>
      </c>
      <c r="L183" s="46">
        <f t="shared" si="135"/>
        <v>21648</v>
      </c>
      <c r="M183" s="46">
        <f t="shared" si="135"/>
        <v>19264</v>
      </c>
      <c r="N183" s="46">
        <f t="shared" si="135"/>
        <v>19298</v>
      </c>
      <c r="O183" s="46">
        <f t="shared" si="135"/>
        <v>19006</v>
      </c>
      <c r="P183" s="46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47" t="s">
        <v>311</v>
      </c>
      <c r="AB183" s="48" t="s">
        <v>404</v>
      </c>
      <c r="AC183" s="46">
        <f t="shared" ref="AC183:AO183" si="136">AC59+AC60+AC62</f>
        <v>0</v>
      </c>
      <c r="AD183" s="46">
        <f t="shared" si="136"/>
        <v>0</v>
      </c>
      <c r="AE183" s="46">
        <f t="shared" si="136"/>
        <v>0</v>
      </c>
      <c r="AF183" s="46">
        <f t="shared" si="136"/>
        <v>0</v>
      </c>
      <c r="AG183" s="46">
        <f t="shared" si="136"/>
        <v>0</v>
      </c>
      <c r="AH183" s="46">
        <f t="shared" si="136"/>
        <v>0</v>
      </c>
      <c r="AI183" s="46">
        <f t="shared" si="136"/>
        <v>0</v>
      </c>
      <c r="AJ183" s="46">
        <f t="shared" si="136"/>
        <v>0</v>
      </c>
      <c r="AK183" s="46">
        <f t="shared" si="136"/>
        <v>0</v>
      </c>
      <c r="AL183" s="46">
        <f t="shared" si="136"/>
        <v>0</v>
      </c>
      <c r="AM183" s="46">
        <f t="shared" si="136"/>
        <v>0</v>
      </c>
      <c r="AN183" s="46">
        <f t="shared" si="136"/>
        <v>0</v>
      </c>
      <c r="AO183" s="46">
        <f t="shared" si="136"/>
        <v>0</v>
      </c>
      <c r="AP183" s="46"/>
      <c r="AQ183" s="33"/>
      <c r="AR183" s="33"/>
    </row>
    <row r="184" spans="1:44" ht="13.2" x14ac:dyDescent="0.25">
      <c r="A184" s="33"/>
      <c r="B184" s="48" t="s">
        <v>405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48" t="s">
        <v>405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9">
        <v>0</v>
      </c>
      <c r="AJ184" s="49">
        <v>0</v>
      </c>
      <c r="AK184" s="49">
        <v>0</v>
      </c>
      <c r="AL184" s="49">
        <v>0</v>
      </c>
      <c r="AM184" s="49">
        <v>0</v>
      </c>
      <c r="AN184" s="49">
        <v>0</v>
      </c>
      <c r="AO184" s="49">
        <v>0</v>
      </c>
      <c r="AP184" s="33"/>
      <c r="AQ184" s="33"/>
      <c r="AR184" s="33"/>
    </row>
    <row r="185" spans="1:44" ht="13.2" x14ac:dyDescent="0.25">
      <c r="A185" s="47" t="s">
        <v>315</v>
      </c>
      <c r="B185" s="48" t="s">
        <v>406</v>
      </c>
      <c r="C185" s="46">
        <f t="shared" ref="C185:O185" si="137">C61</f>
        <v>2129</v>
      </c>
      <c r="D185" s="46">
        <f t="shared" si="137"/>
        <v>2129</v>
      </c>
      <c r="E185" s="46">
        <f t="shared" si="137"/>
        <v>2129</v>
      </c>
      <c r="F185" s="46">
        <f t="shared" si="137"/>
        <v>2129</v>
      </c>
      <c r="G185" s="46">
        <f t="shared" si="137"/>
        <v>879</v>
      </c>
      <c r="H185" s="46">
        <f t="shared" si="137"/>
        <v>6632</v>
      </c>
      <c r="I185" s="46">
        <f t="shared" si="137"/>
        <v>2129</v>
      </c>
      <c r="J185" s="46">
        <f t="shared" si="137"/>
        <v>2119</v>
      </c>
      <c r="K185" s="46">
        <f t="shared" si="137"/>
        <v>2119</v>
      </c>
      <c r="L185" s="46">
        <f t="shared" si="137"/>
        <v>2119</v>
      </c>
      <c r="M185" s="46">
        <f t="shared" si="137"/>
        <v>2119</v>
      </c>
      <c r="N185" s="46">
        <f t="shared" si="137"/>
        <v>2119</v>
      </c>
      <c r="O185" s="46">
        <f t="shared" si="137"/>
        <v>2119</v>
      </c>
      <c r="P185" s="46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47" t="s">
        <v>315</v>
      </c>
      <c r="AB185" s="48" t="s">
        <v>406</v>
      </c>
      <c r="AC185" s="46">
        <f t="shared" ref="AC185:AO185" si="138">AC61</f>
        <v>0</v>
      </c>
      <c r="AD185" s="46">
        <f t="shared" si="138"/>
        <v>0</v>
      </c>
      <c r="AE185" s="46">
        <f t="shared" si="138"/>
        <v>0</v>
      </c>
      <c r="AF185" s="46">
        <f t="shared" si="138"/>
        <v>0</v>
      </c>
      <c r="AG185" s="46">
        <f t="shared" si="138"/>
        <v>0</v>
      </c>
      <c r="AH185" s="46">
        <f t="shared" si="138"/>
        <v>0</v>
      </c>
      <c r="AI185" s="46">
        <f t="shared" si="138"/>
        <v>0</v>
      </c>
      <c r="AJ185" s="46">
        <f t="shared" si="138"/>
        <v>0</v>
      </c>
      <c r="AK185" s="46">
        <f t="shared" si="138"/>
        <v>0</v>
      </c>
      <c r="AL185" s="46">
        <f t="shared" si="138"/>
        <v>0</v>
      </c>
      <c r="AM185" s="46">
        <f t="shared" si="138"/>
        <v>0</v>
      </c>
      <c r="AN185" s="46">
        <f t="shared" si="138"/>
        <v>0</v>
      </c>
      <c r="AO185" s="46">
        <f t="shared" si="138"/>
        <v>0</v>
      </c>
      <c r="AP185" s="46"/>
      <c r="AQ185" s="33"/>
      <c r="AR185" s="33"/>
    </row>
    <row r="186" spans="1:44" ht="13.2" x14ac:dyDescent="0.25">
      <c r="A186" s="47" t="s">
        <v>323</v>
      </c>
      <c r="B186" s="48" t="s">
        <v>407</v>
      </c>
      <c r="C186" s="46">
        <f t="shared" ref="C186:O186" si="139">C69</f>
        <v>238702</v>
      </c>
      <c r="D186" s="46">
        <f t="shared" si="139"/>
        <v>238852</v>
      </c>
      <c r="E186" s="46">
        <f t="shared" si="139"/>
        <v>238944</v>
      </c>
      <c r="F186" s="46">
        <f t="shared" si="139"/>
        <v>220220</v>
      </c>
      <c r="G186" s="46">
        <f t="shared" si="139"/>
        <v>226075</v>
      </c>
      <c r="H186" s="46">
        <f t="shared" si="139"/>
        <v>232744</v>
      </c>
      <c r="I186" s="46">
        <f t="shared" si="139"/>
        <v>235318</v>
      </c>
      <c r="J186" s="46">
        <f t="shared" si="139"/>
        <v>235584</v>
      </c>
      <c r="K186" s="46">
        <f t="shared" si="139"/>
        <v>235684</v>
      </c>
      <c r="L186" s="46">
        <f t="shared" si="139"/>
        <v>236431</v>
      </c>
      <c r="M186" s="46">
        <f t="shared" si="139"/>
        <v>239688</v>
      </c>
      <c r="N186" s="46">
        <f t="shared" si="139"/>
        <v>238935</v>
      </c>
      <c r="O186" s="46">
        <f t="shared" si="139"/>
        <v>238875</v>
      </c>
      <c r="P186" s="46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47" t="s">
        <v>323</v>
      </c>
      <c r="AB186" s="48" t="s">
        <v>407</v>
      </c>
      <c r="AC186" s="46">
        <f t="shared" ref="AC186:AO186" si="140">AC69</f>
        <v>105054</v>
      </c>
      <c r="AD186" s="46">
        <f t="shared" si="140"/>
        <v>104879</v>
      </c>
      <c r="AE186" s="46">
        <f t="shared" si="140"/>
        <v>104704</v>
      </c>
      <c r="AF186" s="46">
        <f t="shared" si="140"/>
        <v>104529</v>
      </c>
      <c r="AG186" s="46">
        <f t="shared" si="140"/>
        <v>104354</v>
      </c>
      <c r="AH186" s="46">
        <f t="shared" si="140"/>
        <v>104179</v>
      </c>
      <c r="AI186" s="46">
        <f t="shared" si="140"/>
        <v>104004</v>
      </c>
      <c r="AJ186" s="46">
        <f t="shared" si="140"/>
        <v>103829</v>
      </c>
      <c r="AK186" s="46">
        <f t="shared" si="140"/>
        <v>103654</v>
      </c>
      <c r="AL186" s="46">
        <f t="shared" si="140"/>
        <v>103479</v>
      </c>
      <c r="AM186" s="46">
        <f t="shared" si="140"/>
        <v>103304</v>
      </c>
      <c r="AN186" s="46">
        <f t="shared" si="140"/>
        <v>103129</v>
      </c>
      <c r="AO186" s="46">
        <f t="shared" si="140"/>
        <v>102954</v>
      </c>
      <c r="AP186" s="46"/>
      <c r="AQ186" s="33"/>
      <c r="AR186" s="33"/>
    </row>
    <row r="187" spans="1:44" ht="13.2" x14ac:dyDescent="0.25">
      <c r="A187" s="33"/>
      <c r="B187" s="48" t="s">
        <v>408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48" t="s">
        <v>408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9">
        <v>0</v>
      </c>
      <c r="AJ187" s="49">
        <v>0</v>
      </c>
      <c r="AK187" s="49">
        <v>0</v>
      </c>
      <c r="AL187" s="49">
        <v>0</v>
      </c>
      <c r="AM187" s="49">
        <v>0</v>
      </c>
      <c r="AN187" s="49">
        <v>0</v>
      </c>
      <c r="AO187" s="49">
        <v>0</v>
      </c>
      <c r="AP187" s="33"/>
      <c r="AQ187" s="33"/>
      <c r="AR187" s="33"/>
    </row>
    <row r="188" spans="1:44" ht="13.2" x14ac:dyDescent="0.25">
      <c r="A188" s="47" t="s">
        <v>409</v>
      </c>
      <c r="B188" s="48" t="s">
        <v>410</v>
      </c>
      <c r="C188" s="46" t="e">
        <f>#REF!+#REF!</f>
        <v>#REF!</v>
      </c>
      <c r="D188" s="46" t="e">
        <f>#REF!+#REF!</f>
        <v>#REF!</v>
      </c>
      <c r="E188" s="46" t="e">
        <f>#REF!+#REF!</f>
        <v>#REF!</v>
      </c>
      <c r="F188" s="46" t="e">
        <f>#REF!+#REF!</f>
        <v>#REF!</v>
      </c>
      <c r="G188" s="46" t="e">
        <f>#REF!+#REF!</f>
        <v>#REF!</v>
      </c>
      <c r="H188" s="46" t="e">
        <f>#REF!+#REF!</f>
        <v>#REF!</v>
      </c>
      <c r="I188" s="46" t="e">
        <f>#REF!+#REF!</f>
        <v>#REF!</v>
      </c>
      <c r="J188" s="46" t="e">
        <f>#REF!+#REF!</f>
        <v>#REF!</v>
      </c>
      <c r="K188" s="46" t="e">
        <f>#REF!+#REF!</f>
        <v>#REF!</v>
      </c>
      <c r="L188" s="46" t="e">
        <f>#REF!+#REF!</f>
        <v>#REF!</v>
      </c>
      <c r="M188" s="46" t="e">
        <f>#REF!+#REF!</f>
        <v>#REF!</v>
      </c>
      <c r="N188" s="46" t="e">
        <f>#REF!+#REF!</f>
        <v>#REF!</v>
      </c>
      <c r="O188" s="46" t="e">
        <f>#REF!+#REF!</f>
        <v>#REF!</v>
      </c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47" t="s">
        <v>409</v>
      </c>
      <c r="AB188" s="48" t="s">
        <v>411</v>
      </c>
      <c r="AC188" s="46" t="e">
        <f>#REF!+#REF!</f>
        <v>#REF!</v>
      </c>
      <c r="AD188" s="46" t="e">
        <f>#REF!+#REF!</f>
        <v>#REF!</v>
      </c>
      <c r="AE188" s="46" t="e">
        <f>#REF!+#REF!</f>
        <v>#REF!</v>
      </c>
      <c r="AF188" s="46" t="e">
        <f>#REF!+#REF!</f>
        <v>#REF!</v>
      </c>
      <c r="AG188" s="46" t="e">
        <f>#REF!+#REF!</f>
        <v>#REF!</v>
      </c>
      <c r="AH188" s="46" t="e">
        <f>#REF!+#REF!</f>
        <v>#REF!</v>
      </c>
      <c r="AI188" s="46" t="e">
        <f>#REF!+#REF!</f>
        <v>#REF!</v>
      </c>
      <c r="AJ188" s="46" t="e">
        <f>#REF!+#REF!</f>
        <v>#REF!</v>
      </c>
      <c r="AK188" s="46" t="e">
        <f>#REF!+#REF!</f>
        <v>#REF!</v>
      </c>
      <c r="AL188" s="46" t="e">
        <f>#REF!+#REF!</f>
        <v>#REF!</v>
      </c>
      <c r="AM188" s="46" t="e">
        <f>#REF!+#REF!</f>
        <v>#REF!</v>
      </c>
      <c r="AN188" s="46" t="e">
        <f>#REF!+#REF!</f>
        <v>#REF!</v>
      </c>
      <c r="AO188" s="46" t="e">
        <f>#REF!+#REF!</f>
        <v>#REF!</v>
      </c>
      <c r="AP188" s="33"/>
      <c r="AQ188" s="33"/>
      <c r="AR188" s="33"/>
    </row>
    <row r="189" spans="1:44" ht="13.2" x14ac:dyDescent="0.25">
      <c r="A189" s="47" t="s">
        <v>318</v>
      </c>
      <c r="B189" s="48" t="s">
        <v>412</v>
      </c>
      <c r="C189" s="46">
        <f t="shared" ref="C189:O189" si="141">C71+C63</f>
        <v>0</v>
      </c>
      <c r="D189" s="46">
        <f t="shared" si="141"/>
        <v>26217</v>
      </c>
      <c r="E189" s="46">
        <f t="shared" si="141"/>
        <v>17748</v>
      </c>
      <c r="F189" s="46">
        <f t="shared" si="141"/>
        <v>36081</v>
      </c>
      <c r="G189" s="46">
        <f t="shared" si="141"/>
        <v>3332</v>
      </c>
      <c r="H189" s="46">
        <f t="shared" si="141"/>
        <v>0</v>
      </c>
      <c r="I189" s="46">
        <f t="shared" si="141"/>
        <v>0</v>
      </c>
      <c r="J189" s="46">
        <f t="shared" si="141"/>
        <v>0</v>
      </c>
      <c r="K189" s="46">
        <f t="shared" si="141"/>
        <v>0</v>
      </c>
      <c r="L189" s="46">
        <f t="shared" si="141"/>
        <v>0</v>
      </c>
      <c r="M189" s="46">
        <f t="shared" si="141"/>
        <v>0</v>
      </c>
      <c r="N189" s="46">
        <f t="shared" si="141"/>
        <v>0</v>
      </c>
      <c r="O189" s="46">
        <f t="shared" si="141"/>
        <v>0</v>
      </c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47" t="s">
        <v>318</v>
      </c>
      <c r="AB189" s="48" t="s">
        <v>412</v>
      </c>
      <c r="AC189" s="46">
        <f t="shared" ref="AC189:AO189" si="142">AC71+AC63</f>
        <v>0</v>
      </c>
      <c r="AD189" s="46">
        <f t="shared" si="142"/>
        <v>0</v>
      </c>
      <c r="AE189" s="46">
        <f t="shared" si="142"/>
        <v>0</v>
      </c>
      <c r="AF189" s="46">
        <f t="shared" si="142"/>
        <v>0</v>
      </c>
      <c r="AG189" s="46">
        <f t="shared" si="142"/>
        <v>0</v>
      </c>
      <c r="AH189" s="46">
        <f t="shared" si="142"/>
        <v>0</v>
      </c>
      <c r="AI189" s="46">
        <f t="shared" si="142"/>
        <v>0</v>
      </c>
      <c r="AJ189" s="46">
        <f t="shared" si="142"/>
        <v>0</v>
      </c>
      <c r="AK189" s="46">
        <f t="shared" si="142"/>
        <v>0</v>
      </c>
      <c r="AL189" s="46">
        <f t="shared" si="142"/>
        <v>0</v>
      </c>
      <c r="AM189" s="46">
        <f t="shared" si="142"/>
        <v>0</v>
      </c>
      <c r="AN189" s="46">
        <f t="shared" si="142"/>
        <v>0</v>
      </c>
      <c r="AO189" s="46">
        <f t="shared" si="142"/>
        <v>0</v>
      </c>
      <c r="AP189" s="33"/>
      <c r="AQ189" s="33"/>
      <c r="AR189" s="33"/>
    </row>
    <row r="190" spans="1:44" ht="13.2" x14ac:dyDescent="0.25">
      <c r="A190" s="47" t="s">
        <v>325</v>
      </c>
      <c r="B190" s="48" t="s">
        <v>413</v>
      </c>
      <c r="C190" s="46">
        <f t="shared" ref="C190:O190" si="143">C70</f>
        <v>0</v>
      </c>
      <c r="D190" s="46">
        <f t="shared" si="143"/>
        <v>0</v>
      </c>
      <c r="E190" s="46">
        <f t="shared" si="143"/>
        <v>0</v>
      </c>
      <c r="F190" s="46">
        <f t="shared" si="143"/>
        <v>0</v>
      </c>
      <c r="G190" s="46">
        <f t="shared" si="143"/>
        <v>0</v>
      </c>
      <c r="H190" s="46">
        <f t="shared" si="143"/>
        <v>0</v>
      </c>
      <c r="I190" s="46">
        <f t="shared" si="143"/>
        <v>0</v>
      </c>
      <c r="J190" s="46">
        <f t="shared" si="143"/>
        <v>0</v>
      </c>
      <c r="K190" s="46">
        <f t="shared" si="143"/>
        <v>0</v>
      </c>
      <c r="L190" s="46">
        <f t="shared" si="143"/>
        <v>0</v>
      </c>
      <c r="M190" s="46">
        <f t="shared" si="143"/>
        <v>0</v>
      </c>
      <c r="N190" s="46">
        <f t="shared" si="143"/>
        <v>0</v>
      </c>
      <c r="O190" s="46">
        <f t="shared" si="143"/>
        <v>0</v>
      </c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47" t="s">
        <v>325</v>
      </c>
      <c r="AB190" s="48" t="s">
        <v>413</v>
      </c>
      <c r="AC190" s="46">
        <f t="shared" ref="AC190:AO190" si="144">AC70</f>
        <v>0</v>
      </c>
      <c r="AD190" s="46">
        <f t="shared" si="144"/>
        <v>0</v>
      </c>
      <c r="AE190" s="46">
        <f t="shared" si="144"/>
        <v>0</v>
      </c>
      <c r="AF190" s="46">
        <f t="shared" si="144"/>
        <v>0</v>
      </c>
      <c r="AG190" s="46">
        <f t="shared" si="144"/>
        <v>0</v>
      </c>
      <c r="AH190" s="46">
        <f t="shared" si="144"/>
        <v>0</v>
      </c>
      <c r="AI190" s="46">
        <f t="shared" si="144"/>
        <v>0</v>
      </c>
      <c r="AJ190" s="46">
        <f t="shared" si="144"/>
        <v>0</v>
      </c>
      <c r="AK190" s="46">
        <f t="shared" si="144"/>
        <v>0</v>
      </c>
      <c r="AL190" s="46">
        <f t="shared" si="144"/>
        <v>0</v>
      </c>
      <c r="AM190" s="46">
        <f t="shared" si="144"/>
        <v>0</v>
      </c>
      <c r="AN190" s="46">
        <f t="shared" si="144"/>
        <v>0</v>
      </c>
      <c r="AO190" s="46">
        <f t="shared" si="144"/>
        <v>0</v>
      </c>
      <c r="AP190" s="33"/>
      <c r="AQ190" s="33"/>
      <c r="AR190" s="33"/>
    </row>
    <row r="191" spans="1:44" ht="13.2" x14ac:dyDescent="0.25">
      <c r="A191" s="47" t="s">
        <v>320</v>
      </c>
      <c r="B191" s="48" t="s">
        <v>414</v>
      </c>
      <c r="C191" s="50">
        <f t="shared" ref="C191:O191" si="145">C64+C72</f>
        <v>2937</v>
      </c>
      <c r="D191" s="50">
        <f t="shared" si="145"/>
        <v>2250</v>
      </c>
      <c r="E191" s="50">
        <f t="shared" si="145"/>
        <v>2885</v>
      </c>
      <c r="F191" s="50">
        <f t="shared" si="145"/>
        <v>14414</v>
      </c>
      <c r="G191" s="50">
        <f t="shared" si="145"/>
        <v>14811</v>
      </c>
      <c r="H191" s="50">
        <f t="shared" si="145"/>
        <v>14790</v>
      </c>
      <c r="I191" s="50">
        <f t="shared" si="145"/>
        <v>15119</v>
      </c>
      <c r="J191" s="50">
        <f t="shared" si="145"/>
        <v>15142</v>
      </c>
      <c r="K191" s="50">
        <f t="shared" si="145"/>
        <v>15362</v>
      </c>
      <c r="L191" s="50">
        <f t="shared" si="145"/>
        <v>15094</v>
      </c>
      <c r="M191" s="50">
        <f t="shared" si="145"/>
        <v>15070</v>
      </c>
      <c r="N191" s="50">
        <f t="shared" si="145"/>
        <v>15046</v>
      </c>
      <c r="O191" s="50">
        <f t="shared" si="145"/>
        <v>15183</v>
      </c>
      <c r="P191" s="50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47" t="s">
        <v>320</v>
      </c>
      <c r="AB191" s="48" t="s">
        <v>414</v>
      </c>
      <c r="AC191" s="50">
        <f t="shared" ref="AC191:AO191" si="146">AC64+AC72</f>
        <v>0</v>
      </c>
      <c r="AD191" s="50">
        <f t="shared" si="146"/>
        <v>0</v>
      </c>
      <c r="AE191" s="50">
        <f t="shared" si="146"/>
        <v>0</v>
      </c>
      <c r="AF191" s="50">
        <f t="shared" si="146"/>
        <v>0</v>
      </c>
      <c r="AG191" s="50">
        <f t="shared" si="146"/>
        <v>0</v>
      </c>
      <c r="AH191" s="50">
        <f t="shared" si="146"/>
        <v>0</v>
      </c>
      <c r="AI191" s="50">
        <f t="shared" si="146"/>
        <v>0</v>
      </c>
      <c r="AJ191" s="50">
        <f t="shared" si="146"/>
        <v>0</v>
      </c>
      <c r="AK191" s="50">
        <f t="shared" si="146"/>
        <v>0</v>
      </c>
      <c r="AL191" s="50">
        <f t="shared" si="146"/>
        <v>0</v>
      </c>
      <c r="AM191" s="50">
        <f t="shared" si="146"/>
        <v>0</v>
      </c>
      <c r="AN191" s="50">
        <f t="shared" si="146"/>
        <v>0</v>
      </c>
      <c r="AO191" s="50">
        <f t="shared" si="146"/>
        <v>0</v>
      </c>
      <c r="AP191" s="50"/>
      <c r="AQ191" s="33"/>
      <c r="AR191" s="33"/>
    </row>
    <row r="192" spans="1:44" ht="3.9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</row>
    <row r="193" spans="1:44" ht="13.2" x14ac:dyDescent="0.25">
      <c r="A193" s="30"/>
      <c r="B193" s="31" t="s">
        <v>415</v>
      </c>
      <c r="C193" s="50" t="e">
        <f t="shared" ref="C193:O193" si="147">SUM(C182:C192)</f>
        <v>#REF!</v>
      </c>
      <c r="D193" s="50" t="e">
        <f t="shared" si="147"/>
        <v>#REF!</v>
      </c>
      <c r="E193" s="50" t="e">
        <f t="shared" si="147"/>
        <v>#REF!</v>
      </c>
      <c r="F193" s="50" t="e">
        <f t="shared" si="147"/>
        <v>#REF!</v>
      </c>
      <c r="G193" s="50" t="e">
        <f t="shared" si="147"/>
        <v>#REF!</v>
      </c>
      <c r="H193" s="50" t="e">
        <f t="shared" si="147"/>
        <v>#REF!</v>
      </c>
      <c r="I193" s="50" t="e">
        <f t="shared" si="147"/>
        <v>#REF!</v>
      </c>
      <c r="J193" s="50" t="e">
        <f t="shared" si="147"/>
        <v>#REF!</v>
      </c>
      <c r="K193" s="50" t="e">
        <f t="shared" si="147"/>
        <v>#REF!</v>
      </c>
      <c r="L193" s="50" t="e">
        <f t="shared" si="147"/>
        <v>#REF!</v>
      </c>
      <c r="M193" s="50" t="e">
        <f t="shared" si="147"/>
        <v>#REF!</v>
      </c>
      <c r="N193" s="50" t="e">
        <f t="shared" si="147"/>
        <v>#REF!</v>
      </c>
      <c r="O193" s="50" t="e">
        <f t="shared" si="147"/>
        <v>#REF!</v>
      </c>
      <c r="P193" s="50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0"/>
      <c r="AB193" s="31" t="s">
        <v>415</v>
      </c>
      <c r="AC193" s="50" t="e">
        <f t="shared" ref="AC193:AO193" si="148">SUM(AC182:AC192)</f>
        <v>#REF!</v>
      </c>
      <c r="AD193" s="50" t="e">
        <f t="shared" si="148"/>
        <v>#REF!</v>
      </c>
      <c r="AE193" s="50" t="e">
        <f t="shared" si="148"/>
        <v>#REF!</v>
      </c>
      <c r="AF193" s="50" t="e">
        <f t="shared" si="148"/>
        <v>#REF!</v>
      </c>
      <c r="AG193" s="50" t="e">
        <f t="shared" si="148"/>
        <v>#REF!</v>
      </c>
      <c r="AH193" s="50" t="e">
        <f t="shared" si="148"/>
        <v>#REF!</v>
      </c>
      <c r="AI193" s="50" t="e">
        <f t="shared" si="148"/>
        <v>#REF!</v>
      </c>
      <c r="AJ193" s="50" t="e">
        <f t="shared" si="148"/>
        <v>#REF!</v>
      </c>
      <c r="AK193" s="50" t="e">
        <f t="shared" si="148"/>
        <v>#REF!</v>
      </c>
      <c r="AL193" s="50" t="e">
        <f t="shared" si="148"/>
        <v>#REF!</v>
      </c>
      <c r="AM193" s="50" t="e">
        <f t="shared" si="148"/>
        <v>#REF!</v>
      </c>
      <c r="AN193" s="50" t="e">
        <f t="shared" si="148"/>
        <v>#REF!</v>
      </c>
      <c r="AO193" s="50" t="e">
        <f t="shared" si="148"/>
        <v>#REF!</v>
      </c>
      <c r="AP193" s="50"/>
      <c r="AQ193" s="33"/>
      <c r="AR193" s="33"/>
    </row>
    <row r="194" spans="1:44" ht="13.2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</row>
    <row r="195" spans="1:44" ht="13.2" x14ac:dyDescent="0.25">
      <c r="A195" s="30"/>
      <c r="B195" s="31" t="s">
        <v>416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0"/>
      <c r="AB195" s="31" t="s">
        <v>416</v>
      </c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33"/>
      <c r="AQ195" s="33"/>
      <c r="AR195" s="33"/>
    </row>
    <row r="196" spans="1:44" ht="13.2" x14ac:dyDescent="0.25">
      <c r="A196" s="47" t="s">
        <v>279</v>
      </c>
      <c r="B196" s="58" t="s">
        <v>417</v>
      </c>
      <c r="C196" s="46">
        <f t="shared" ref="C196:O196" si="149">C77</f>
        <v>0</v>
      </c>
      <c r="D196" s="46">
        <f t="shared" si="149"/>
        <v>0</v>
      </c>
      <c r="E196" s="46">
        <f t="shared" si="149"/>
        <v>0</v>
      </c>
      <c r="F196" s="46">
        <f t="shared" si="149"/>
        <v>0</v>
      </c>
      <c r="G196" s="46">
        <f t="shared" si="149"/>
        <v>0</v>
      </c>
      <c r="H196" s="46">
        <f t="shared" si="149"/>
        <v>0</v>
      </c>
      <c r="I196" s="46">
        <f t="shared" si="149"/>
        <v>0</v>
      </c>
      <c r="J196" s="46">
        <f t="shared" si="149"/>
        <v>0</v>
      </c>
      <c r="K196" s="46">
        <f t="shared" si="149"/>
        <v>0</v>
      </c>
      <c r="L196" s="46">
        <f t="shared" si="149"/>
        <v>0</v>
      </c>
      <c r="M196" s="46">
        <f t="shared" si="149"/>
        <v>0</v>
      </c>
      <c r="N196" s="46">
        <f t="shared" si="149"/>
        <v>0</v>
      </c>
      <c r="O196" s="46">
        <f t="shared" si="149"/>
        <v>0</v>
      </c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47" t="s">
        <v>279</v>
      </c>
      <c r="AB196" s="48" t="s">
        <v>418</v>
      </c>
      <c r="AC196" s="46">
        <f t="shared" ref="AC196:AO196" si="150">AC77</f>
        <v>0</v>
      </c>
      <c r="AD196" s="46">
        <f t="shared" si="150"/>
        <v>0</v>
      </c>
      <c r="AE196" s="46">
        <f t="shared" si="150"/>
        <v>0</v>
      </c>
      <c r="AF196" s="46">
        <f t="shared" si="150"/>
        <v>0</v>
      </c>
      <c r="AG196" s="46">
        <f t="shared" si="150"/>
        <v>0</v>
      </c>
      <c r="AH196" s="46">
        <f t="shared" si="150"/>
        <v>0</v>
      </c>
      <c r="AI196" s="46">
        <f t="shared" si="150"/>
        <v>0</v>
      </c>
      <c r="AJ196" s="46">
        <f t="shared" si="150"/>
        <v>0</v>
      </c>
      <c r="AK196" s="46">
        <f t="shared" si="150"/>
        <v>0</v>
      </c>
      <c r="AL196" s="46">
        <f t="shared" si="150"/>
        <v>0</v>
      </c>
      <c r="AM196" s="46">
        <f t="shared" si="150"/>
        <v>0</v>
      </c>
      <c r="AN196" s="46">
        <f t="shared" si="150"/>
        <v>0</v>
      </c>
      <c r="AO196" s="46">
        <f t="shared" si="150"/>
        <v>0</v>
      </c>
      <c r="AP196" s="33"/>
      <c r="AQ196" s="33"/>
      <c r="AR196" s="33"/>
    </row>
    <row r="197" spans="1:44" ht="13.2" x14ac:dyDescent="0.25">
      <c r="A197" s="47" t="s">
        <v>330</v>
      </c>
      <c r="B197" s="48" t="s">
        <v>419</v>
      </c>
      <c r="C197" s="46">
        <f t="shared" ref="C197:O197" si="151">C78+C79</f>
        <v>161600</v>
      </c>
      <c r="D197" s="46">
        <f t="shared" si="151"/>
        <v>161600</v>
      </c>
      <c r="E197" s="46">
        <f t="shared" si="151"/>
        <v>161600</v>
      </c>
      <c r="F197" s="46">
        <f t="shared" si="151"/>
        <v>161600</v>
      </c>
      <c r="G197" s="46">
        <f t="shared" si="151"/>
        <v>161600</v>
      </c>
      <c r="H197" s="46">
        <f t="shared" si="151"/>
        <v>161600</v>
      </c>
      <c r="I197" s="46">
        <f t="shared" si="151"/>
        <v>11600</v>
      </c>
      <c r="J197" s="46">
        <f t="shared" si="151"/>
        <v>11600</v>
      </c>
      <c r="K197" s="46">
        <f t="shared" si="151"/>
        <v>11600</v>
      </c>
      <c r="L197" s="46">
        <f t="shared" si="151"/>
        <v>11600</v>
      </c>
      <c r="M197" s="46">
        <f t="shared" si="151"/>
        <v>11600</v>
      </c>
      <c r="N197" s="46">
        <f t="shared" si="151"/>
        <v>7750</v>
      </c>
      <c r="O197" s="46">
        <f t="shared" si="151"/>
        <v>7750</v>
      </c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47" t="s">
        <v>330</v>
      </c>
      <c r="AB197" s="48" t="s">
        <v>419</v>
      </c>
      <c r="AC197" s="46">
        <f t="shared" ref="AC197:AO197" si="152">AC78+AC79</f>
        <v>0</v>
      </c>
      <c r="AD197" s="46">
        <f t="shared" si="152"/>
        <v>0</v>
      </c>
      <c r="AE197" s="46">
        <f t="shared" si="152"/>
        <v>0</v>
      </c>
      <c r="AF197" s="46">
        <f t="shared" si="152"/>
        <v>0</v>
      </c>
      <c r="AG197" s="46">
        <f t="shared" si="152"/>
        <v>0</v>
      </c>
      <c r="AH197" s="46">
        <f t="shared" si="152"/>
        <v>0</v>
      </c>
      <c r="AI197" s="46">
        <f t="shared" si="152"/>
        <v>0</v>
      </c>
      <c r="AJ197" s="46">
        <f t="shared" si="152"/>
        <v>0</v>
      </c>
      <c r="AK197" s="46">
        <f t="shared" si="152"/>
        <v>0</v>
      </c>
      <c r="AL197" s="46">
        <f t="shared" si="152"/>
        <v>0</v>
      </c>
      <c r="AM197" s="46">
        <f t="shared" si="152"/>
        <v>0</v>
      </c>
      <c r="AN197" s="46">
        <f t="shared" si="152"/>
        <v>0</v>
      </c>
      <c r="AO197" s="46">
        <f t="shared" si="152"/>
        <v>0</v>
      </c>
      <c r="AP197" s="33"/>
      <c r="AQ197" s="33"/>
      <c r="AR197" s="33"/>
    </row>
    <row r="198" spans="1:44" ht="13.2" x14ac:dyDescent="0.25">
      <c r="A198" s="47" t="s">
        <v>339</v>
      </c>
      <c r="B198" s="48" t="s">
        <v>420</v>
      </c>
      <c r="C198" s="50">
        <f t="shared" ref="C198:O198" si="153">C89</f>
        <v>942827</v>
      </c>
      <c r="D198" s="50">
        <f t="shared" si="153"/>
        <v>923268</v>
      </c>
      <c r="E198" s="50">
        <f t="shared" si="153"/>
        <v>940277</v>
      </c>
      <c r="F198" s="50">
        <f t="shared" si="153"/>
        <v>939317</v>
      </c>
      <c r="G198" s="50">
        <f t="shared" si="153"/>
        <v>953449</v>
      </c>
      <c r="H198" s="50">
        <f t="shared" si="153"/>
        <v>980136</v>
      </c>
      <c r="I198" s="50">
        <f t="shared" si="153"/>
        <v>1003347</v>
      </c>
      <c r="J198" s="50">
        <f t="shared" si="153"/>
        <v>1009761</v>
      </c>
      <c r="K198" s="50">
        <f t="shared" si="153"/>
        <v>1016213</v>
      </c>
      <c r="L198" s="50">
        <f t="shared" si="153"/>
        <v>1022771</v>
      </c>
      <c r="M198" s="50">
        <f t="shared" si="153"/>
        <v>1028769</v>
      </c>
      <c r="N198" s="50">
        <f t="shared" si="153"/>
        <v>1034255</v>
      </c>
      <c r="O198" s="50">
        <f t="shared" si="153"/>
        <v>1040232</v>
      </c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47" t="s">
        <v>339</v>
      </c>
      <c r="AB198" s="48" t="s">
        <v>420</v>
      </c>
      <c r="AC198" s="50">
        <f t="shared" ref="AC198:AO198" si="154">AC89</f>
        <v>195110</v>
      </c>
      <c r="AD198" s="50">
        <f t="shared" si="154"/>
        <v>194785</v>
      </c>
      <c r="AE198" s="50">
        <f t="shared" si="154"/>
        <v>194460</v>
      </c>
      <c r="AF198" s="50">
        <f t="shared" si="154"/>
        <v>194135</v>
      </c>
      <c r="AG198" s="50">
        <f t="shared" si="154"/>
        <v>193810</v>
      </c>
      <c r="AH198" s="50">
        <f t="shared" si="154"/>
        <v>193485</v>
      </c>
      <c r="AI198" s="50">
        <f t="shared" si="154"/>
        <v>193160</v>
      </c>
      <c r="AJ198" s="50">
        <f t="shared" si="154"/>
        <v>192835</v>
      </c>
      <c r="AK198" s="50">
        <f t="shared" si="154"/>
        <v>192510</v>
      </c>
      <c r="AL198" s="50">
        <f t="shared" si="154"/>
        <v>192185</v>
      </c>
      <c r="AM198" s="50">
        <f t="shared" si="154"/>
        <v>191860</v>
      </c>
      <c r="AN198" s="50">
        <f t="shared" si="154"/>
        <v>191535</v>
      </c>
      <c r="AO198" s="50">
        <f t="shared" si="154"/>
        <v>191210</v>
      </c>
      <c r="AP198" s="33"/>
      <c r="AQ198" s="33"/>
      <c r="AR198" s="33"/>
    </row>
    <row r="199" spans="1:44" ht="3.9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</row>
    <row r="200" spans="1:44" ht="13.2" x14ac:dyDescent="0.25">
      <c r="A200" s="30"/>
      <c r="B200" s="31" t="s">
        <v>421</v>
      </c>
      <c r="C200" s="50">
        <f t="shared" ref="C200:O200" si="155">SUM(C196:C199)</f>
        <v>1104427</v>
      </c>
      <c r="D200" s="50">
        <f t="shared" si="155"/>
        <v>1084868</v>
      </c>
      <c r="E200" s="50">
        <f t="shared" si="155"/>
        <v>1101877</v>
      </c>
      <c r="F200" s="50">
        <f t="shared" si="155"/>
        <v>1100917</v>
      </c>
      <c r="G200" s="50">
        <f t="shared" si="155"/>
        <v>1115049</v>
      </c>
      <c r="H200" s="50">
        <f t="shared" si="155"/>
        <v>1141736</v>
      </c>
      <c r="I200" s="50">
        <f t="shared" si="155"/>
        <v>1014947</v>
      </c>
      <c r="J200" s="50">
        <f t="shared" si="155"/>
        <v>1021361</v>
      </c>
      <c r="K200" s="50">
        <f t="shared" si="155"/>
        <v>1027813</v>
      </c>
      <c r="L200" s="50">
        <f t="shared" si="155"/>
        <v>1034371</v>
      </c>
      <c r="M200" s="50">
        <f t="shared" si="155"/>
        <v>1040369</v>
      </c>
      <c r="N200" s="50">
        <f t="shared" si="155"/>
        <v>1042005</v>
      </c>
      <c r="O200" s="50">
        <f t="shared" si="155"/>
        <v>1047982</v>
      </c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0"/>
      <c r="AB200" s="31" t="s">
        <v>421</v>
      </c>
      <c r="AC200" s="50">
        <f t="shared" ref="AC200:AO200" si="156">SUM(AC196:AC199)</f>
        <v>195110</v>
      </c>
      <c r="AD200" s="50">
        <f t="shared" si="156"/>
        <v>194785</v>
      </c>
      <c r="AE200" s="50">
        <f t="shared" si="156"/>
        <v>194460</v>
      </c>
      <c r="AF200" s="50">
        <f t="shared" si="156"/>
        <v>194135</v>
      </c>
      <c r="AG200" s="50">
        <f t="shared" si="156"/>
        <v>193810</v>
      </c>
      <c r="AH200" s="50">
        <f t="shared" si="156"/>
        <v>193485</v>
      </c>
      <c r="AI200" s="50">
        <f t="shared" si="156"/>
        <v>193160</v>
      </c>
      <c r="AJ200" s="50">
        <f t="shared" si="156"/>
        <v>192835</v>
      </c>
      <c r="AK200" s="50">
        <f t="shared" si="156"/>
        <v>192510</v>
      </c>
      <c r="AL200" s="50">
        <f t="shared" si="156"/>
        <v>192185</v>
      </c>
      <c r="AM200" s="50">
        <f t="shared" si="156"/>
        <v>191860</v>
      </c>
      <c r="AN200" s="50">
        <f t="shared" si="156"/>
        <v>191535</v>
      </c>
      <c r="AO200" s="50">
        <f t="shared" si="156"/>
        <v>191210</v>
      </c>
      <c r="AP200" s="33"/>
      <c r="AQ200" s="33"/>
      <c r="AR200" s="33"/>
    </row>
    <row r="201" spans="1:44" ht="13.2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</row>
    <row r="202" spans="1:44" ht="13.2" x14ac:dyDescent="0.25">
      <c r="A202" s="30"/>
      <c r="B202" s="31" t="s">
        <v>422</v>
      </c>
      <c r="C202" s="52" t="e">
        <f t="shared" ref="C202:O202" si="157">C193+C200</f>
        <v>#REF!</v>
      </c>
      <c r="D202" s="52" t="e">
        <f t="shared" si="157"/>
        <v>#REF!</v>
      </c>
      <c r="E202" s="52" t="e">
        <f t="shared" si="157"/>
        <v>#REF!</v>
      </c>
      <c r="F202" s="52" t="e">
        <f t="shared" si="157"/>
        <v>#REF!</v>
      </c>
      <c r="G202" s="52" t="e">
        <f t="shared" si="157"/>
        <v>#REF!</v>
      </c>
      <c r="H202" s="52" t="e">
        <f t="shared" si="157"/>
        <v>#REF!</v>
      </c>
      <c r="I202" s="52" t="e">
        <f t="shared" si="157"/>
        <v>#REF!</v>
      </c>
      <c r="J202" s="52" t="e">
        <f t="shared" si="157"/>
        <v>#REF!</v>
      </c>
      <c r="K202" s="52" t="e">
        <f t="shared" si="157"/>
        <v>#REF!</v>
      </c>
      <c r="L202" s="52" t="e">
        <f t="shared" si="157"/>
        <v>#REF!</v>
      </c>
      <c r="M202" s="52" t="e">
        <f t="shared" si="157"/>
        <v>#REF!</v>
      </c>
      <c r="N202" s="52" t="e">
        <f t="shared" si="157"/>
        <v>#REF!</v>
      </c>
      <c r="O202" s="52" t="e">
        <f t="shared" si="157"/>
        <v>#REF!</v>
      </c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0"/>
      <c r="AB202" s="31" t="s">
        <v>422</v>
      </c>
      <c r="AC202" s="52" t="e">
        <f t="shared" ref="AC202:AO202" si="158">AC193+AC200</f>
        <v>#REF!</v>
      </c>
      <c r="AD202" s="52" t="e">
        <f t="shared" si="158"/>
        <v>#REF!</v>
      </c>
      <c r="AE202" s="52" t="e">
        <f t="shared" si="158"/>
        <v>#REF!</v>
      </c>
      <c r="AF202" s="52" t="e">
        <f t="shared" si="158"/>
        <v>#REF!</v>
      </c>
      <c r="AG202" s="52" t="e">
        <f t="shared" si="158"/>
        <v>#REF!</v>
      </c>
      <c r="AH202" s="52" t="e">
        <f t="shared" si="158"/>
        <v>#REF!</v>
      </c>
      <c r="AI202" s="52" t="e">
        <f t="shared" si="158"/>
        <v>#REF!</v>
      </c>
      <c r="AJ202" s="52" t="e">
        <f t="shared" si="158"/>
        <v>#REF!</v>
      </c>
      <c r="AK202" s="52" t="e">
        <f t="shared" si="158"/>
        <v>#REF!</v>
      </c>
      <c r="AL202" s="52" t="e">
        <f t="shared" si="158"/>
        <v>#REF!</v>
      </c>
      <c r="AM202" s="52" t="e">
        <f t="shared" si="158"/>
        <v>#REF!</v>
      </c>
      <c r="AN202" s="52" t="e">
        <f t="shared" si="158"/>
        <v>#REF!</v>
      </c>
      <c r="AO202" s="52" t="e">
        <f t="shared" si="158"/>
        <v>#REF!</v>
      </c>
      <c r="AP202" s="33"/>
      <c r="AQ202" s="33"/>
      <c r="AR202" s="33"/>
    </row>
    <row r="203" spans="1:44" ht="13.2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</row>
    <row r="204" spans="1:44" ht="13.2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</row>
    <row r="205" spans="1:44" ht="13.2" x14ac:dyDescent="0.25">
      <c r="A205" s="33"/>
      <c r="B205" s="48" t="s">
        <v>342</v>
      </c>
      <c r="C205" s="46" t="e">
        <f t="shared" ref="C205:O205" si="159">C178-C202</f>
        <v>#REF!</v>
      </c>
      <c r="D205" s="46" t="e">
        <f t="shared" si="159"/>
        <v>#REF!</v>
      </c>
      <c r="E205" s="46" t="e">
        <f t="shared" si="159"/>
        <v>#REF!</v>
      </c>
      <c r="F205" s="46" t="e">
        <f t="shared" si="159"/>
        <v>#REF!</v>
      </c>
      <c r="G205" s="46" t="e">
        <f t="shared" si="159"/>
        <v>#REF!</v>
      </c>
      <c r="H205" s="46" t="e">
        <f t="shared" si="159"/>
        <v>#REF!</v>
      </c>
      <c r="I205" s="46" t="e">
        <f t="shared" si="159"/>
        <v>#REF!</v>
      </c>
      <c r="J205" s="46" t="e">
        <f t="shared" si="159"/>
        <v>#REF!</v>
      </c>
      <c r="K205" s="46" t="e">
        <f t="shared" si="159"/>
        <v>#REF!</v>
      </c>
      <c r="L205" s="46" t="e">
        <f t="shared" si="159"/>
        <v>#REF!</v>
      </c>
      <c r="M205" s="46" t="e">
        <f t="shared" si="159"/>
        <v>#REF!</v>
      </c>
      <c r="N205" s="46" t="e">
        <f t="shared" si="159"/>
        <v>#REF!</v>
      </c>
      <c r="O205" s="46" t="e">
        <f t="shared" si="159"/>
        <v>#REF!</v>
      </c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48" t="s">
        <v>342</v>
      </c>
      <c r="AC205" s="46" t="e">
        <f t="shared" ref="AC205:AO205" si="160">AC178-AC202</f>
        <v>#REF!</v>
      </c>
      <c r="AD205" s="46" t="e">
        <f t="shared" si="160"/>
        <v>#REF!</v>
      </c>
      <c r="AE205" s="46" t="e">
        <f t="shared" si="160"/>
        <v>#REF!</v>
      </c>
      <c r="AF205" s="46" t="e">
        <f t="shared" si="160"/>
        <v>#REF!</v>
      </c>
      <c r="AG205" s="46" t="e">
        <f t="shared" si="160"/>
        <v>#REF!</v>
      </c>
      <c r="AH205" s="46" t="e">
        <f t="shared" si="160"/>
        <v>#REF!</v>
      </c>
      <c r="AI205" s="46" t="e">
        <f t="shared" si="160"/>
        <v>#REF!</v>
      </c>
      <c r="AJ205" s="46" t="e">
        <f t="shared" si="160"/>
        <v>#REF!</v>
      </c>
      <c r="AK205" s="46" t="e">
        <f t="shared" si="160"/>
        <v>#REF!</v>
      </c>
      <c r="AL205" s="46" t="e">
        <f t="shared" si="160"/>
        <v>#REF!</v>
      </c>
      <c r="AM205" s="46" t="e">
        <f t="shared" si="160"/>
        <v>#REF!</v>
      </c>
      <c r="AN205" s="46" t="e">
        <f t="shared" si="160"/>
        <v>#REF!</v>
      </c>
      <c r="AO205" s="46" t="e">
        <f t="shared" si="160"/>
        <v>#REF!</v>
      </c>
      <c r="AP205" s="33"/>
      <c r="AQ205" s="33"/>
      <c r="AR205" s="33"/>
    </row>
    <row r="206" spans="1:44" ht="13.2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</row>
    <row r="208" spans="1:44" ht="8.1" customHeight="1" x14ac:dyDescent="0.25"/>
    <row r="229" spans="3:4" x14ac:dyDescent="0.25">
      <c r="C229" s="2" t="s">
        <v>423</v>
      </c>
      <c r="D229" s="2" t="s">
        <v>424</v>
      </c>
    </row>
    <row r="230" spans="3:4" x14ac:dyDescent="0.25">
      <c r="D230" s="2" t="s">
        <v>425</v>
      </c>
    </row>
    <row r="235" spans="3:4" x14ac:dyDescent="0.25">
      <c r="C235" s="2" t="s">
        <v>426</v>
      </c>
      <c r="D235" s="2" t="s">
        <v>427</v>
      </c>
    </row>
    <row r="236" spans="3:4" x14ac:dyDescent="0.25">
      <c r="D236" s="2" t="s">
        <v>428</v>
      </c>
    </row>
  </sheetData>
  <printOptions horizontalCentered="1" gridLinesSet="0"/>
  <pageMargins left="0.25" right="0.25" top="0.25" bottom="0.25" header="0.5" footer="0.5"/>
  <pageSetup paperSize="5" scale="85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PrintBalanceSheet">
                <anchor moveWithCells="1" sizeWithCells="1">
                  <from>
                    <xdr:col>1</xdr:col>
                    <xdr:colOff>899160</xdr:colOff>
                    <xdr:row>3</xdr:row>
                    <xdr:rowOff>7620</xdr:rowOff>
                  </from>
                  <to>
                    <xdr:col>1</xdr:col>
                    <xdr:colOff>1958340</xdr:colOff>
                    <xdr:row>6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AU492"/>
  <sheetViews>
    <sheetView showGridLines="0" topLeftCell="A5" workbookViewId="0">
      <pane xSplit="3" ySplit="3" topLeftCell="J8" activePane="bottomRight" state="frozen"/>
      <selection activeCell="A5" sqref="A5"/>
      <selection pane="topRight" activeCell="D5" sqref="D5"/>
      <selection pane="bottomLeft" activeCell="A8" sqref="A8"/>
      <selection pane="bottomRight" activeCell="K9" sqref="K9"/>
    </sheetView>
  </sheetViews>
  <sheetFormatPr defaultColWidth="10.6640625" defaultRowHeight="12.6" x14ac:dyDescent="0.25"/>
  <cols>
    <col min="1" max="1" width="40.6640625" style="3" customWidth="1"/>
    <col min="2" max="2" width="10.88671875" style="3" customWidth="1"/>
    <col min="3" max="3" width="8.6640625" style="3" customWidth="1"/>
    <col min="4" max="17" width="9.6640625" style="3" customWidth="1"/>
    <col min="18" max="18" width="10.6640625" style="3"/>
    <col min="19" max="19" width="3.88671875" style="3" customWidth="1"/>
    <col min="20" max="22" width="9.6640625" style="3" customWidth="1"/>
    <col min="23" max="23" width="5.6640625" style="3" customWidth="1"/>
    <col min="24" max="26" width="10.6640625" style="3"/>
    <col min="27" max="27" width="52.6640625" style="3" customWidth="1"/>
    <col min="28" max="29" width="9.6640625" style="3" customWidth="1"/>
    <col min="30" max="30" width="10.6640625" style="3"/>
    <col min="31" max="31" width="3.6640625" style="3" customWidth="1"/>
    <col min="32" max="34" width="9.6640625" style="3" customWidth="1"/>
    <col min="35" max="35" width="5.6640625" style="3" customWidth="1"/>
    <col min="36" max="37" width="9.6640625" style="3" customWidth="1"/>
    <col min="38" max="38" width="5.6640625" style="3" customWidth="1"/>
    <col min="39" max="40" width="9.6640625" style="3" customWidth="1"/>
    <col min="41" max="41" width="5.6640625" style="3" customWidth="1"/>
    <col min="42" max="43" width="9.6640625" style="3" customWidth="1"/>
    <col min="44" max="16384" width="10.6640625" style="3"/>
  </cols>
  <sheetData>
    <row r="1" spans="1:47" ht="13.2" x14ac:dyDescent="0.25">
      <c r="A1" s="177" t="str">
        <f ca="1">BACKUP!A1</f>
        <v>P:\Finance\2001CE\[TW3rdCECF.xls]BACKUP</v>
      </c>
      <c r="B1" s="63"/>
      <c r="C1" s="63"/>
      <c r="D1" s="63"/>
      <c r="E1" s="63"/>
      <c r="F1" s="63"/>
      <c r="G1" s="63"/>
      <c r="H1" s="63"/>
      <c r="I1" s="180" t="str">
        <f>BACKUP!G1</f>
        <v>TRANSWESTERN PIPELINE GROUP (Including Co. 92)</v>
      </c>
      <c r="J1" s="105"/>
      <c r="K1" s="105"/>
      <c r="L1" s="105"/>
      <c r="M1" s="63"/>
      <c r="N1" s="63"/>
      <c r="O1" s="63"/>
      <c r="P1" s="63"/>
      <c r="Q1" s="63"/>
      <c r="R1" s="63"/>
      <c r="S1" s="63"/>
      <c r="T1" s="63"/>
      <c r="U1" s="63"/>
      <c r="V1" s="65">
        <f ca="1">NOW()</f>
        <v>37197.646944328706</v>
      </c>
      <c r="W1" s="66"/>
      <c r="X1" s="66"/>
      <c r="Y1" s="66"/>
      <c r="Z1" s="66"/>
      <c r="AA1" s="67" t="str">
        <f ca="1">A1</f>
        <v>P:\Finance\2001CE\[TW3rdCECF.xls]BACKUP</v>
      </c>
      <c r="AB1" s="63"/>
      <c r="AC1" s="63"/>
      <c r="AD1" s="105" t="str">
        <f>I1</f>
        <v>TRANSWESTERN PIPELINE GROUP (Including Co. 92)</v>
      </c>
      <c r="AE1" s="105"/>
      <c r="AF1" s="105"/>
      <c r="AG1" s="105"/>
      <c r="AH1" s="63"/>
      <c r="AI1" s="63"/>
      <c r="AJ1" s="63"/>
      <c r="AK1" s="68"/>
      <c r="AL1" s="63"/>
      <c r="AM1" s="63"/>
      <c r="AN1" s="66"/>
      <c r="AO1" s="66"/>
      <c r="AP1" s="66"/>
      <c r="AQ1" s="65">
        <f ca="1">NOW()</f>
        <v>37197.646944328706</v>
      </c>
      <c r="AR1" s="66"/>
      <c r="AS1" s="66"/>
      <c r="AT1" s="66"/>
      <c r="AU1" s="66"/>
    </row>
    <row r="2" spans="1:47" ht="13.2" x14ac:dyDescent="0.25">
      <c r="A2" s="69" t="s">
        <v>429</v>
      </c>
      <c r="B2" s="63"/>
      <c r="C2" s="63"/>
      <c r="D2" s="63"/>
      <c r="E2" s="63"/>
      <c r="F2" s="63"/>
      <c r="G2" s="63"/>
      <c r="H2" s="63"/>
      <c r="I2" s="181" t="s">
        <v>430</v>
      </c>
      <c r="J2" s="105"/>
      <c r="K2" s="105"/>
      <c r="L2" s="105"/>
      <c r="M2" s="63"/>
      <c r="N2" s="63"/>
      <c r="O2" s="63"/>
      <c r="P2" s="63"/>
      <c r="Q2" s="63"/>
      <c r="R2" s="63"/>
      <c r="S2" s="63"/>
      <c r="T2" s="63"/>
      <c r="U2" s="63"/>
      <c r="V2" s="70">
        <f ca="1">NOW()</f>
        <v>37197.646944328706</v>
      </c>
      <c r="W2" s="66"/>
      <c r="X2" s="66"/>
      <c r="Y2" s="66"/>
      <c r="Z2" s="66"/>
      <c r="AA2" s="69" t="s">
        <v>431</v>
      </c>
      <c r="AB2" s="63"/>
      <c r="AC2" s="63"/>
      <c r="AD2" s="105" t="str">
        <f>I2</f>
        <v>CASH FLOW STATEMENT</v>
      </c>
      <c r="AE2" s="105"/>
      <c r="AF2" s="105"/>
      <c r="AG2" s="105"/>
      <c r="AH2" s="63"/>
      <c r="AI2" s="63"/>
      <c r="AJ2" s="63"/>
      <c r="AK2" s="71"/>
      <c r="AL2" s="63"/>
      <c r="AM2" s="63"/>
      <c r="AN2" s="66"/>
      <c r="AO2" s="66"/>
      <c r="AP2" s="66"/>
      <c r="AQ2" s="70">
        <f ca="1">NOW()</f>
        <v>37197.646944328706</v>
      </c>
      <c r="AR2" s="66"/>
      <c r="AS2" s="66"/>
      <c r="AT2" s="66"/>
      <c r="AU2" s="66"/>
    </row>
    <row r="3" spans="1:47" ht="13.2" x14ac:dyDescent="0.25">
      <c r="A3" s="71"/>
      <c r="B3" s="63"/>
      <c r="C3" s="63"/>
      <c r="D3" s="63"/>
      <c r="E3" s="63"/>
      <c r="F3" s="63"/>
      <c r="G3" s="63"/>
      <c r="H3" s="63"/>
      <c r="I3" s="180" t="str">
        <f>BACKUP!G3</f>
        <v>2001 ACTUAL / ESTIMATE</v>
      </c>
      <c r="J3" s="105"/>
      <c r="K3" s="105"/>
      <c r="L3" s="105"/>
      <c r="M3" s="63"/>
      <c r="N3" s="63"/>
      <c r="O3" s="63"/>
      <c r="P3" s="63"/>
      <c r="Q3" s="63"/>
      <c r="R3" s="63"/>
      <c r="S3" s="63"/>
      <c r="T3" s="63"/>
      <c r="U3" s="63"/>
      <c r="V3" s="63"/>
      <c r="W3" s="66"/>
      <c r="X3" s="66"/>
      <c r="Y3" s="66"/>
      <c r="Z3" s="66"/>
      <c r="AA3" s="71"/>
      <c r="AB3" s="63"/>
      <c r="AC3" s="63"/>
      <c r="AD3" s="105" t="str">
        <f>I3</f>
        <v>2001 ACTUAL / ESTIMATE</v>
      </c>
      <c r="AE3" s="105"/>
      <c r="AF3" s="105"/>
      <c r="AG3" s="105"/>
      <c r="AH3" s="63"/>
      <c r="AI3" s="63"/>
      <c r="AJ3" s="63"/>
      <c r="AK3" s="63"/>
      <c r="AL3" s="63"/>
      <c r="AM3" s="63"/>
      <c r="AN3" s="63"/>
      <c r="AO3" s="66"/>
      <c r="AP3" s="66"/>
      <c r="AQ3" s="66"/>
      <c r="AR3" s="66"/>
      <c r="AS3" s="66"/>
      <c r="AT3" s="66"/>
      <c r="AU3" s="66"/>
    </row>
    <row r="4" spans="1:47" ht="13.2" x14ac:dyDescent="0.25">
      <c r="A4" s="63"/>
      <c r="B4" s="63"/>
      <c r="C4" s="63"/>
      <c r="D4" s="63"/>
      <c r="E4" s="63"/>
      <c r="F4" s="63"/>
      <c r="G4" s="63"/>
      <c r="H4" s="63"/>
      <c r="I4" s="180" t="str">
        <f>BACKUP!G4</f>
        <v>(Thousands of Dollars)</v>
      </c>
      <c r="J4" s="105"/>
      <c r="K4" s="105"/>
      <c r="L4" s="105"/>
      <c r="M4" s="63"/>
      <c r="N4" s="63"/>
      <c r="O4" s="63"/>
      <c r="P4" s="63"/>
      <c r="Q4" s="63"/>
      <c r="R4" s="63"/>
      <c r="S4" s="63"/>
      <c r="T4" s="63"/>
      <c r="U4" s="63"/>
      <c r="V4" s="63"/>
      <c r="W4" s="66"/>
      <c r="X4" s="66"/>
      <c r="Y4" s="66"/>
      <c r="Z4" s="66"/>
      <c r="AA4" s="63"/>
      <c r="AB4" s="63"/>
      <c r="AC4" s="63"/>
      <c r="AD4" s="105" t="str">
        <f>I4</f>
        <v>(Thousands of Dollars)</v>
      </c>
      <c r="AE4" s="105"/>
      <c r="AF4" s="105"/>
      <c r="AG4" s="105"/>
      <c r="AH4" s="63"/>
      <c r="AI4" s="63"/>
      <c r="AJ4" s="63"/>
      <c r="AK4" s="63"/>
      <c r="AL4" s="63"/>
      <c r="AM4" s="63"/>
      <c r="AN4" s="63"/>
      <c r="AO4" s="66"/>
      <c r="AP4" s="66"/>
      <c r="AQ4" s="66"/>
      <c r="AR4" s="66"/>
      <c r="AS4" s="66"/>
      <c r="AT4" s="66"/>
      <c r="AU4" s="66"/>
    </row>
    <row r="5" spans="1:47" ht="13.2" x14ac:dyDescent="0.25">
      <c r="A5" s="63"/>
      <c r="B5" s="63"/>
      <c r="C5" s="63"/>
      <c r="D5" s="178">
        <f>BACKUP!D6</f>
        <v>0</v>
      </c>
      <c r="E5" s="178">
        <f>BACKUP!E6</f>
        <v>0</v>
      </c>
      <c r="F5" s="178">
        <f>BACKUP!F6</f>
        <v>0</v>
      </c>
      <c r="G5" s="178">
        <f>BACKUP!G6</f>
        <v>0</v>
      </c>
      <c r="H5" s="178">
        <f>BACKUP!H6</f>
        <v>0</v>
      </c>
      <c r="I5" s="178">
        <f>BACKUP!I6</f>
        <v>0</v>
      </c>
      <c r="J5" s="178">
        <f>BACKUP!J6</f>
        <v>0</v>
      </c>
      <c r="K5" s="178" t="str">
        <f>BACKUP!K6</f>
        <v>PRE</v>
      </c>
      <c r="L5" s="178">
        <f>BACKUP!L6</f>
        <v>0</v>
      </c>
      <c r="M5" s="178">
        <f>BACKUP!M6</f>
        <v>0</v>
      </c>
      <c r="N5" s="178">
        <f>BACKUP!N6</f>
        <v>0</v>
      </c>
      <c r="O5" s="178">
        <f>BACKUP!O6</f>
        <v>0</v>
      </c>
      <c r="P5" s="72"/>
      <c r="Q5" s="63"/>
      <c r="R5" s="72"/>
      <c r="S5" s="63"/>
      <c r="T5" s="210"/>
      <c r="U5" s="63"/>
      <c r="V5" s="73">
        <f>T5</f>
        <v>0</v>
      </c>
      <c r="W5" s="66"/>
      <c r="X5" s="66"/>
      <c r="Y5" s="66"/>
      <c r="Z5" s="66"/>
      <c r="AA5" s="63"/>
      <c r="AB5" s="63"/>
      <c r="AC5" s="63"/>
      <c r="AD5" s="63"/>
      <c r="AE5" s="63"/>
      <c r="AF5" s="73">
        <f>T5</f>
        <v>0</v>
      </c>
      <c r="AG5" s="63"/>
      <c r="AH5" s="73">
        <f>V5</f>
        <v>0</v>
      </c>
      <c r="AI5" s="63"/>
      <c r="AJ5" s="97"/>
      <c r="AK5" s="73">
        <f>T5</f>
        <v>0</v>
      </c>
      <c r="AL5" s="63"/>
      <c r="AM5" s="97"/>
      <c r="AN5" s="96"/>
      <c r="AO5" s="66"/>
      <c r="AP5" s="188"/>
      <c r="AQ5" s="189"/>
      <c r="AR5" s="66"/>
      <c r="AS5" s="66"/>
      <c r="AT5" s="66"/>
      <c r="AU5" s="66"/>
    </row>
    <row r="6" spans="1:47" ht="13.2" x14ac:dyDescent="0.25">
      <c r="A6" s="63"/>
      <c r="B6" s="63"/>
      <c r="C6" s="63"/>
      <c r="D6" s="178" t="str">
        <f>BACKUP!D7</f>
        <v>ACT.</v>
      </c>
      <c r="E6" s="178" t="str">
        <f>BACKUP!E7</f>
        <v>ACT.</v>
      </c>
      <c r="F6" s="178" t="str">
        <f>BACKUP!F7</f>
        <v>ACT.</v>
      </c>
      <c r="G6" s="178" t="str">
        <f>BACKUP!G7</f>
        <v>ACT.</v>
      </c>
      <c r="H6" s="178" t="str">
        <f>BACKUP!H7</f>
        <v>ACT.</v>
      </c>
      <c r="I6" s="178" t="str">
        <f>BACKUP!I7</f>
        <v>ACT.</v>
      </c>
      <c r="J6" s="178" t="str">
        <f>BACKUP!J7</f>
        <v>ACT.</v>
      </c>
      <c r="K6" s="178" t="str">
        <f>BACKUP!K7</f>
        <v>ACT.</v>
      </c>
      <c r="L6" s="178" t="str">
        <f>BACKUP!L7</f>
        <v>3rd CE</v>
      </c>
      <c r="M6" s="178" t="str">
        <f>BACKUP!M7</f>
        <v>3rd CE</v>
      </c>
      <c r="N6" s="178" t="str">
        <f>BACKUP!N7</f>
        <v>3rd CE</v>
      </c>
      <c r="O6" s="178" t="str">
        <f>BACKUP!O7</f>
        <v>3rd CE</v>
      </c>
      <c r="P6" s="178" t="str">
        <f>BACKUP!P7</f>
        <v>TOTAL</v>
      </c>
      <c r="Q6" s="98" t="s">
        <v>10</v>
      </c>
      <c r="R6" s="178" t="str">
        <f>BACKUP!R7</f>
        <v>ESTIMATED</v>
      </c>
      <c r="S6" s="96"/>
      <c r="T6" s="98" t="s">
        <v>432</v>
      </c>
      <c r="U6" s="222" t="s">
        <v>433</v>
      </c>
      <c r="V6" s="73" t="str">
        <f>T6</f>
        <v>PLAN</v>
      </c>
      <c r="W6" s="66"/>
      <c r="X6" s="66"/>
      <c r="Y6" s="66"/>
      <c r="Z6" s="66"/>
      <c r="AA6" s="63"/>
      <c r="AB6" s="73" t="str">
        <f>P6</f>
        <v>TOTAL</v>
      </c>
      <c r="AC6" s="98" t="s">
        <v>433</v>
      </c>
      <c r="AD6" s="129" t="str">
        <f>R6</f>
        <v>ESTIMATED</v>
      </c>
      <c r="AE6" s="63"/>
      <c r="AF6" s="73" t="str">
        <f>T6</f>
        <v>PLAN</v>
      </c>
      <c r="AG6" s="129" t="str">
        <f>AC6</f>
        <v>SEPT.</v>
      </c>
      <c r="AH6" s="73" t="str">
        <f>V6</f>
        <v>PLAN</v>
      </c>
      <c r="AI6" s="63"/>
      <c r="AJ6" s="100" t="s">
        <v>434</v>
      </c>
      <c r="AK6" s="100"/>
      <c r="AL6" s="63"/>
      <c r="AM6" s="154" t="s">
        <v>435</v>
      </c>
      <c r="AN6" s="148"/>
      <c r="AO6" s="66"/>
      <c r="AP6" s="154" t="s">
        <v>436</v>
      </c>
      <c r="AQ6" s="100"/>
      <c r="AR6" s="66"/>
      <c r="AS6" s="66"/>
      <c r="AT6" s="66"/>
      <c r="AU6" s="66"/>
    </row>
    <row r="7" spans="1:47" ht="12.9" customHeight="1" x14ac:dyDescent="0.25">
      <c r="A7" s="63"/>
      <c r="B7" s="63"/>
      <c r="C7" s="63"/>
      <c r="D7" s="179" t="str">
        <f>BACKUP!D8</f>
        <v>JAN</v>
      </c>
      <c r="E7" s="179" t="str">
        <f>BACKUP!E8</f>
        <v>FEB</v>
      </c>
      <c r="F7" s="179" t="str">
        <f>BACKUP!F8</f>
        <v>MAR</v>
      </c>
      <c r="G7" s="179" t="str">
        <f>BACKUP!G8</f>
        <v>APR</v>
      </c>
      <c r="H7" s="179" t="str">
        <f>BACKUP!H8</f>
        <v>MAY</v>
      </c>
      <c r="I7" s="179" t="str">
        <f>BACKUP!I8</f>
        <v>JUN</v>
      </c>
      <c r="J7" s="179" t="str">
        <f>BACKUP!J8</f>
        <v>JUL</v>
      </c>
      <c r="K7" s="179" t="str">
        <f>BACKUP!K8</f>
        <v>AUG</v>
      </c>
      <c r="L7" s="179" t="str">
        <f>BACKUP!L8</f>
        <v>SEP</v>
      </c>
      <c r="M7" s="179" t="str">
        <f>BACKUP!M8</f>
        <v>OCT</v>
      </c>
      <c r="N7" s="179" t="str">
        <f>BACKUP!N8</f>
        <v>NOV</v>
      </c>
      <c r="O7" s="179" t="str">
        <f>BACKUP!O8</f>
        <v>DEC</v>
      </c>
      <c r="P7" s="179">
        <f>BACKUP!P8</f>
        <v>2001</v>
      </c>
      <c r="Q7" s="179" t="str">
        <f>BACKUP!Q8</f>
        <v>Y-T-D</v>
      </c>
      <c r="R7" s="179" t="str">
        <f>BACKUP!R8</f>
        <v>R.M.</v>
      </c>
      <c r="S7" s="96"/>
      <c r="T7" s="77">
        <f>P7</f>
        <v>2001</v>
      </c>
      <c r="U7" s="77" t="str">
        <f>Q7</f>
        <v>Y-T-D</v>
      </c>
      <c r="V7" s="77" t="str">
        <f>R7</f>
        <v>R.M.</v>
      </c>
      <c r="W7" s="66"/>
      <c r="X7" s="66"/>
      <c r="Y7" s="66"/>
      <c r="Z7" s="66"/>
      <c r="AA7" s="63"/>
      <c r="AB7" s="77">
        <f>P7</f>
        <v>2001</v>
      </c>
      <c r="AC7" s="128" t="str">
        <f>Q7</f>
        <v>Y-T-D</v>
      </c>
      <c r="AD7" s="128" t="str">
        <f>R7</f>
        <v>R.M.</v>
      </c>
      <c r="AE7" s="63"/>
      <c r="AF7" s="77">
        <f>T7</f>
        <v>2001</v>
      </c>
      <c r="AG7" s="128" t="str">
        <f>AC7</f>
        <v>Y-T-D</v>
      </c>
      <c r="AH7" s="77" t="str">
        <f>V7</f>
        <v>R.M.</v>
      </c>
      <c r="AI7" s="63"/>
      <c r="AJ7" s="128" t="str">
        <f>AC7</f>
        <v>Y-T-D</v>
      </c>
      <c r="AK7" s="124" t="s">
        <v>437</v>
      </c>
      <c r="AL7" s="96"/>
      <c r="AM7" s="77" t="str">
        <f>AK7</f>
        <v>ANNUAL</v>
      </c>
      <c r="AN7" s="113" t="s">
        <v>438</v>
      </c>
      <c r="AO7" s="66"/>
      <c r="AP7" s="192" t="s">
        <v>435</v>
      </c>
      <c r="AQ7" s="76" t="str">
        <f>AN7</f>
        <v>Variance</v>
      </c>
      <c r="AR7" s="66"/>
      <c r="AS7" s="66"/>
      <c r="AT7" s="66"/>
      <c r="AU7" s="66"/>
    </row>
    <row r="8" spans="1:47" ht="12.75" customHeight="1" x14ac:dyDescent="0.25">
      <c r="A8" s="109" t="s">
        <v>439</v>
      </c>
      <c r="B8" s="66"/>
      <c r="C8" s="6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3" t="str">
        <f t="shared" ref="AA8:AA13" si="0">A8</f>
        <v>CASH FLOW FROM OPERATING ACTIVITIES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79"/>
      <c r="AN8" s="66"/>
      <c r="AO8" s="66"/>
      <c r="AP8" s="79"/>
      <c r="AQ8" s="66"/>
      <c r="AR8" s="66"/>
      <c r="AS8" s="66"/>
      <c r="AT8" s="66"/>
      <c r="AU8" s="66"/>
    </row>
    <row r="9" spans="1:47" ht="13.2" x14ac:dyDescent="0.25">
      <c r="A9" s="112" t="s">
        <v>440</v>
      </c>
      <c r="B9" s="66"/>
      <c r="C9" s="66"/>
      <c r="D9" s="149">
        <f>BACKUP!D468+BACKUP!D469+BACKUP!D470</f>
        <v>6658</v>
      </c>
      <c r="E9" s="149">
        <f>BACKUP!E468+BACKUP!E469+BACKUP!E470</f>
        <v>8540</v>
      </c>
      <c r="F9" s="149">
        <f>BACKUP!F468+BACKUP!F469+BACKUP!F470</f>
        <v>3341</v>
      </c>
      <c r="G9" s="149">
        <f>BACKUP!G468+BACKUP!G469+BACKUP!G470</f>
        <v>8154</v>
      </c>
      <c r="H9" s="149">
        <f>BACKUP!H468+BACKUP!H469+BACKUP!H470</f>
        <v>7578</v>
      </c>
      <c r="I9" s="149">
        <f>BACKUP!I468+BACKUP!I469+BACKUP!I470</f>
        <v>6296</v>
      </c>
      <c r="J9" s="149">
        <f>BACKUP!J468+BACKUP!J469+BACKUP!J470</f>
        <v>6915</v>
      </c>
      <c r="K9" s="149">
        <f>BACKUP!K468+BACKUP!K469+BACKUP!K470</f>
        <v>6452</v>
      </c>
      <c r="L9" s="78">
        <f>BACKUP!L468+BACKUP!L469+BACKUP!L470</f>
        <v>6558</v>
      </c>
      <c r="M9" s="78">
        <f>BACKUP!M468+BACKUP!M469+BACKUP!M470</f>
        <v>5998</v>
      </c>
      <c r="N9" s="78">
        <f>BACKUP!N468+BACKUP!N469+BACKUP!N470</f>
        <v>5486</v>
      </c>
      <c r="O9" s="78">
        <f>BACKUP!O468+BACKUP!O469+BACKUP!O470</f>
        <v>5977</v>
      </c>
      <c r="P9" s="78">
        <f>SUM(D9:O9)</f>
        <v>77953</v>
      </c>
      <c r="Q9" s="79">
        <f>SUM(D9:J9)</f>
        <v>47482</v>
      </c>
      <c r="R9" s="78">
        <f>P9-Q9</f>
        <v>30471</v>
      </c>
      <c r="S9" s="66"/>
      <c r="T9" s="79">
        <v>72797</v>
      </c>
      <c r="U9" s="79">
        <v>54234</v>
      </c>
      <c r="V9" s="78">
        <f>T9-U9</f>
        <v>18563</v>
      </c>
      <c r="W9" s="66"/>
      <c r="X9" s="78"/>
      <c r="Y9" s="78"/>
      <c r="Z9" s="66"/>
      <c r="AA9" s="66" t="str">
        <f t="shared" si="0"/>
        <v xml:space="preserve">   Net Income </v>
      </c>
      <c r="AB9" s="78">
        <f>P9</f>
        <v>77953</v>
      </c>
      <c r="AC9" s="79">
        <f>SUM(D9:L9)</f>
        <v>60492</v>
      </c>
      <c r="AD9" s="78">
        <f>AB9-AC9</f>
        <v>17461</v>
      </c>
      <c r="AE9" s="66"/>
      <c r="AF9" s="78">
        <f>T9</f>
        <v>72797</v>
      </c>
      <c r="AG9" s="78">
        <f>U9</f>
        <v>54234</v>
      </c>
      <c r="AH9" s="78">
        <f>AF9-AG9</f>
        <v>18563</v>
      </c>
      <c r="AI9" s="66"/>
      <c r="AJ9" s="78">
        <f>AC9-AG9</f>
        <v>6258</v>
      </c>
      <c r="AK9" s="78">
        <f>AB9-AF9</f>
        <v>5156</v>
      </c>
      <c r="AL9" s="66"/>
      <c r="AM9" s="79">
        <v>84501</v>
      </c>
      <c r="AN9" s="78">
        <f>AB9-AM9</f>
        <v>-6548</v>
      </c>
      <c r="AO9" s="66"/>
      <c r="AP9" s="79">
        <v>65754</v>
      </c>
      <c r="AQ9" s="78">
        <f>AC9-AP9</f>
        <v>-5262</v>
      </c>
      <c r="AR9" s="66"/>
      <c r="AS9" s="66"/>
      <c r="AT9" s="66"/>
      <c r="AU9" s="66"/>
    </row>
    <row r="10" spans="1:47" ht="13.2" x14ac:dyDescent="0.25">
      <c r="A10" s="103" t="s">
        <v>441</v>
      </c>
      <c r="B10" s="66"/>
      <c r="C10" s="66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66"/>
      <c r="Q10" s="81"/>
      <c r="R10" s="66"/>
      <c r="S10" s="66"/>
      <c r="T10" s="79"/>
      <c r="U10" s="79"/>
      <c r="V10" s="66"/>
      <c r="W10" s="66"/>
      <c r="X10" s="66"/>
      <c r="Y10" s="66"/>
      <c r="Z10" s="66"/>
      <c r="AA10" s="66" t="str">
        <f t="shared" si="0"/>
        <v xml:space="preserve">   Items not affecting Working Capital:</v>
      </c>
      <c r="AB10" s="66"/>
      <c r="AC10" s="66"/>
      <c r="AD10" s="66"/>
      <c r="AE10" s="66"/>
      <c r="AF10" s="66"/>
      <c r="AG10" s="79"/>
      <c r="AH10" s="66"/>
      <c r="AI10" s="66"/>
      <c r="AJ10" s="66"/>
      <c r="AK10" s="66"/>
      <c r="AL10" s="66"/>
      <c r="AM10" s="79"/>
      <c r="AN10" s="66"/>
      <c r="AO10" s="66"/>
      <c r="AP10" s="79"/>
      <c r="AQ10" s="66"/>
      <c r="AR10" s="66"/>
      <c r="AS10" s="66"/>
      <c r="AT10" s="66"/>
      <c r="AU10" s="66"/>
    </row>
    <row r="11" spans="1:47" ht="13.2" x14ac:dyDescent="0.25">
      <c r="A11" s="112" t="s">
        <v>442</v>
      </c>
      <c r="B11" s="66"/>
      <c r="C11" s="66"/>
      <c r="D11" s="78">
        <f t="shared" ref="D11:O11" si="1">D276+D275+D279</f>
        <v>1621</v>
      </c>
      <c r="E11" s="216">
        <f>E276+E275+E279+1</f>
        <v>1587</v>
      </c>
      <c r="F11" s="78">
        <f t="shared" si="1"/>
        <v>1631</v>
      </c>
      <c r="G11" s="216">
        <f>G276+G275+G279-1</f>
        <v>1643</v>
      </c>
      <c r="H11" s="78">
        <f t="shared" si="1"/>
        <v>1600</v>
      </c>
      <c r="I11" s="78">
        <f t="shared" si="1"/>
        <v>1710</v>
      </c>
      <c r="J11" s="78">
        <f t="shared" si="1"/>
        <v>1648</v>
      </c>
      <c r="K11" s="78">
        <f t="shared" si="1"/>
        <v>1650</v>
      </c>
      <c r="L11" s="78">
        <f t="shared" si="1"/>
        <v>1700</v>
      </c>
      <c r="M11" s="78">
        <f t="shared" si="1"/>
        <v>1800</v>
      </c>
      <c r="N11" s="78">
        <f t="shared" si="1"/>
        <v>1900</v>
      </c>
      <c r="O11" s="78">
        <f t="shared" si="1"/>
        <v>1950</v>
      </c>
      <c r="P11" s="78">
        <f>SUM(D11:O11)</f>
        <v>20440</v>
      </c>
      <c r="Q11" s="79">
        <f>SUM(D11:J11)</f>
        <v>11440</v>
      </c>
      <c r="R11" s="78">
        <f>P11-Q11</f>
        <v>9000</v>
      </c>
      <c r="S11" s="66"/>
      <c r="T11" s="79">
        <v>21996</v>
      </c>
      <c r="U11" s="79">
        <v>16497</v>
      </c>
      <c r="V11" s="78">
        <f>T11-U11</f>
        <v>5499</v>
      </c>
      <c r="W11" s="66"/>
      <c r="X11" s="78"/>
      <c r="Y11" s="78"/>
      <c r="Z11" s="66"/>
      <c r="AA11" s="66" t="str">
        <f t="shared" si="0"/>
        <v xml:space="preserve">      Depreciation and Amortization</v>
      </c>
      <c r="AB11" s="78">
        <f>P11</f>
        <v>20440</v>
      </c>
      <c r="AC11" s="79">
        <f>SUM(D11:L11)</f>
        <v>14790</v>
      </c>
      <c r="AD11" s="78">
        <f>AB11-AC11</f>
        <v>5650</v>
      </c>
      <c r="AE11" s="66"/>
      <c r="AF11" s="78">
        <f t="shared" ref="AF11:AG13" si="2">T11</f>
        <v>21996</v>
      </c>
      <c r="AG11" s="78">
        <f t="shared" si="2"/>
        <v>16497</v>
      </c>
      <c r="AH11" s="78">
        <f>AF11-AG11</f>
        <v>5499</v>
      </c>
      <c r="AI11" s="66"/>
      <c r="AJ11" s="78">
        <f>AC11-AG11</f>
        <v>-1707</v>
      </c>
      <c r="AK11" s="78">
        <f>AB11-AF11</f>
        <v>-1556</v>
      </c>
      <c r="AL11" s="66"/>
      <c r="AM11" s="79">
        <v>20542</v>
      </c>
      <c r="AN11" s="78">
        <f>AB11-AM11</f>
        <v>-102</v>
      </c>
      <c r="AO11" s="66"/>
      <c r="AP11" s="79">
        <v>14992</v>
      </c>
      <c r="AQ11" s="78">
        <f>AC11-AP11</f>
        <v>-202</v>
      </c>
      <c r="AR11" s="66"/>
      <c r="AS11" s="66"/>
      <c r="AT11" s="66"/>
      <c r="AU11" s="66"/>
    </row>
    <row r="12" spans="1:47" ht="13.2" x14ac:dyDescent="0.25">
      <c r="A12" s="112" t="s">
        <v>443</v>
      </c>
      <c r="B12" s="66"/>
      <c r="C12" s="66"/>
      <c r="D12" s="78">
        <f>-D288</f>
        <v>0</v>
      </c>
      <c r="E12" s="78">
        <f t="shared" ref="E12:O12" si="3">-E288</f>
        <v>0</v>
      </c>
      <c r="F12" s="78">
        <f t="shared" si="3"/>
        <v>0</v>
      </c>
      <c r="G12" s="78">
        <f t="shared" si="3"/>
        <v>0</v>
      </c>
      <c r="H12" s="78">
        <f t="shared" si="3"/>
        <v>0</v>
      </c>
      <c r="I12" s="78">
        <f t="shared" si="3"/>
        <v>0</v>
      </c>
      <c r="J12" s="78">
        <f t="shared" si="3"/>
        <v>0</v>
      </c>
      <c r="K12" s="78">
        <f t="shared" si="3"/>
        <v>0</v>
      </c>
      <c r="L12" s="78">
        <f t="shared" si="3"/>
        <v>0</v>
      </c>
      <c r="M12" s="78">
        <f t="shared" si="3"/>
        <v>0</v>
      </c>
      <c r="N12" s="78">
        <f t="shared" si="3"/>
        <v>0</v>
      </c>
      <c r="O12" s="78">
        <f t="shared" si="3"/>
        <v>0</v>
      </c>
      <c r="P12" s="78">
        <f>SUM(D12:O12)</f>
        <v>0</v>
      </c>
      <c r="Q12" s="79">
        <f>SUM(D12:J12)</f>
        <v>0</v>
      </c>
      <c r="R12" s="78">
        <f>P12-Q12</f>
        <v>0</v>
      </c>
      <c r="S12" s="66"/>
      <c r="T12" s="213">
        <f>1284-1284</f>
        <v>0</v>
      </c>
      <c r="U12" s="213">
        <f>963-963</f>
        <v>0</v>
      </c>
      <c r="V12" s="78">
        <f>T12-U12</f>
        <v>0</v>
      </c>
      <c r="W12" s="66"/>
      <c r="X12" s="78"/>
      <c r="Y12" s="78"/>
      <c r="Z12" s="66"/>
      <c r="AA12" s="66" t="str">
        <f t="shared" si="0"/>
        <v xml:space="preserve">      Regulatory Amortization - TCR</v>
      </c>
      <c r="AB12" s="78">
        <f>P12</f>
        <v>0</v>
      </c>
      <c r="AC12" s="79">
        <f>SUM(D12:L12)</f>
        <v>0</v>
      </c>
      <c r="AD12" s="78">
        <f>AB12-AC12</f>
        <v>0</v>
      </c>
      <c r="AE12" s="66"/>
      <c r="AF12" s="78">
        <f t="shared" si="2"/>
        <v>0</v>
      </c>
      <c r="AG12" s="78">
        <f t="shared" si="2"/>
        <v>0</v>
      </c>
      <c r="AH12" s="78">
        <f>AF12-AG12</f>
        <v>0</v>
      </c>
      <c r="AI12" s="66"/>
      <c r="AJ12" s="78">
        <f>AC12-AG12</f>
        <v>0</v>
      </c>
      <c r="AK12" s="78">
        <f>AB12-AF12</f>
        <v>0</v>
      </c>
      <c r="AL12" s="66"/>
      <c r="AM12" s="79">
        <v>0</v>
      </c>
      <c r="AN12" s="78">
        <f>AB12-AM12</f>
        <v>0</v>
      </c>
      <c r="AO12" s="66"/>
      <c r="AP12" s="79">
        <v>0</v>
      </c>
      <c r="AQ12" s="78">
        <f>AC12-AP12</f>
        <v>0</v>
      </c>
      <c r="AR12" s="66"/>
      <c r="AS12" s="66"/>
      <c r="AT12" s="66"/>
      <c r="AU12" s="66"/>
    </row>
    <row r="13" spans="1:47" ht="13.2" x14ac:dyDescent="0.25">
      <c r="A13" s="112" t="s">
        <v>444</v>
      </c>
      <c r="B13" s="66"/>
      <c r="C13" s="66"/>
      <c r="D13" s="221">
        <f>+BACKUP!D354+BACKUP!D364-BACKUP!D359</f>
        <v>150</v>
      </c>
      <c r="E13" s="221">
        <f>+BACKUP!E354+BACKUP!E364-BACKUP!E359</f>
        <v>92</v>
      </c>
      <c r="F13" s="221">
        <f>+BACKUP!F354+BACKUP!F364-BACKUP!F359-1</f>
        <v>-4693</v>
      </c>
      <c r="G13" s="221">
        <f>+BACKUP!G354+BACKUP!G364-BACKUP!G359+1</f>
        <v>802</v>
      </c>
      <c r="H13" s="221">
        <f>+BACKUP!H354+BACKUP!H364-BACKUP!H359</f>
        <v>259</v>
      </c>
      <c r="I13" s="221">
        <f>+BACKUP!I354+BACKUP!I364-BACKUP!I359</f>
        <v>6</v>
      </c>
      <c r="J13" s="221">
        <f>+BACKUP!J354+BACKUP!J364-BACKUP!J359</f>
        <v>256</v>
      </c>
      <c r="K13" s="221">
        <f>+BACKUP!K354+BACKUP!K364-BACKUP!K359</f>
        <v>100</v>
      </c>
      <c r="L13" s="221">
        <f>+BACKUP!L354+BACKUP!L364-BACKUP!L359</f>
        <v>747</v>
      </c>
      <c r="M13" s="221">
        <f>+BACKUP!M354+BACKUP!M364-BACKUP!M359</f>
        <v>3257</v>
      </c>
      <c r="N13" s="221">
        <f>+BACKUP!N354+BACKUP!N364-BACKUP!N359</f>
        <v>-753</v>
      </c>
      <c r="O13" s="221">
        <f>+BACKUP!O354+BACKUP!O364-BACKUP!O359</f>
        <v>-60</v>
      </c>
      <c r="P13" s="78">
        <f>SUM(D13:O13)</f>
        <v>163</v>
      </c>
      <c r="Q13" s="79">
        <f>SUM(D13:J13)</f>
        <v>-3128</v>
      </c>
      <c r="R13" s="78">
        <f>P13-Q13</f>
        <v>3291</v>
      </c>
      <c r="S13" s="66"/>
      <c r="T13" s="79">
        <v>298</v>
      </c>
      <c r="U13" s="79">
        <v>921</v>
      </c>
      <c r="V13" s="78">
        <f>T13-U13</f>
        <v>-623</v>
      </c>
      <c r="W13" s="66"/>
      <c r="X13" s="78"/>
      <c r="Y13" s="78"/>
      <c r="Z13" s="66"/>
      <c r="AA13" s="66" t="str">
        <f t="shared" si="0"/>
        <v xml:space="preserve">      Deferred Income Taxes - Both Current and Noncurrent</v>
      </c>
      <c r="AB13" s="78">
        <f>P13</f>
        <v>163</v>
      </c>
      <c r="AC13" s="79">
        <f>SUM(D13:L13)</f>
        <v>-2281</v>
      </c>
      <c r="AD13" s="78">
        <f>AB13-AC13</f>
        <v>2444</v>
      </c>
      <c r="AE13" s="66"/>
      <c r="AF13" s="78">
        <f t="shared" si="2"/>
        <v>298</v>
      </c>
      <c r="AG13" s="78">
        <f t="shared" si="2"/>
        <v>921</v>
      </c>
      <c r="AH13" s="78">
        <f>AF13-AG13</f>
        <v>-623</v>
      </c>
      <c r="AI13" s="66"/>
      <c r="AJ13" s="78">
        <f>AC13-AG13</f>
        <v>-3202</v>
      </c>
      <c r="AK13" s="78">
        <f>AB13-AF13</f>
        <v>-135</v>
      </c>
      <c r="AL13" s="66"/>
      <c r="AM13" s="79">
        <v>4799</v>
      </c>
      <c r="AN13" s="78">
        <f>AB13-AM13</f>
        <v>-4636</v>
      </c>
      <c r="AO13" s="66"/>
      <c r="AP13" s="79">
        <v>2243</v>
      </c>
      <c r="AQ13" s="78">
        <f>AC13-AP13</f>
        <v>-4524</v>
      </c>
      <c r="AR13" s="66"/>
      <c r="AS13" s="66"/>
      <c r="AT13" s="66"/>
      <c r="AU13" s="66"/>
    </row>
    <row r="14" spans="1:47" ht="3.9" customHeight="1" x14ac:dyDescent="0.25">
      <c r="A14" s="97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</row>
    <row r="15" spans="1:47" ht="13.2" x14ac:dyDescent="0.25">
      <c r="A15" s="103" t="s">
        <v>445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9"/>
      <c r="R15" s="66"/>
      <c r="S15" s="66"/>
      <c r="T15" s="79"/>
      <c r="U15" s="79"/>
      <c r="V15" s="66"/>
      <c r="W15" s="66"/>
      <c r="X15" s="66"/>
      <c r="Y15" s="66"/>
      <c r="Z15" s="66"/>
      <c r="AA15" s="66" t="str">
        <f t="shared" ref="AA15:AA25" si="4">A15</f>
        <v xml:space="preserve">   Working Capital Changes:</v>
      </c>
      <c r="AB15" s="66"/>
      <c r="AC15" s="66"/>
      <c r="AD15" s="66"/>
      <c r="AE15" s="66"/>
      <c r="AF15" s="66"/>
      <c r="AG15" s="79"/>
      <c r="AH15" s="66"/>
      <c r="AI15" s="66"/>
      <c r="AJ15" s="66"/>
      <c r="AK15" s="66"/>
      <c r="AL15" s="66"/>
      <c r="AM15" s="79"/>
      <c r="AN15" s="66"/>
      <c r="AO15" s="66"/>
      <c r="AP15" s="79"/>
      <c r="AQ15" s="66"/>
      <c r="AR15" s="66"/>
      <c r="AS15" s="66"/>
      <c r="AT15" s="66"/>
      <c r="AU15" s="66"/>
    </row>
    <row r="16" spans="1:47" ht="13.2" x14ac:dyDescent="0.25">
      <c r="A16" s="103" t="s">
        <v>446</v>
      </c>
      <c r="B16" s="66"/>
      <c r="C16" s="66"/>
      <c r="D16" s="216">
        <f>-BACKUP!D36+1</f>
        <v>934</v>
      </c>
      <c r="E16" s="149">
        <f>-BACKUP!E36</f>
        <v>-472</v>
      </c>
      <c r="F16" s="216">
        <f>-BACKUP!F36+1</f>
        <v>-14451</v>
      </c>
      <c r="G16" s="216">
        <f>-BACKUP!G36-1</f>
        <v>4425</v>
      </c>
      <c r="H16" s="216">
        <f>-BACKUP!H36-1</f>
        <v>-2506</v>
      </c>
      <c r="I16" s="223">
        <f>-BACKUP!I36+269</f>
        <v>11243</v>
      </c>
      <c r="J16" s="223">
        <f>-BACKUP!J36+228-1</f>
        <v>-11371</v>
      </c>
      <c r="K16" s="78">
        <f>-BACKUP!K36</f>
        <v>-21</v>
      </c>
      <c r="L16" s="78">
        <f>-BACKUP!L36</f>
        <v>-2933</v>
      </c>
      <c r="M16" s="78">
        <f>-BACKUP!M36</f>
        <v>33</v>
      </c>
      <c r="N16" s="78">
        <f>-BACKUP!N36</f>
        <v>849</v>
      </c>
      <c r="O16" s="78">
        <f>-BACKUP!O36</f>
        <v>-595</v>
      </c>
      <c r="P16" s="78">
        <f t="shared" ref="P16:P25" si="5">SUM(D16:O16)</f>
        <v>-14865</v>
      </c>
      <c r="Q16" s="79">
        <f t="shared" ref="Q16:Q32" si="6">SUM(D16:J16)</f>
        <v>-12198</v>
      </c>
      <c r="R16" s="78">
        <f t="shared" ref="R16:R25" si="7">P16-Q16</f>
        <v>-2667</v>
      </c>
      <c r="S16" s="66"/>
      <c r="T16" s="79">
        <v>829</v>
      </c>
      <c r="U16" s="79">
        <v>482</v>
      </c>
      <c r="V16" s="78">
        <f t="shared" ref="V16:V25" si="8">T16-U16</f>
        <v>347</v>
      </c>
      <c r="W16" s="66"/>
      <c r="X16" s="78"/>
      <c r="Y16" s="78"/>
      <c r="Z16" s="66"/>
      <c r="AA16" s="66" t="str">
        <f t="shared" si="4"/>
        <v xml:space="preserve">      Accounts and Notes Receivable</v>
      </c>
      <c r="AB16" s="78">
        <f t="shared" ref="AB16:AB25" si="9">P16</f>
        <v>-14865</v>
      </c>
      <c r="AC16" s="79">
        <f t="shared" ref="AC16:AC32" si="10">SUM(D16:L16)</f>
        <v>-15152</v>
      </c>
      <c r="AD16" s="78">
        <f t="shared" ref="AD16:AD25" si="11">AB16-AC16</f>
        <v>287</v>
      </c>
      <c r="AE16" s="66"/>
      <c r="AF16" s="78">
        <f t="shared" ref="AF16:AF25" si="12">T16</f>
        <v>829</v>
      </c>
      <c r="AG16" s="78">
        <f t="shared" ref="AG16:AG25" si="13">U16</f>
        <v>482</v>
      </c>
      <c r="AH16" s="78">
        <f t="shared" ref="AH16:AH25" si="14">AF16-AG16</f>
        <v>347</v>
      </c>
      <c r="AI16" s="66"/>
      <c r="AJ16" s="78">
        <f t="shared" ref="AJ16:AJ25" si="15">AC16-AG16</f>
        <v>-15634</v>
      </c>
      <c r="AK16" s="78">
        <f t="shared" ref="AK16:AK25" si="16">AB16-AF16</f>
        <v>-15694</v>
      </c>
      <c r="AL16" s="66"/>
      <c r="AM16" s="79">
        <v>-3094</v>
      </c>
      <c r="AN16" s="78">
        <f t="shared" ref="AN16:AN25" si="17">AB16-AM16</f>
        <v>-11771</v>
      </c>
      <c r="AO16" s="66"/>
      <c r="AP16" s="79">
        <v>-2458</v>
      </c>
      <c r="AQ16" s="78">
        <f t="shared" ref="AQ16:AQ25" si="18">AC16-AP16</f>
        <v>-12694</v>
      </c>
      <c r="AR16" s="66"/>
      <c r="AS16" s="66"/>
      <c r="AT16" s="66"/>
      <c r="AU16" s="66"/>
    </row>
    <row r="17" spans="1:47" ht="13.2" x14ac:dyDescent="0.25">
      <c r="A17" s="112" t="s">
        <v>447</v>
      </c>
      <c r="B17" s="66"/>
      <c r="C17" s="66"/>
      <c r="D17" s="78">
        <f>-BACKUP!D62</f>
        <v>7</v>
      </c>
      <c r="E17" s="78">
        <f>-BACKUP!E62</f>
        <v>-6</v>
      </c>
      <c r="F17" s="78">
        <f>-BACKUP!F62</f>
        <v>27</v>
      </c>
      <c r="G17" s="78">
        <f>-BACKUP!G62</f>
        <v>10</v>
      </c>
      <c r="H17" s="78">
        <f>-BACKUP!H62</f>
        <v>33</v>
      </c>
      <c r="I17" s="78">
        <f>-BACKUP!I62</f>
        <v>12</v>
      </c>
      <c r="J17" s="78">
        <f>-BACKUP!J62</f>
        <v>18</v>
      </c>
      <c r="K17" s="78">
        <f>-BACKUP!K62</f>
        <v>0</v>
      </c>
      <c r="L17" s="78">
        <f>-BACKUP!L62</f>
        <v>0</v>
      </c>
      <c r="M17" s="78">
        <f>-BACKUP!M62</f>
        <v>0</v>
      </c>
      <c r="N17" s="78">
        <f>-BACKUP!N62</f>
        <v>0</v>
      </c>
      <c r="O17" s="78">
        <f>-BACKUP!O62</f>
        <v>0</v>
      </c>
      <c r="P17" s="78">
        <f t="shared" si="5"/>
        <v>101</v>
      </c>
      <c r="Q17" s="79">
        <f t="shared" si="6"/>
        <v>101</v>
      </c>
      <c r="R17" s="78">
        <f t="shared" si="7"/>
        <v>0</v>
      </c>
      <c r="S17" s="66"/>
      <c r="T17" s="79">
        <v>0</v>
      </c>
      <c r="U17" s="79">
        <v>0</v>
      </c>
      <c r="V17" s="78">
        <f t="shared" si="8"/>
        <v>0</v>
      </c>
      <c r="W17" s="66"/>
      <c r="X17" s="78"/>
      <c r="Y17" s="78"/>
      <c r="Z17" s="66"/>
      <c r="AA17" s="66" t="str">
        <f t="shared" si="4"/>
        <v xml:space="preserve">      Inventories (Materials &amp; Supplies)</v>
      </c>
      <c r="AB17" s="78">
        <f t="shared" si="9"/>
        <v>101</v>
      </c>
      <c r="AC17" s="79">
        <f t="shared" si="10"/>
        <v>101</v>
      </c>
      <c r="AD17" s="78">
        <f t="shared" si="11"/>
        <v>0</v>
      </c>
      <c r="AE17" s="66"/>
      <c r="AF17" s="78">
        <f t="shared" si="12"/>
        <v>0</v>
      </c>
      <c r="AG17" s="78">
        <f t="shared" si="13"/>
        <v>0</v>
      </c>
      <c r="AH17" s="78">
        <f t="shared" si="14"/>
        <v>0</v>
      </c>
      <c r="AI17" s="66"/>
      <c r="AJ17" s="78">
        <f t="shared" si="15"/>
        <v>101</v>
      </c>
      <c r="AK17" s="78">
        <f t="shared" si="16"/>
        <v>101</v>
      </c>
      <c r="AL17" s="66"/>
      <c r="AM17" s="79">
        <v>83</v>
      </c>
      <c r="AN17" s="78">
        <f t="shared" si="17"/>
        <v>18</v>
      </c>
      <c r="AO17" s="66"/>
      <c r="AP17" s="79">
        <v>83</v>
      </c>
      <c r="AQ17" s="78">
        <f t="shared" si="18"/>
        <v>18</v>
      </c>
      <c r="AR17" s="66"/>
      <c r="AS17" s="66"/>
      <c r="AT17" s="66"/>
      <c r="AU17" s="66"/>
    </row>
    <row r="18" spans="1:47" ht="13.2" x14ac:dyDescent="0.25">
      <c r="A18" s="112" t="s">
        <v>448</v>
      </c>
      <c r="B18" s="66"/>
      <c r="C18" s="66"/>
      <c r="D18" s="78">
        <f>BACKUP!D277</f>
        <v>2434</v>
      </c>
      <c r="E18" s="78">
        <f>BACKUP!E277</f>
        <v>-962</v>
      </c>
      <c r="F18" s="78">
        <f>BACKUP!F277</f>
        <v>11332</v>
      </c>
      <c r="G18" s="78">
        <f>BACKUP!G277</f>
        <v>-11752</v>
      </c>
      <c r="H18" s="78">
        <f>BACKUP!H277</f>
        <v>-353</v>
      </c>
      <c r="I18" s="223">
        <f>BACKUP!I277+492</f>
        <v>2317</v>
      </c>
      <c r="J18" s="223">
        <f>BACKUP!J277+52</f>
        <v>-2880</v>
      </c>
      <c r="K18" s="78">
        <f>BACKUP!K277</f>
        <v>0</v>
      </c>
      <c r="L18" s="78">
        <f>BACKUP!L277</f>
        <v>0</v>
      </c>
      <c r="M18" s="78">
        <f>BACKUP!M277</f>
        <v>0</v>
      </c>
      <c r="N18" s="78">
        <f>BACKUP!N277</f>
        <v>0</v>
      </c>
      <c r="O18" s="78">
        <f>BACKUP!O277</f>
        <v>0</v>
      </c>
      <c r="P18" s="78">
        <f t="shared" si="5"/>
        <v>136</v>
      </c>
      <c r="Q18" s="79">
        <f t="shared" si="6"/>
        <v>136</v>
      </c>
      <c r="R18" s="78">
        <f t="shared" si="7"/>
        <v>0</v>
      </c>
      <c r="S18" s="66"/>
      <c r="T18" s="79">
        <v>0</v>
      </c>
      <c r="U18" s="79">
        <v>-3000</v>
      </c>
      <c r="V18" s="78">
        <f t="shared" si="8"/>
        <v>3000</v>
      </c>
      <c r="W18" s="66"/>
      <c r="X18" s="78"/>
      <c r="Y18" s="78"/>
      <c r="Z18" s="66"/>
      <c r="AA18" s="66" t="str">
        <f t="shared" si="4"/>
        <v xml:space="preserve">      Accounts Payable - Assoc. Companies / Trade</v>
      </c>
      <c r="AB18" s="78">
        <f t="shared" si="9"/>
        <v>136</v>
      </c>
      <c r="AC18" s="79">
        <f t="shared" si="10"/>
        <v>136</v>
      </c>
      <c r="AD18" s="78">
        <f t="shared" si="11"/>
        <v>0</v>
      </c>
      <c r="AE18" s="66"/>
      <c r="AF18" s="78">
        <f t="shared" si="12"/>
        <v>0</v>
      </c>
      <c r="AG18" s="78">
        <f t="shared" si="13"/>
        <v>-3000</v>
      </c>
      <c r="AH18" s="78">
        <f t="shared" si="14"/>
        <v>3000</v>
      </c>
      <c r="AI18" s="66"/>
      <c r="AJ18" s="78">
        <f t="shared" si="15"/>
        <v>3136</v>
      </c>
      <c r="AK18" s="78">
        <f t="shared" si="16"/>
        <v>136</v>
      </c>
      <c r="AL18" s="66"/>
      <c r="AM18" s="79">
        <v>2524</v>
      </c>
      <c r="AN18" s="78">
        <f t="shared" si="17"/>
        <v>-2388</v>
      </c>
      <c r="AO18" s="66"/>
      <c r="AP18" s="79">
        <v>2524</v>
      </c>
      <c r="AQ18" s="78">
        <f t="shared" si="18"/>
        <v>-2388</v>
      </c>
      <c r="AR18" s="66"/>
      <c r="AS18" s="66"/>
      <c r="AT18" s="66"/>
      <c r="AU18" s="66"/>
    </row>
    <row r="19" spans="1:47" ht="13.2" x14ac:dyDescent="0.25">
      <c r="A19" s="112" t="s">
        <v>449</v>
      </c>
      <c r="B19" s="66"/>
      <c r="C19" s="66"/>
      <c r="D19" s="163">
        <f>BACKUP!D295</f>
        <v>0</v>
      </c>
      <c r="E19" s="163">
        <f>BACKUP!E295</f>
        <v>0</v>
      </c>
      <c r="F19" s="78">
        <f>BACKUP!F295</f>
        <v>0</v>
      </c>
      <c r="G19" s="78">
        <f>BACKUP!G295</f>
        <v>0</v>
      </c>
      <c r="H19" s="78">
        <f>BACKUP!H295</f>
        <v>0</v>
      </c>
      <c r="I19" s="78">
        <f>BACKUP!I295</f>
        <v>0</v>
      </c>
      <c r="J19" s="78">
        <f>BACKUP!J295</f>
        <v>0</v>
      </c>
      <c r="K19" s="78">
        <f>BACKUP!K295</f>
        <v>2571</v>
      </c>
      <c r="L19" s="78">
        <f>BACKUP!L295</f>
        <v>4194</v>
      </c>
      <c r="M19" s="78">
        <f>BACKUP!M295</f>
        <v>311</v>
      </c>
      <c r="N19" s="78">
        <f>BACKUP!N295</f>
        <v>1692</v>
      </c>
      <c r="O19" s="78">
        <f>BACKUP!O295</f>
        <v>-1034</v>
      </c>
      <c r="P19" s="78">
        <f>SUM(D19:O19)</f>
        <v>7734</v>
      </c>
      <c r="Q19" s="79">
        <f t="shared" si="6"/>
        <v>0</v>
      </c>
      <c r="R19" s="78">
        <f>P19-Q19</f>
        <v>7734</v>
      </c>
      <c r="S19" s="66"/>
      <c r="T19" s="79">
        <v>-8475</v>
      </c>
      <c r="U19" s="79">
        <v>-6645</v>
      </c>
      <c r="V19" s="78">
        <f>T19-U19</f>
        <v>-1830</v>
      </c>
      <c r="W19" s="66"/>
      <c r="X19" s="78"/>
      <c r="Y19" s="78"/>
      <c r="Z19" s="66"/>
      <c r="AA19" s="66" t="str">
        <f t="shared" si="4"/>
        <v xml:space="preserve">                    - Other</v>
      </c>
      <c r="AB19" s="78">
        <f t="shared" si="9"/>
        <v>7734</v>
      </c>
      <c r="AC19" s="79">
        <f t="shared" si="10"/>
        <v>6765</v>
      </c>
      <c r="AD19" s="78">
        <f>AB19-AC19</f>
        <v>969</v>
      </c>
      <c r="AE19" s="66"/>
      <c r="AF19" s="78">
        <f t="shared" si="12"/>
        <v>-8475</v>
      </c>
      <c r="AG19" s="78">
        <f t="shared" si="13"/>
        <v>-6645</v>
      </c>
      <c r="AH19" s="78">
        <f>AF19-AG19</f>
        <v>-1830</v>
      </c>
      <c r="AI19" s="66"/>
      <c r="AJ19" s="78">
        <f>AC19-AG19</f>
        <v>13410</v>
      </c>
      <c r="AK19" s="78">
        <f>AB19-AF19</f>
        <v>16209</v>
      </c>
      <c r="AL19" s="66"/>
      <c r="AM19" s="79">
        <v>-9332</v>
      </c>
      <c r="AN19" s="78">
        <f>AB19-AM19</f>
        <v>17066</v>
      </c>
      <c r="AO19" s="66"/>
      <c r="AP19" s="79">
        <v>-7822</v>
      </c>
      <c r="AQ19" s="78">
        <f>AC19-AP19</f>
        <v>14587</v>
      </c>
      <c r="AR19" s="66"/>
      <c r="AS19" s="66"/>
      <c r="AT19" s="66"/>
      <c r="AU19" s="66"/>
    </row>
    <row r="20" spans="1:47" ht="13.2" x14ac:dyDescent="0.25">
      <c r="A20" s="112" t="s">
        <v>450</v>
      </c>
      <c r="B20" s="66"/>
      <c r="C20" s="66"/>
      <c r="D20" s="78">
        <f>-BACKUP!D69</f>
        <v>-2105</v>
      </c>
      <c r="E20" s="78">
        <f>-BACKUP!E69</f>
        <v>1439</v>
      </c>
      <c r="F20" s="78">
        <f>-BACKUP!F69</f>
        <v>224</v>
      </c>
      <c r="G20" s="78">
        <f>-BACKUP!G69</f>
        <v>-1770</v>
      </c>
      <c r="H20" s="78">
        <f>-BACKUP!H69</f>
        <v>-915</v>
      </c>
      <c r="I20" s="78">
        <f>-BACKUP!I69</f>
        <v>41</v>
      </c>
      <c r="J20" s="78">
        <f>-BACKUP!J69</f>
        <v>534</v>
      </c>
      <c r="K20" s="78">
        <f>-BACKUP!K69</f>
        <v>0</v>
      </c>
      <c r="L20" s="78">
        <f>-BACKUP!L69</f>
        <v>0</v>
      </c>
      <c r="M20" s="78">
        <f>-BACKUP!M69</f>
        <v>0</v>
      </c>
      <c r="N20" s="78">
        <f>-BACKUP!N69</f>
        <v>0</v>
      </c>
      <c r="O20" s="78">
        <f>-BACKUP!O69</f>
        <v>0</v>
      </c>
      <c r="P20" s="78">
        <f t="shared" si="5"/>
        <v>-2552</v>
      </c>
      <c r="Q20" s="79">
        <f t="shared" si="6"/>
        <v>-2552</v>
      </c>
      <c r="R20" s="78">
        <f t="shared" si="7"/>
        <v>0</v>
      </c>
      <c r="S20" s="66"/>
      <c r="T20" s="79">
        <v>0</v>
      </c>
      <c r="U20" s="79">
        <v>0</v>
      </c>
      <c r="V20" s="78">
        <f t="shared" si="8"/>
        <v>0</v>
      </c>
      <c r="W20" s="66"/>
      <c r="X20" s="78"/>
      <c r="Y20" s="78"/>
      <c r="Z20" s="66"/>
      <c r="AA20" s="66" t="str">
        <f t="shared" si="4"/>
        <v xml:space="preserve">      Exchange Gas - Receivable</v>
      </c>
      <c r="AB20" s="78">
        <f t="shared" si="9"/>
        <v>-2552</v>
      </c>
      <c r="AC20" s="79">
        <f t="shared" si="10"/>
        <v>-2552</v>
      </c>
      <c r="AD20" s="78">
        <f t="shared" si="11"/>
        <v>0</v>
      </c>
      <c r="AE20" s="66"/>
      <c r="AF20" s="78">
        <f t="shared" si="12"/>
        <v>0</v>
      </c>
      <c r="AG20" s="78">
        <f t="shared" si="13"/>
        <v>0</v>
      </c>
      <c r="AH20" s="78">
        <f t="shared" si="14"/>
        <v>0</v>
      </c>
      <c r="AI20" s="66"/>
      <c r="AJ20" s="78">
        <f t="shared" si="15"/>
        <v>-2552</v>
      </c>
      <c r="AK20" s="78">
        <f t="shared" si="16"/>
        <v>-2552</v>
      </c>
      <c r="AL20" s="66"/>
      <c r="AM20" s="79">
        <v>-3086</v>
      </c>
      <c r="AN20" s="78">
        <f t="shared" si="17"/>
        <v>534</v>
      </c>
      <c r="AO20" s="66"/>
      <c r="AP20" s="79">
        <v>-3086</v>
      </c>
      <c r="AQ20" s="78">
        <f t="shared" si="18"/>
        <v>534</v>
      </c>
      <c r="AR20" s="66"/>
      <c r="AS20" s="66"/>
      <c r="AT20" s="66"/>
      <c r="AU20" s="66"/>
    </row>
    <row r="21" spans="1:47" ht="13.2" x14ac:dyDescent="0.25">
      <c r="A21" s="112" t="s">
        <v>451</v>
      </c>
      <c r="B21" s="66"/>
      <c r="C21" s="66"/>
      <c r="D21" s="78">
        <f>+BACKUP!D319</f>
        <v>1239</v>
      </c>
      <c r="E21" s="78">
        <f>+BACKUP!E319</f>
        <v>-1887</v>
      </c>
      <c r="F21" s="78">
        <f>+BACKUP!F319</f>
        <v>1953</v>
      </c>
      <c r="G21" s="78">
        <f>+BACKUP!G319</f>
        <v>1957</v>
      </c>
      <c r="H21" s="78">
        <f>+BACKUP!H319</f>
        <v>838</v>
      </c>
      <c r="I21" s="78">
        <f>+BACKUP!I319</f>
        <v>576</v>
      </c>
      <c r="J21" s="78">
        <f>+BACKUP!J319</f>
        <v>1184</v>
      </c>
      <c r="K21" s="78">
        <f>+BACKUP!K319</f>
        <v>0</v>
      </c>
      <c r="L21" s="78">
        <f>+BACKUP!L319</f>
        <v>0</v>
      </c>
      <c r="M21" s="78">
        <f>+BACKUP!M319</f>
        <v>0</v>
      </c>
      <c r="N21" s="78">
        <f>+BACKUP!N319</f>
        <v>0</v>
      </c>
      <c r="O21" s="78">
        <f>+BACKUP!O319</f>
        <v>0</v>
      </c>
      <c r="P21" s="78">
        <f t="shared" si="5"/>
        <v>5860</v>
      </c>
      <c r="Q21" s="79">
        <f t="shared" si="6"/>
        <v>5860</v>
      </c>
      <c r="R21" s="78">
        <f t="shared" si="7"/>
        <v>0</v>
      </c>
      <c r="S21" s="66"/>
      <c r="T21" s="79">
        <v>0</v>
      </c>
      <c r="U21" s="79">
        <v>0</v>
      </c>
      <c r="V21" s="78">
        <f t="shared" si="8"/>
        <v>0</v>
      </c>
      <c r="W21" s="66"/>
      <c r="X21" s="78"/>
      <c r="Y21" s="78"/>
      <c r="Z21" s="66"/>
      <c r="AA21" s="66" t="str">
        <f t="shared" si="4"/>
        <v xml:space="preserve">                    - Payable</v>
      </c>
      <c r="AB21" s="78">
        <f t="shared" si="9"/>
        <v>5860</v>
      </c>
      <c r="AC21" s="79">
        <f t="shared" si="10"/>
        <v>5860</v>
      </c>
      <c r="AD21" s="78">
        <f t="shared" si="11"/>
        <v>0</v>
      </c>
      <c r="AE21" s="66"/>
      <c r="AF21" s="78">
        <f t="shared" si="12"/>
        <v>0</v>
      </c>
      <c r="AG21" s="78">
        <f t="shared" si="13"/>
        <v>0</v>
      </c>
      <c r="AH21" s="78">
        <f t="shared" si="14"/>
        <v>0</v>
      </c>
      <c r="AI21" s="66"/>
      <c r="AJ21" s="78">
        <f t="shared" si="15"/>
        <v>5860</v>
      </c>
      <c r="AK21" s="78">
        <f t="shared" si="16"/>
        <v>5860</v>
      </c>
      <c r="AL21" s="66"/>
      <c r="AM21" s="79">
        <v>4676</v>
      </c>
      <c r="AN21" s="78">
        <f t="shared" si="17"/>
        <v>1184</v>
      </c>
      <c r="AO21" s="66"/>
      <c r="AP21" s="79">
        <v>4676</v>
      </c>
      <c r="AQ21" s="78">
        <f t="shared" si="18"/>
        <v>1184</v>
      </c>
      <c r="AR21" s="66"/>
      <c r="AS21" s="66"/>
      <c r="AT21" s="66"/>
      <c r="AU21" s="66"/>
    </row>
    <row r="22" spans="1:47" ht="13.2" x14ac:dyDescent="0.25">
      <c r="A22" s="103" t="s">
        <v>452</v>
      </c>
      <c r="B22" s="66"/>
      <c r="C22" s="66"/>
      <c r="D22" s="78">
        <f>-BACKUP!D55</f>
        <v>1</v>
      </c>
      <c r="E22" s="78">
        <f>-BACKUP!E55</f>
        <v>1</v>
      </c>
      <c r="F22" s="78">
        <f>-BACKUP!F55</f>
        <v>1</v>
      </c>
      <c r="G22" s="78">
        <f>-BACKUP!G55</f>
        <v>0</v>
      </c>
      <c r="H22" s="78">
        <f>-BACKUP!H55</f>
        <v>1</v>
      </c>
      <c r="I22" s="78">
        <f>-BACKUP!I55</f>
        <v>1</v>
      </c>
      <c r="J22" s="78">
        <f>-BACKUP!J55</f>
        <v>1</v>
      </c>
      <c r="K22" s="78">
        <f>-BACKUP!K55</f>
        <v>0</v>
      </c>
      <c r="L22" s="78">
        <f>-BACKUP!L55</f>
        <v>0</v>
      </c>
      <c r="M22" s="78">
        <f>-BACKUP!M55</f>
        <v>0</v>
      </c>
      <c r="N22" s="78">
        <f>-BACKUP!N55</f>
        <v>0</v>
      </c>
      <c r="O22" s="78">
        <f>-BACKUP!O55</f>
        <v>-156</v>
      </c>
      <c r="P22" s="78">
        <f t="shared" si="5"/>
        <v>-150</v>
      </c>
      <c r="Q22" s="79">
        <f t="shared" si="6"/>
        <v>6</v>
      </c>
      <c r="R22" s="78">
        <f t="shared" si="7"/>
        <v>-156</v>
      </c>
      <c r="S22" s="66"/>
      <c r="T22" s="79">
        <v>7</v>
      </c>
      <c r="U22" s="79">
        <v>124</v>
      </c>
      <c r="V22" s="78">
        <f t="shared" si="8"/>
        <v>-117</v>
      </c>
      <c r="W22" s="66"/>
      <c r="X22" s="78"/>
      <c r="Y22" s="78"/>
      <c r="Z22" s="66"/>
      <c r="AA22" s="66" t="str">
        <f t="shared" si="4"/>
        <v xml:space="preserve">      Prepayments</v>
      </c>
      <c r="AB22" s="78">
        <f t="shared" si="9"/>
        <v>-150</v>
      </c>
      <c r="AC22" s="79">
        <f t="shared" si="10"/>
        <v>6</v>
      </c>
      <c r="AD22" s="78">
        <f t="shared" si="11"/>
        <v>-156</v>
      </c>
      <c r="AE22" s="66"/>
      <c r="AF22" s="78">
        <f t="shared" si="12"/>
        <v>7</v>
      </c>
      <c r="AG22" s="78">
        <f t="shared" si="13"/>
        <v>124</v>
      </c>
      <c r="AH22" s="78">
        <f t="shared" si="14"/>
        <v>-117</v>
      </c>
      <c r="AI22" s="66"/>
      <c r="AJ22" s="78">
        <f t="shared" si="15"/>
        <v>-118</v>
      </c>
      <c r="AK22" s="78">
        <f t="shared" si="16"/>
        <v>-157</v>
      </c>
      <c r="AL22" s="66"/>
      <c r="AM22" s="79">
        <v>-150</v>
      </c>
      <c r="AN22" s="78">
        <f t="shared" si="17"/>
        <v>0</v>
      </c>
      <c r="AO22" s="66"/>
      <c r="AP22" s="79">
        <v>6</v>
      </c>
      <c r="AQ22" s="78">
        <f t="shared" si="18"/>
        <v>0</v>
      </c>
      <c r="AR22" s="66"/>
      <c r="AS22" s="66"/>
      <c r="AT22" s="66"/>
      <c r="AU22" s="66"/>
    </row>
    <row r="23" spans="1:47" ht="13.2" x14ac:dyDescent="0.25">
      <c r="A23" s="103" t="s">
        <v>453</v>
      </c>
      <c r="B23" s="66"/>
      <c r="C23" s="66"/>
      <c r="D23" s="78">
        <f>BACKUP!D374</f>
        <v>1043</v>
      </c>
      <c r="E23" s="78">
        <f>BACKUP!E374</f>
        <v>1044</v>
      </c>
      <c r="F23" s="78">
        <f>BACKUP!F374</f>
        <v>1043</v>
      </c>
      <c r="G23" s="78">
        <f>BACKUP!G374</f>
        <v>-4775</v>
      </c>
      <c r="H23" s="78">
        <f>BACKUP!H374</f>
        <v>86</v>
      </c>
      <c r="I23" s="78">
        <f>BACKUP!I374</f>
        <v>-1216</v>
      </c>
      <c r="J23" s="78">
        <f>BACKUP!J374</f>
        <v>118</v>
      </c>
      <c r="K23" s="78">
        <f>BACKUP!K374</f>
        <v>118</v>
      </c>
      <c r="L23" s="78">
        <f>BACKUP!L374</f>
        <v>119</v>
      </c>
      <c r="M23" s="78">
        <f>BACKUP!M374</f>
        <v>118</v>
      </c>
      <c r="N23" s="78">
        <f>BACKUP!N374</f>
        <v>-591</v>
      </c>
      <c r="O23" s="78">
        <f>BACKUP!O374</f>
        <v>89</v>
      </c>
      <c r="P23" s="78">
        <f t="shared" si="5"/>
        <v>-2804</v>
      </c>
      <c r="Q23" s="79">
        <f t="shared" si="6"/>
        <v>-2657</v>
      </c>
      <c r="R23" s="78">
        <f t="shared" si="7"/>
        <v>-147</v>
      </c>
      <c r="S23" s="66"/>
      <c r="T23" s="79">
        <v>50</v>
      </c>
      <c r="U23" s="79">
        <v>3159</v>
      </c>
      <c r="V23" s="78">
        <f t="shared" si="8"/>
        <v>-3109</v>
      </c>
      <c r="W23" s="66"/>
      <c r="X23" s="66"/>
      <c r="Y23" s="66"/>
      <c r="Z23" s="66"/>
      <c r="AA23" s="66" t="str">
        <f t="shared" si="4"/>
        <v xml:space="preserve">      Accrued Interest - Third Party</v>
      </c>
      <c r="AB23" s="78">
        <f t="shared" si="9"/>
        <v>-2804</v>
      </c>
      <c r="AC23" s="79">
        <f t="shared" si="10"/>
        <v>-2420</v>
      </c>
      <c r="AD23" s="78">
        <f t="shared" si="11"/>
        <v>-384</v>
      </c>
      <c r="AE23" s="66"/>
      <c r="AF23" s="78">
        <f t="shared" si="12"/>
        <v>50</v>
      </c>
      <c r="AG23" s="78">
        <f t="shared" si="13"/>
        <v>3159</v>
      </c>
      <c r="AH23" s="78">
        <f t="shared" si="14"/>
        <v>-3109</v>
      </c>
      <c r="AI23" s="66"/>
      <c r="AJ23" s="78">
        <f t="shared" si="15"/>
        <v>-5579</v>
      </c>
      <c r="AK23" s="78">
        <f t="shared" si="16"/>
        <v>-2854</v>
      </c>
      <c r="AL23" s="66"/>
      <c r="AM23" s="79">
        <v>-2804</v>
      </c>
      <c r="AN23" s="78">
        <f t="shared" si="17"/>
        <v>0</v>
      </c>
      <c r="AO23" s="66"/>
      <c r="AP23" s="79">
        <v>-2420</v>
      </c>
      <c r="AQ23" s="78">
        <f t="shared" si="18"/>
        <v>0</v>
      </c>
      <c r="AR23" s="66"/>
      <c r="AS23" s="66"/>
      <c r="AT23" s="66"/>
      <c r="AU23" s="66"/>
    </row>
    <row r="24" spans="1:47" ht="13.2" x14ac:dyDescent="0.25">
      <c r="A24" s="112" t="s">
        <v>454</v>
      </c>
      <c r="B24" s="66"/>
      <c r="C24" s="66"/>
      <c r="D24" s="216">
        <f>BACKUP!D344+1</f>
        <v>-732</v>
      </c>
      <c r="E24" s="216">
        <f>BACKUP!E344-1</f>
        <v>1060</v>
      </c>
      <c r="F24" s="78">
        <f>BACKUP!F344</f>
        <v>1049</v>
      </c>
      <c r="G24" s="78">
        <f>BACKUP!G344</f>
        <v>-2482</v>
      </c>
      <c r="H24" s="78">
        <f>BACKUP!H344</f>
        <v>74</v>
      </c>
      <c r="I24" s="216">
        <f>BACKUP!I344+1</f>
        <v>574</v>
      </c>
      <c r="J24" s="216">
        <f>BACKUP!J344-1</f>
        <v>761</v>
      </c>
      <c r="K24" s="78">
        <f>BACKUP!K344</f>
        <v>610</v>
      </c>
      <c r="L24" s="78">
        <f>BACKUP!L344</f>
        <v>825</v>
      </c>
      <c r="M24" s="78">
        <f>BACKUP!M344</f>
        <v>-2502</v>
      </c>
      <c r="N24" s="78">
        <f>BACKUP!N344</f>
        <v>625</v>
      </c>
      <c r="O24" s="78">
        <f>BACKUP!O344</f>
        <v>-381</v>
      </c>
      <c r="P24" s="78">
        <f t="shared" si="5"/>
        <v>-519</v>
      </c>
      <c r="Q24" s="79">
        <f t="shared" si="6"/>
        <v>304</v>
      </c>
      <c r="R24" s="78">
        <f t="shared" si="7"/>
        <v>-823</v>
      </c>
      <c r="S24" s="66"/>
      <c r="T24" s="79">
        <v>422</v>
      </c>
      <c r="U24" s="79">
        <v>2602</v>
      </c>
      <c r="V24" s="78">
        <f t="shared" si="8"/>
        <v>-2180</v>
      </c>
      <c r="W24" s="66"/>
      <c r="X24" s="78"/>
      <c r="Y24" s="78"/>
      <c r="Z24" s="66"/>
      <c r="AA24" s="66" t="str">
        <f t="shared" si="4"/>
        <v xml:space="preserve">      Accrued Taxes, Other Than Income</v>
      </c>
      <c r="AB24" s="78">
        <f t="shared" si="9"/>
        <v>-519</v>
      </c>
      <c r="AC24" s="79">
        <f t="shared" si="10"/>
        <v>1739</v>
      </c>
      <c r="AD24" s="78">
        <f t="shared" si="11"/>
        <v>-2258</v>
      </c>
      <c r="AE24" s="66"/>
      <c r="AF24" s="78">
        <f t="shared" si="12"/>
        <v>422</v>
      </c>
      <c r="AG24" s="78">
        <f t="shared" si="13"/>
        <v>2602</v>
      </c>
      <c r="AH24" s="78">
        <f t="shared" si="14"/>
        <v>-2180</v>
      </c>
      <c r="AI24" s="66"/>
      <c r="AJ24" s="78">
        <f t="shared" si="15"/>
        <v>-863</v>
      </c>
      <c r="AK24" s="78">
        <f t="shared" si="16"/>
        <v>-941</v>
      </c>
      <c r="AL24" s="66"/>
      <c r="AM24" s="79">
        <v>-441</v>
      </c>
      <c r="AN24" s="78">
        <f t="shared" si="17"/>
        <v>-78</v>
      </c>
      <c r="AO24" s="66"/>
      <c r="AP24" s="79">
        <v>1817</v>
      </c>
      <c r="AQ24" s="78">
        <f t="shared" si="18"/>
        <v>-78</v>
      </c>
      <c r="AR24" s="66"/>
      <c r="AS24" s="66"/>
      <c r="AT24" s="66"/>
      <c r="AU24" s="66"/>
    </row>
    <row r="25" spans="1:47" ht="13.2" x14ac:dyDescent="0.25">
      <c r="A25" s="112" t="s">
        <v>455</v>
      </c>
      <c r="B25" s="66"/>
      <c r="C25" s="66"/>
      <c r="D25" s="149">
        <f>-BACKUP!D109-BACKUP!D100+BACKUP!D395+BACKUP!D404-D313</f>
        <v>-480</v>
      </c>
      <c r="E25" s="149">
        <f>-BACKUP!E109-BACKUP!E100+BACKUP!E395+BACKUP!E404-E313</f>
        <v>-534</v>
      </c>
      <c r="F25" s="216">
        <f>-BACKUP!F109-BACKUP!F100+BACKUP!F395+BACKUP!F404-F313+200</f>
        <v>1929</v>
      </c>
      <c r="G25" s="216">
        <f>-BACKUP!G109-BACKUP!G100+BACKUP!G395+BACKUP!G404-G313+2</f>
        <v>-334</v>
      </c>
      <c r="H25" s="216">
        <f>-BACKUP!H109-BACKUP!H100+BACKUP!H395+BACKUP!H404-H313-4</f>
        <v>329</v>
      </c>
      <c r="I25" s="216">
        <f>-BACKUP!I109-BACKUP!I100+BACKUP!I395+BACKUP!I404-I313-2</f>
        <v>24</v>
      </c>
      <c r="J25" s="216">
        <f>-BACKUP!J109-BACKUP!J100+BACKUP!J395+BACKUP!J404-J313+3</f>
        <v>25</v>
      </c>
      <c r="K25" s="149">
        <f>-BACKUP!K109-BACKUP!K100+BACKUP!K395+BACKUP!K404-K313</f>
        <v>0</v>
      </c>
      <c r="L25" s="149">
        <f>-BACKUP!L109-BACKUP!L100+BACKUP!L395+BACKUP!L404-L313</f>
        <v>-1308</v>
      </c>
      <c r="M25" s="149">
        <f>-BACKUP!M109-BACKUP!M100+BACKUP!M395+BACKUP!M404-M313</f>
        <v>109</v>
      </c>
      <c r="N25" s="149">
        <f>-BACKUP!N109-BACKUP!N100+BACKUP!N395+BACKUP!N404-N313</f>
        <v>109</v>
      </c>
      <c r="O25" s="149">
        <f>-BACKUP!O109-BACKUP!O100+BACKUP!O395+BACKUP!O404-O313</f>
        <v>109</v>
      </c>
      <c r="P25" s="78">
        <f t="shared" si="5"/>
        <v>-22</v>
      </c>
      <c r="Q25" s="79">
        <f t="shared" si="6"/>
        <v>959</v>
      </c>
      <c r="R25" s="78">
        <f t="shared" si="7"/>
        <v>-981</v>
      </c>
      <c r="S25" s="66"/>
      <c r="T25" s="79">
        <v>-29</v>
      </c>
      <c r="U25" s="79">
        <v>-594</v>
      </c>
      <c r="V25" s="78">
        <f t="shared" si="8"/>
        <v>565</v>
      </c>
      <c r="W25" s="66"/>
      <c r="X25" s="78"/>
      <c r="Y25" s="78"/>
      <c r="Z25" s="66"/>
      <c r="AA25" s="66" t="str">
        <f t="shared" si="4"/>
        <v xml:space="preserve">      Other Current Assets or Liabilities (W/O Reserve Activity)</v>
      </c>
      <c r="AB25" s="78">
        <f t="shared" si="9"/>
        <v>-22</v>
      </c>
      <c r="AC25" s="79">
        <f t="shared" si="10"/>
        <v>-349</v>
      </c>
      <c r="AD25" s="78">
        <f t="shared" si="11"/>
        <v>327</v>
      </c>
      <c r="AE25" s="66"/>
      <c r="AF25" s="78">
        <f t="shared" si="12"/>
        <v>-29</v>
      </c>
      <c r="AG25" s="78">
        <f t="shared" si="13"/>
        <v>-594</v>
      </c>
      <c r="AH25" s="78">
        <f t="shared" si="14"/>
        <v>565</v>
      </c>
      <c r="AI25" s="66"/>
      <c r="AJ25" s="78">
        <f t="shared" si="15"/>
        <v>245</v>
      </c>
      <c r="AK25" s="78">
        <f t="shared" si="16"/>
        <v>7</v>
      </c>
      <c r="AL25" s="66"/>
      <c r="AM25" s="79">
        <v>36</v>
      </c>
      <c r="AN25" s="78">
        <f t="shared" si="17"/>
        <v>-58</v>
      </c>
      <c r="AO25" s="66"/>
      <c r="AP25" s="79">
        <v>-264</v>
      </c>
      <c r="AQ25" s="78">
        <f t="shared" si="18"/>
        <v>-85</v>
      </c>
      <c r="AR25" s="66"/>
      <c r="AS25" s="66"/>
      <c r="AT25" s="66"/>
      <c r="AU25" s="66"/>
    </row>
    <row r="26" spans="1:47" ht="6" customHeight="1" x14ac:dyDescent="0.25">
      <c r="A26" s="97"/>
      <c r="B26" s="66"/>
      <c r="C26" s="66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66"/>
      <c r="Q26" s="79"/>
      <c r="R26" s="66"/>
      <c r="S26" s="66"/>
      <c r="T26" s="79"/>
      <c r="U26" s="79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79"/>
      <c r="AH26" s="66"/>
      <c r="AI26" s="66"/>
      <c r="AJ26" s="66"/>
      <c r="AK26" s="66"/>
      <c r="AL26" s="66"/>
      <c r="AM26" s="79"/>
      <c r="AN26" s="78"/>
      <c r="AO26" s="66"/>
      <c r="AP26" s="79"/>
      <c r="AQ26" s="78"/>
      <c r="AR26" s="66"/>
      <c r="AS26" s="66"/>
      <c r="AT26" s="66"/>
      <c r="AU26" s="66"/>
    </row>
    <row r="27" spans="1:47" ht="12.75" customHeight="1" x14ac:dyDescent="0.25">
      <c r="A27" s="97" t="s">
        <v>456</v>
      </c>
      <c r="B27" s="66"/>
      <c r="C27" s="66"/>
      <c r="D27" s="78">
        <f>-BACKUP!D44-BACKUP!D179+BACKUP!D311+BACKUP!D436+BACKUP!D472</f>
        <v>-128</v>
      </c>
      <c r="E27" s="78">
        <f>-BACKUP!E44-BACKUP!E179+BACKUP!E311+BACKUP!E436+BACKUP!E472</f>
        <v>0</v>
      </c>
      <c r="F27" s="78">
        <f>-BACKUP!F44-BACKUP!F179+BACKUP!F311+BACKUP!F436+BACKUP!F472</f>
        <v>0</v>
      </c>
      <c r="G27" s="78">
        <f>-BACKUP!G44-BACKUP!G179+BACKUP!G311+BACKUP!G436+BACKUP!G472</f>
        <v>0</v>
      </c>
      <c r="H27" s="216">
        <f>-BACKUP!H44-BACKUP!H179+BACKUP!H311+BACKUP!H436+BACKUP!H472-1</f>
        <v>0</v>
      </c>
      <c r="I27" s="216">
        <f>-BACKUP!I44-BACKUP!I179+BACKUP!I311+BACKUP!I436+BACKUP!I472+1</f>
        <v>1</v>
      </c>
      <c r="J27" s="78">
        <f>-BACKUP!J44-BACKUP!J179+BACKUP!J311+BACKUP!J436+BACKUP!J472</f>
        <v>-7</v>
      </c>
      <c r="K27" s="78">
        <f>-BACKUP!K44-BACKUP!K179+BACKUP!K311+BACKUP!K436+BACKUP!K472</f>
        <v>0</v>
      </c>
      <c r="L27" s="78">
        <f>-BACKUP!L44-BACKUP!L179+BACKUP!L311+BACKUP!L436+BACKUP!L472</f>
        <v>0</v>
      </c>
      <c r="M27" s="78">
        <f>-BACKUP!M44-BACKUP!M179+BACKUP!M311+BACKUP!M436+BACKUP!M472</f>
        <v>0</v>
      </c>
      <c r="N27" s="78">
        <f>-BACKUP!N44-BACKUP!N179+BACKUP!N311+BACKUP!N436+BACKUP!N472</f>
        <v>0</v>
      </c>
      <c r="O27" s="78">
        <f>-BACKUP!O44-BACKUP!O179+BACKUP!O311+BACKUP!O436+BACKUP!O472</f>
        <v>0</v>
      </c>
      <c r="P27" s="78">
        <f t="shared" ref="P27:P32" si="19">SUM(D27:O27)</f>
        <v>-134</v>
      </c>
      <c r="Q27" s="79">
        <f t="shared" si="6"/>
        <v>-134</v>
      </c>
      <c r="R27" s="78">
        <f t="shared" ref="R27:R32" si="20">P27-Q27</f>
        <v>0</v>
      </c>
      <c r="S27" s="66"/>
      <c r="T27" s="79">
        <v>0</v>
      </c>
      <c r="U27" s="79">
        <v>0</v>
      </c>
      <c r="V27" s="78">
        <f t="shared" ref="V27:V32" si="21">T27-U27</f>
        <v>0</v>
      </c>
      <c r="W27" s="66"/>
      <c r="X27" s="66"/>
      <c r="Y27" s="66"/>
      <c r="Z27" s="66"/>
      <c r="AA27" s="66" t="str">
        <f t="shared" ref="AA27:AA32" si="22">A27</f>
        <v xml:space="preserve">   Price Risk Management Activities (Net)</v>
      </c>
      <c r="AB27" s="78">
        <f t="shared" ref="AB27:AB32" si="23">P27</f>
        <v>-134</v>
      </c>
      <c r="AC27" s="79">
        <f t="shared" si="10"/>
        <v>-134</v>
      </c>
      <c r="AD27" s="78">
        <f t="shared" ref="AD27:AD32" si="24">AB27-AC27</f>
        <v>0</v>
      </c>
      <c r="AE27" s="66"/>
      <c r="AF27" s="78">
        <f>T27</f>
        <v>0</v>
      </c>
      <c r="AG27" s="78">
        <f>U27</f>
        <v>0</v>
      </c>
      <c r="AH27" s="78">
        <f t="shared" ref="AH27:AH32" si="25">AF27-AG27</f>
        <v>0</v>
      </c>
      <c r="AI27" s="66"/>
      <c r="AJ27" s="78">
        <f t="shared" ref="AJ27:AJ32" si="26">AC27-AG27</f>
        <v>-134</v>
      </c>
      <c r="AK27" s="78">
        <f t="shared" ref="AK27:AK32" si="27">AB27-AF27</f>
        <v>-134</v>
      </c>
      <c r="AL27" s="66"/>
      <c r="AM27" s="79">
        <v>-128</v>
      </c>
      <c r="AN27" s="78">
        <f t="shared" ref="AN27:AN32" si="28">AB27-AM27</f>
        <v>-6</v>
      </c>
      <c r="AO27" s="66"/>
      <c r="AP27" s="79">
        <v>-128</v>
      </c>
      <c r="AQ27" s="78">
        <f t="shared" ref="AQ27:AQ32" si="29">AC27-AP27</f>
        <v>-6</v>
      </c>
      <c r="AR27" s="66"/>
      <c r="AS27" s="66"/>
      <c r="AT27" s="66"/>
      <c r="AU27" s="66"/>
    </row>
    <row r="28" spans="1:47" ht="13.2" x14ac:dyDescent="0.25">
      <c r="A28" s="103" t="s">
        <v>457</v>
      </c>
      <c r="B28" s="66"/>
      <c r="C28" s="66"/>
      <c r="D28" s="78">
        <f>-BACKUP!D112-BACKUP!D114</f>
        <v>0</v>
      </c>
      <c r="E28" s="78">
        <f>-BACKUP!E112-BACKUP!E114</f>
        <v>0</v>
      </c>
      <c r="F28" s="78">
        <f>-BACKUP!F112-BACKUP!F114</f>
        <v>0</v>
      </c>
      <c r="G28" s="78">
        <f>-BACKUP!G112-BACKUP!G114</f>
        <v>0</v>
      </c>
      <c r="H28" s="78">
        <f>-BACKUP!H112-BACKUP!H114</f>
        <v>0</v>
      </c>
      <c r="I28" s="78">
        <f>-BACKUP!I112-BACKUP!I114</f>
        <v>0</v>
      </c>
      <c r="J28" s="78">
        <f>-BACKUP!J112-BACKUP!J114</f>
        <v>0</v>
      </c>
      <c r="K28" s="78">
        <f>-BACKUP!K112-BACKUP!K114</f>
        <v>0</v>
      </c>
      <c r="L28" s="78">
        <f>-BACKUP!L112-BACKUP!L114</f>
        <v>0</v>
      </c>
      <c r="M28" s="78">
        <f>-BACKUP!M112-BACKUP!M114</f>
        <v>0</v>
      </c>
      <c r="N28" s="78">
        <f>-BACKUP!N112-BACKUP!N114</f>
        <v>0</v>
      </c>
      <c r="O28" s="78">
        <f>-BACKUP!O112-BACKUP!O114</f>
        <v>0</v>
      </c>
      <c r="P28" s="78">
        <f t="shared" si="19"/>
        <v>0</v>
      </c>
      <c r="Q28" s="79">
        <f t="shared" si="6"/>
        <v>0</v>
      </c>
      <c r="R28" s="78">
        <f t="shared" si="20"/>
        <v>0</v>
      </c>
      <c r="S28" s="66"/>
      <c r="T28" s="79">
        <v>0</v>
      </c>
      <c r="U28" s="79">
        <v>0</v>
      </c>
      <c r="V28" s="78">
        <f t="shared" si="21"/>
        <v>0</v>
      </c>
      <c r="W28" s="66"/>
      <c r="X28" s="78"/>
      <c r="Y28" s="78"/>
      <c r="Z28" s="66"/>
      <c r="AA28" s="66" t="str">
        <f t="shared" si="22"/>
        <v xml:space="preserve">   Equity Earnings</v>
      </c>
      <c r="AB28" s="78">
        <f t="shared" si="23"/>
        <v>0</v>
      </c>
      <c r="AC28" s="79">
        <f t="shared" si="10"/>
        <v>0</v>
      </c>
      <c r="AD28" s="78">
        <f t="shared" si="24"/>
        <v>0</v>
      </c>
      <c r="AE28" s="66"/>
      <c r="AF28" s="78">
        <f t="shared" ref="AF28:AG32" si="30">T28</f>
        <v>0</v>
      </c>
      <c r="AG28" s="78">
        <f t="shared" si="30"/>
        <v>0</v>
      </c>
      <c r="AH28" s="78">
        <f t="shared" si="25"/>
        <v>0</v>
      </c>
      <c r="AI28" s="66"/>
      <c r="AJ28" s="78">
        <f t="shared" si="26"/>
        <v>0</v>
      </c>
      <c r="AK28" s="78">
        <f t="shared" si="27"/>
        <v>0</v>
      </c>
      <c r="AL28" s="66"/>
      <c r="AM28" s="79">
        <v>0</v>
      </c>
      <c r="AN28" s="78">
        <f t="shared" si="28"/>
        <v>0</v>
      </c>
      <c r="AO28" s="66"/>
      <c r="AP28" s="79">
        <v>0</v>
      </c>
      <c r="AQ28" s="78">
        <f t="shared" si="29"/>
        <v>0</v>
      </c>
      <c r="AR28" s="66"/>
      <c r="AS28" s="66"/>
      <c r="AT28" s="66"/>
      <c r="AU28" s="66"/>
    </row>
    <row r="29" spans="1:47" ht="13.2" x14ac:dyDescent="0.25">
      <c r="A29" s="103" t="s">
        <v>458</v>
      </c>
      <c r="B29" s="66"/>
      <c r="C29" s="66"/>
      <c r="D29" s="78">
        <f>-BACKUP!D113</f>
        <v>0</v>
      </c>
      <c r="E29" s="78">
        <f>-BACKUP!E113</f>
        <v>0</v>
      </c>
      <c r="F29" s="78">
        <f>-BACKUP!F113</f>
        <v>0</v>
      </c>
      <c r="G29" s="78">
        <f>-BACKUP!G113</f>
        <v>0</v>
      </c>
      <c r="H29" s="78">
        <f>-BACKUP!H113</f>
        <v>0</v>
      </c>
      <c r="I29" s="78">
        <f>-BACKUP!I113</f>
        <v>0</v>
      </c>
      <c r="J29" s="78">
        <f>-BACKUP!J113</f>
        <v>0</v>
      </c>
      <c r="K29" s="78">
        <f>-BACKUP!K113</f>
        <v>0</v>
      </c>
      <c r="L29" s="78">
        <f>-BACKUP!L113</f>
        <v>0</v>
      </c>
      <c r="M29" s="78">
        <f>-BACKUP!M113</f>
        <v>0</v>
      </c>
      <c r="N29" s="78">
        <f>-BACKUP!N113</f>
        <v>0</v>
      </c>
      <c r="O29" s="78">
        <f>-BACKUP!O113</f>
        <v>0</v>
      </c>
      <c r="P29" s="78">
        <f t="shared" si="19"/>
        <v>0</v>
      </c>
      <c r="Q29" s="79">
        <f t="shared" si="6"/>
        <v>0</v>
      </c>
      <c r="R29" s="78">
        <f t="shared" si="20"/>
        <v>0</v>
      </c>
      <c r="S29" s="66"/>
      <c r="T29" s="79">
        <v>0</v>
      </c>
      <c r="U29" s="79">
        <v>0</v>
      </c>
      <c r="V29" s="78">
        <f t="shared" si="21"/>
        <v>0</v>
      </c>
      <c r="W29" s="66"/>
      <c r="X29" s="78"/>
      <c r="Y29" s="78"/>
      <c r="Z29" s="66"/>
      <c r="AA29" s="66" t="str">
        <f t="shared" si="22"/>
        <v xml:space="preserve">   Equity / Partnership Distributions</v>
      </c>
      <c r="AB29" s="78">
        <f t="shared" si="23"/>
        <v>0</v>
      </c>
      <c r="AC29" s="79">
        <f t="shared" si="10"/>
        <v>0</v>
      </c>
      <c r="AD29" s="78">
        <f t="shared" si="24"/>
        <v>0</v>
      </c>
      <c r="AE29" s="66"/>
      <c r="AF29" s="78">
        <f t="shared" si="30"/>
        <v>0</v>
      </c>
      <c r="AG29" s="78">
        <f t="shared" si="30"/>
        <v>0</v>
      </c>
      <c r="AH29" s="78">
        <f t="shared" si="25"/>
        <v>0</v>
      </c>
      <c r="AI29" s="66"/>
      <c r="AJ29" s="78">
        <f t="shared" si="26"/>
        <v>0</v>
      </c>
      <c r="AK29" s="78">
        <f t="shared" si="27"/>
        <v>0</v>
      </c>
      <c r="AL29" s="66"/>
      <c r="AM29" s="79">
        <v>0</v>
      </c>
      <c r="AN29" s="78">
        <f t="shared" si="28"/>
        <v>0</v>
      </c>
      <c r="AO29" s="66"/>
      <c r="AP29" s="79">
        <v>0</v>
      </c>
      <c r="AQ29" s="78">
        <f t="shared" si="29"/>
        <v>0</v>
      </c>
      <c r="AR29" s="66"/>
      <c r="AS29" s="66"/>
      <c r="AT29" s="66"/>
      <c r="AU29" s="66"/>
    </row>
    <row r="30" spans="1:47" ht="13.2" x14ac:dyDescent="0.25">
      <c r="A30" s="103" t="s">
        <v>459</v>
      </c>
      <c r="B30" s="66"/>
      <c r="C30" s="66"/>
      <c r="D30" s="78">
        <f>-BACKUP!D469-BACKUP!D470</f>
        <v>0</v>
      </c>
      <c r="E30" s="78">
        <f>-BACKUP!E469-BACKUP!E470</f>
        <v>0</v>
      </c>
      <c r="F30" s="195">
        <f>-BACKUP!F469-BACKUP!F470+106</f>
        <v>106</v>
      </c>
      <c r="G30" s="78">
        <f>-BACKUP!G469-BACKUP!G470</f>
        <v>0</v>
      </c>
      <c r="H30" s="78">
        <f>-BACKUP!H469-BACKUP!H470</f>
        <v>0</v>
      </c>
      <c r="I30" s="78">
        <f>-BACKUP!I469-BACKUP!I470</f>
        <v>0</v>
      </c>
      <c r="J30" s="195">
        <f>-BACKUP!J469-BACKUP!J470-18</f>
        <v>-18</v>
      </c>
      <c r="K30" s="78">
        <f>-BACKUP!K469-BACKUP!K470</f>
        <v>0</v>
      </c>
      <c r="L30" s="78">
        <f>-BACKUP!L469-BACKUP!L470</f>
        <v>0</v>
      </c>
      <c r="M30" s="78">
        <f>-BACKUP!M469-BACKUP!M470</f>
        <v>0</v>
      </c>
      <c r="N30" s="78">
        <f>-BACKUP!N469-BACKUP!N470</f>
        <v>0</v>
      </c>
      <c r="O30" s="195">
        <f>-BACKUP!O469-BACKUP!O470</f>
        <v>0</v>
      </c>
      <c r="P30" s="78">
        <f t="shared" si="19"/>
        <v>88</v>
      </c>
      <c r="Q30" s="79">
        <f t="shared" si="6"/>
        <v>88</v>
      </c>
      <c r="R30" s="78">
        <f t="shared" si="20"/>
        <v>0</v>
      </c>
      <c r="S30" s="66"/>
      <c r="T30" s="79">
        <v>0</v>
      </c>
      <c r="U30" s="79">
        <v>0</v>
      </c>
      <c r="V30" s="78">
        <f t="shared" si="21"/>
        <v>0</v>
      </c>
      <c r="W30" s="66"/>
      <c r="X30" s="66"/>
      <c r="Y30" s="66"/>
      <c r="Z30" s="66"/>
      <c r="AA30" s="66" t="str">
        <f t="shared" si="22"/>
        <v xml:space="preserve">   Net (Gain) / Loss on Sale of Assets</v>
      </c>
      <c r="AB30" s="78">
        <f t="shared" si="23"/>
        <v>88</v>
      </c>
      <c r="AC30" s="79">
        <f t="shared" si="10"/>
        <v>88</v>
      </c>
      <c r="AD30" s="78">
        <f t="shared" si="24"/>
        <v>0</v>
      </c>
      <c r="AE30" s="66"/>
      <c r="AF30" s="78">
        <f t="shared" si="30"/>
        <v>0</v>
      </c>
      <c r="AG30" s="78">
        <f t="shared" si="30"/>
        <v>0</v>
      </c>
      <c r="AH30" s="78">
        <f t="shared" si="25"/>
        <v>0</v>
      </c>
      <c r="AI30" s="66"/>
      <c r="AJ30" s="78">
        <f t="shared" si="26"/>
        <v>88</v>
      </c>
      <c r="AK30" s="78">
        <f t="shared" si="27"/>
        <v>88</v>
      </c>
      <c r="AL30" s="66"/>
      <c r="AM30" s="79">
        <v>106</v>
      </c>
      <c r="AN30" s="78">
        <f t="shared" si="28"/>
        <v>-18</v>
      </c>
      <c r="AO30" s="66"/>
      <c r="AP30" s="79">
        <v>106</v>
      </c>
      <c r="AQ30" s="78">
        <f t="shared" si="29"/>
        <v>-18</v>
      </c>
      <c r="AR30" s="66"/>
      <c r="AS30" s="66"/>
      <c r="AT30" s="66"/>
      <c r="AU30" s="66"/>
    </row>
    <row r="31" spans="1:47" ht="13.2" x14ac:dyDescent="0.25">
      <c r="A31" s="103" t="s">
        <v>460</v>
      </c>
      <c r="B31" s="66"/>
      <c r="C31" s="66"/>
      <c r="D31" s="149">
        <f t="shared" ref="D31:O31" si="31">-D327+D330</f>
        <v>463</v>
      </c>
      <c r="E31" s="149">
        <f t="shared" si="31"/>
        <v>429</v>
      </c>
      <c r="F31" s="149">
        <f t="shared" si="31"/>
        <v>469</v>
      </c>
      <c r="G31" s="149">
        <f t="shared" si="31"/>
        <v>469</v>
      </c>
      <c r="H31" s="149">
        <f t="shared" si="31"/>
        <v>469</v>
      </c>
      <c r="I31" s="149">
        <f t="shared" si="31"/>
        <v>467</v>
      </c>
      <c r="J31" s="149">
        <f t="shared" si="31"/>
        <v>428</v>
      </c>
      <c r="K31" s="149">
        <f t="shared" si="31"/>
        <v>452</v>
      </c>
      <c r="L31" s="149">
        <f t="shared" si="31"/>
        <v>461</v>
      </c>
      <c r="M31" s="149">
        <f t="shared" si="31"/>
        <v>468</v>
      </c>
      <c r="N31" s="149">
        <f t="shared" si="31"/>
        <v>462</v>
      </c>
      <c r="O31" s="149">
        <f t="shared" si="31"/>
        <v>-36</v>
      </c>
      <c r="P31" s="78">
        <f t="shared" si="19"/>
        <v>5001</v>
      </c>
      <c r="Q31" s="79">
        <f t="shared" si="6"/>
        <v>3194</v>
      </c>
      <c r="R31" s="78">
        <f t="shared" si="20"/>
        <v>1807</v>
      </c>
      <c r="S31" s="66"/>
      <c r="T31" s="213">
        <f>3697+1284</f>
        <v>4981</v>
      </c>
      <c r="U31" s="213">
        <f>3145+963</f>
        <v>4108</v>
      </c>
      <c r="V31" s="78">
        <f t="shared" si="21"/>
        <v>873</v>
      </c>
      <c r="W31" s="66"/>
      <c r="X31" s="66"/>
      <c r="Y31" s="66"/>
      <c r="Z31" s="66"/>
      <c r="AA31" s="66" t="str">
        <f t="shared" si="22"/>
        <v xml:space="preserve">   Other Regulatory Assets / Liabilities</v>
      </c>
      <c r="AB31" s="78">
        <f t="shared" si="23"/>
        <v>5001</v>
      </c>
      <c r="AC31" s="79">
        <f t="shared" si="10"/>
        <v>4107</v>
      </c>
      <c r="AD31" s="78">
        <f t="shared" si="24"/>
        <v>894</v>
      </c>
      <c r="AE31" s="66"/>
      <c r="AF31" s="78">
        <f t="shared" si="30"/>
        <v>4981</v>
      </c>
      <c r="AG31" s="78">
        <f t="shared" si="30"/>
        <v>4108</v>
      </c>
      <c r="AH31" s="78">
        <f t="shared" si="25"/>
        <v>873</v>
      </c>
      <c r="AI31" s="66"/>
      <c r="AJ31" s="78">
        <f t="shared" si="26"/>
        <v>-1</v>
      </c>
      <c r="AK31" s="78">
        <f t="shared" si="27"/>
        <v>20</v>
      </c>
      <c r="AL31" s="66"/>
      <c r="AM31" s="79">
        <v>5050</v>
      </c>
      <c r="AN31" s="78">
        <f t="shared" si="28"/>
        <v>-49</v>
      </c>
      <c r="AO31" s="66"/>
      <c r="AP31" s="79">
        <v>4156</v>
      </c>
      <c r="AQ31" s="78">
        <f t="shared" si="29"/>
        <v>-49</v>
      </c>
      <c r="AR31" s="66"/>
      <c r="AS31" s="66"/>
      <c r="AT31" s="66"/>
      <c r="AU31" s="66"/>
    </row>
    <row r="32" spans="1:47" ht="13.2" x14ac:dyDescent="0.25">
      <c r="A32" s="112" t="s">
        <v>461</v>
      </c>
      <c r="B32" s="66"/>
      <c r="C32" s="66"/>
      <c r="D32" s="203">
        <f>D254-D257-D264-D267-D269+D280+D282-D291-D292-D293-SUM(D294:D302)+SUM(D316:D322)+D313+D338+BACKUP!D359-1-1-1</f>
        <v>-33</v>
      </c>
      <c r="E32" s="203">
        <f>E254-E257-E264-E267-E269+E280+E282-E291-E292-E293-SUM(E294:E302)+SUM(E316:E322)+E313+E338+BACKUP!E359-1+1+(-1)</f>
        <v>-577</v>
      </c>
      <c r="F32" s="203">
        <f>F254-F257-F264-F267-F269+F280+F282-F291-F292-F293-SUM(F294:F302)+SUM(F316:F322)+F313+F338+BACKUP!F359+1-1-200-106+1+(1)</f>
        <v>11526</v>
      </c>
      <c r="G32" s="203">
        <f>G254-G257-G264-G267-G269+G280+G282-G291-G292-G293-SUM(G294:G302)+SUM(G316:G322)+G313+G338+BACKUP!G359+1-1+1-2-1</f>
        <v>395</v>
      </c>
      <c r="H32" s="203">
        <f>H254-H257-H264-H267-H269+H280+H282-H291-H292-H293-SUM(H294:H302)+SUM(H316:H322)+H313+H338+BACKUP!H359+1+4+1+58</f>
        <v>-931</v>
      </c>
      <c r="I32" s="203">
        <f>I254-I257-I264-I267-I269+I280+I282-I291-I292-I293-SUM(I294:I302)+SUM(I316:I322)+I313+I338+BACKUP!I359-1+2-1+(-3)</f>
        <v>-152</v>
      </c>
      <c r="J32" s="226">
        <f>J254-J257-J264-J267-J269+J280+J282-J291-J292-J293-SUM(J294:J302)+SUM(J316:J322)+J313+J338+BACKUP!J359+1+1-3+(18-18)+1+(3)</f>
        <v>-285</v>
      </c>
      <c r="K32" s="203">
        <f>K254-K257-K264-K267-K269+K280+K282-K291-K292-K293-SUM(K294:K302)+SUM(K316:K322)+K313+K338+BACKUP!K359</f>
        <v>168</v>
      </c>
      <c r="L32" s="203">
        <f>L254-L257-L264-L267-L269+L280+L282-L291-L292-L293-SUM(L294:L302)+SUM(L316:L322)+L313+L338+BACKUP!L359</f>
        <v>-320</v>
      </c>
      <c r="M32" s="203">
        <f>M254-M257-M264-M267-M269+M280+M282-M291-M292-M293-SUM(M294:M302)+SUM(M316:M322)+M313+M338+BACKUP!M359</f>
        <v>-75</v>
      </c>
      <c r="N32" s="203">
        <f>N254-N257-N264-N267-N269+N280+N282-N291-N292-N293-SUM(N294:N302)+SUM(N316:N322)+N313+N338+BACKUP!N359</f>
        <v>-77</v>
      </c>
      <c r="O32" s="203">
        <f>O254-O257-O264-O267-O269+O280+O282-O291-O292-O293-SUM(O294:O302)+SUM(O316:O322)+O313+O338+BACKUP!O359</f>
        <v>85</v>
      </c>
      <c r="P32" s="83">
        <f t="shared" si="19"/>
        <v>9724</v>
      </c>
      <c r="Q32" s="101">
        <f t="shared" si="6"/>
        <v>9943</v>
      </c>
      <c r="R32" s="83">
        <f t="shared" si="20"/>
        <v>-219</v>
      </c>
      <c r="S32" s="66"/>
      <c r="T32" s="101">
        <f>-10936</f>
        <v>-10936</v>
      </c>
      <c r="U32" s="101">
        <v>-8188</v>
      </c>
      <c r="V32" s="83">
        <f t="shared" si="21"/>
        <v>-2748</v>
      </c>
      <c r="W32" s="66"/>
      <c r="X32" s="78"/>
      <c r="Y32" s="78"/>
      <c r="Z32" s="66"/>
      <c r="AA32" s="66" t="str">
        <f t="shared" si="22"/>
        <v xml:space="preserve">   Other (Incl. All Capital Costs &amp; Current Reserve Activity)</v>
      </c>
      <c r="AB32" s="83">
        <f t="shared" si="23"/>
        <v>9724</v>
      </c>
      <c r="AC32" s="101">
        <f t="shared" si="10"/>
        <v>9791</v>
      </c>
      <c r="AD32" s="83">
        <f t="shared" si="24"/>
        <v>-67</v>
      </c>
      <c r="AE32" s="66"/>
      <c r="AF32" s="83">
        <f t="shared" si="30"/>
        <v>-10936</v>
      </c>
      <c r="AG32" s="83">
        <f t="shared" si="30"/>
        <v>-8188</v>
      </c>
      <c r="AH32" s="83">
        <f t="shared" si="25"/>
        <v>-2748</v>
      </c>
      <c r="AI32" s="66"/>
      <c r="AJ32" s="83">
        <f t="shared" si="26"/>
        <v>17979</v>
      </c>
      <c r="AK32" s="83">
        <f t="shared" si="27"/>
        <v>20660</v>
      </c>
      <c r="AL32" s="66"/>
      <c r="AM32" s="101">
        <v>-2503</v>
      </c>
      <c r="AN32" s="83">
        <f t="shared" si="28"/>
        <v>12227</v>
      </c>
      <c r="AO32" s="66"/>
      <c r="AP32" s="101">
        <v>-2275</v>
      </c>
      <c r="AQ32" s="83">
        <f t="shared" si="29"/>
        <v>12066</v>
      </c>
      <c r="AR32" s="66"/>
      <c r="AS32" s="66"/>
      <c r="AT32" s="66"/>
      <c r="AU32" s="66"/>
    </row>
    <row r="33" spans="1:47" ht="3.9" customHeight="1" x14ac:dyDescent="0.25">
      <c r="A33" s="97"/>
      <c r="B33" s="66"/>
      <c r="C33" s="66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66"/>
      <c r="T33" s="78"/>
      <c r="U33" s="78"/>
      <c r="V33" s="78"/>
      <c r="W33" s="66"/>
      <c r="X33" s="78"/>
      <c r="Y33" s="78"/>
      <c r="Z33" s="66"/>
      <c r="AA33" s="66"/>
      <c r="AB33" s="78"/>
      <c r="AC33" s="78"/>
      <c r="AD33" s="78"/>
      <c r="AE33" s="66"/>
      <c r="AF33" s="78"/>
      <c r="AG33" s="78"/>
      <c r="AH33" s="78"/>
      <c r="AI33" s="66"/>
      <c r="AJ33" s="78"/>
      <c r="AK33" s="78"/>
      <c r="AL33" s="66"/>
      <c r="AM33" s="78"/>
      <c r="AN33" s="78"/>
      <c r="AO33" s="66"/>
      <c r="AP33" s="78"/>
      <c r="AQ33" s="78"/>
      <c r="AR33" s="66"/>
      <c r="AS33" s="66"/>
      <c r="AT33" s="66"/>
      <c r="AU33" s="66"/>
    </row>
    <row r="34" spans="1:47" ht="13.2" x14ac:dyDescent="0.25">
      <c r="A34" s="109" t="s">
        <v>462</v>
      </c>
      <c r="B34" s="66"/>
      <c r="C34" s="66"/>
      <c r="D34" s="83">
        <f>SUM(D9:D33)</f>
        <v>11072</v>
      </c>
      <c r="E34" s="83">
        <f t="shared" ref="E34:O34" si="32">SUM(E9:E33)</f>
        <v>9754</v>
      </c>
      <c r="F34" s="83">
        <f t="shared" si="32"/>
        <v>15487</v>
      </c>
      <c r="G34" s="83">
        <f t="shared" si="32"/>
        <v>-3258</v>
      </c>
      <c r="H34" s="83">
        <f t="shared" si="32"/>
        <v>6562</v>
      </c>
      <c r="I34" s="83">
        <f t="shared" si="32"/>
        <v>21900</v>
      </c>
      <c r="J34" s="83">
        <f t="shared" si="32"/>
        <v>-2673</v>
      </c>
      <c r="K34" s="83">
        <f t="shared" si="32"/>
        <v>12100</v>
      </c>
      <c r="L34" s="83">
        <f t="shared" si="32"/>
        <v>10043</v>
      </c>
      <c r="M34" s="83">
        <f t="shared" si="32"/>
        <v>9517</v>
      </c>
      <c r="N34" s="83">
        <f t="shared" si="32"/>
        <v>9702</v>
      </c>
      <c r="O34" s="83">
        <f t="shared" si="32"/>
        <v>5948</v>
      </c>
      <c r="P34" s="83">
        <f>SUM(P9:P33)</f>
        <v>106154</v>
      </c>
      <c r="Q34" s="83">
        <f>SUM(Q9:Q33)</f>
        <v>58844</v>
      </c>
      <c r="R34" s="83">
        <f>SUM(R9:R33)</f>
        <v>47310</v>
      </c>
      <c r="S34" s="66"/>
      <c r="T34" s="83">
        <f>SUM(T9:T33)</f>
        <v>81940</v>
      </c>
      <c r="U34" s="83">
        <f>SUM(U9:U33)</f>
        <v>63700</v>
      </c>
      <c r="V34" s="83">
        <f>SUM(V9:V33)</f>
        <v>18240</v>
      </c>
      <c r="W34" s="66"/>
      <c r="X34" s="78"/>
      <c r="Y34" s="78"/>
      <c r="Z34" s="66"/>
      <c r="AA34" s="63" t="str">
        <f>A34</f>
        <v xml:space="preserve">      Cash Provided by Operating Activities</v>
      </c>
      <c r="AB34" s="83">
        <f>SUM(AB9:AB33)</f>
        <v>106154</v>
      </c>
      <c r="AC34" s="83">
        <f>SUM(AC9:AC33)</f>
        <v>80987</v>
      </c>
      <c r="AD34" s="83">
        <f>SUM(AD9:AD33)</f>
        <v>25167</v>
      </c>
      <c r="AE34" s="66"/>
      <c r="AF34" s="83">
        <f>SUM(AF9:AF33)</f>
        <v>81940</v>
      </c>
      <c r="AG34" s="83">
        <f>SUM(AG9:AG33)</f>
        <v>63700</v>
      </c>
      <c r="AH34" s="83">
        <f>SUM(AH9:AH33)</f>
        <v>18240</v>
      </c>
      <c r="AI34" s="66"/>
      <c r="AJ34" s="83">
        <f>SUM(AJ9:AJ33)</f>
        <v>17287</v>
      </c>
      <c r="AK34" s="83">
        <f>SUM(AK9:AK33)</f>
        <v>24214</v>
      </c>
      <c r="AL34" s="66"/>
      <c r="AM34" s="83">
        <f>SUM(AM9:AM33)</f>
        <v>100779</v>
      </c>
      <c r="AN34" s="83">
        <f>SUM(AN9:AN33)</f>
        <v>5375</v>
      </c>
      <c r="AO34" s="66"/>
      <c r="AP34" s="83">
        <f>SUM(AP9:AP33)</f>
        <v>77904</v>
      </c>
      <c r="AQ34" s="83">
        <f>SUM(AQ9:AQ33)</f>
        <v>3083</v>
      </c>
      <c r="AR34" s="66"/>
      <c r="AS34" s="66"/>
      <c r="AT34" s="66"/>
      <c r="AU34" s="66"/>
    </row>
    <row r="35" spans="1:47" ht="6" customHeight="1" x14ac:dyDescent="0.25">
      <c r="A35" s="97"/>
      <c r="B35" s="66"/>
      <c r="C35" s="66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66"/>
      <c r="T35" s="78"/>
      <c r="U35" s="78"/>
      <c r="V35" s="78"/>
      <c r="W35" s="66"/>
      <c r="X35" s="78"/>
      <c r="Y35" s="78"/>
      <c r="Z35" s="66"/>
      <c r="AA35" s="66"/>
      <c r="AB35" s="78"/>
      <c r="AC35" s="78"/>
      <c r="AD35" s="78"/>
      <c r="AE35" s="66"/>
      <c r="AF35" s="78"/>
      <c r="AG35" s="78"/>
      <c r="AH35" s="78"/>
      <c r="AI35" s="66"/>
      <c r="AJ35" s="78"/>
      <c r="AK35" s="78"/>
      <c r="AL35" s="66"/>
      <c r="AM35" s="78"/>
      <c r="AN35" s="78"/>
      <c r="AO35" s="66"/>
      <c r="AP35" s="78"/>
      <c r="AQ35" s="78"/>
      <c r="AR35" s="66"/>
      <c r="AS35" s="66"/>
      <c r="AT35" s="66"/>
      <c r="AU35" s="66"/>
    </row>
    <row r="36" spans="1:47" ht="13.2" x14ac:dyDescent="0.25">
      <c r="A36" s="109" t="s">
        <v>463</v>
      </c>
      <c r="B36" s="66"/>
      <c r="C36" s="66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66"/>
      <c r="Q36" s="66"/>
      <c r="R36" s="66"/>
      <c r="S36" s="66"/>
      <c r="T36" s="78"/>
      <c r="U36" s="78"/>
      <c r="V36" s="66"/>
      <c r="W36" s="66"/>
      <c r="X36" s="66"/>
      <c r="Y36" s="66"/>
      <c r="Z36" s="66"/>
      <c r="AA36" s="63" t="str">
        <f t="shared" ref="AA36:AA41" si="33">A36</f>
        <v>CASH FLOW FROM INVESTING ACTIVITIES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79"/>
      <c r="AN36" s="66"/>
      <c r="AO36" s="66"/>
      <c r="AP36" s="79"/>
      <c r="AQ36" s="66"/>
      <c r="AR36" s="66"/>
      <c r="AS36" s="66"/>
      <c r="AT36" s="66"/>
      <c r="AU36" s="66"/>
    </row>
    <row r="37" spans="1:47" ht="13.2" x14ac:dyDescent="0.25">
      <c r="A37" s="112" t="s">
        <v>464</v>
      </c>
      <c r="B37" s="66"/>
      <c r="C37" s="66"/>
      <c r="D37" s="78">
        <f t="shared" ref="D37:L37" si="34">-D265-D266+D281+D334+D335</f>
        <v>0</v>
      </c>
      <c r="E37" s="78">
        <f t="shared" si="34"/>
        <v>0</v>
      </c>
      <c r="F37" s="78">
        <f t="shared" si="34"/>
        <v>0</v>
      </c>
      <c r="G37" s="149">
        <f t="shared" si="34"/>
        <v>0</v>
      </c>
      <c r="H37" s="78">
        <f t="shared" si="34"/>
        <v>0</v>
      </c>
      <c r="I37" s="78">
        <f t="shared" si="34"/>
        <v>0</v>
      </c>
      <c r="J37" s="195">
        <f>-J265-J266+J281+J334+J335+18</f>
        <v>18</v>
      </c>
      <c r="K37" s="78">
        <f t="shared" si="34"/>
        <v>0</v>
      </c>
      <c r="L37" s="78">
        <f t="shared" si="34"/>
        <v>0</v>
      </c>
      <c r="M37" s="78">
        <f>-M265-M266+M281+M334+M335</f>
        <v>0</v>
      </c>
      <c r="N37" s="78">
        <f>-N265-N266+N281+N334+N335</f>
        <v>0</v>
      </c>
      <c r="O37" s="195">
        <f>-O265-O266+O281+O334+O335</f>
        <v>0</v>
      </c>
      <c r="P37" s="78">
        <f>SUM(D37:O37)</f>
        <v>18</v>
      </c>
      <c r="Q37" s="79">
        <f>SUM(D37:J37)</f>
        <v>18</v>
      </c>
      <c r="R37" s="78">
        <f>P37-Q37</f>
        <v>0</v>
      </c>
      <c r="S37" s="66"/>
      <c r="T37" s="79">
        <v>0</v>
      </c>
      <c r="U37" s="79">
        <v>0</v>
      </c>
      <c r="V37" s="78">
        <f>T37-U37</f>
        <v>0</v>
      </c>
      <c r="W37" s="66"/>
      <c r="X37" s="66"/>
      <c r="Y37" s="66"/>
      <c r="Z37" s="66"/>
      <c r="AA37" s="66" t="str">
        <f t="shared" si="33"/>
        <v xml:space="preserve">   Proceeds from Sale of Investments</v>
      </c>
      <c r="AB37" s="78">
        <f>P37</f>
        <v>18</v>
      </c>
      <c r="AC37" s="79">
        <f>SUM(D37:L37)</f>
        <v>18</v>
      </c>
      <c r="AD37" s="78">
        <f>AB37-AC37</f>
        <v>0</v>
      </c>
      <c r="AE37" s="66"/>
      <c r="AF37" s="78">
        <f t="shared" ref="AF37:AG41" si="35">T37</f>
        <v>0</v>
      </c>
      <c r="AG37" s="78">
        <f t="shared" si="35"/>
        <v>0</v>
      </c>
      <c r="AH37" s="78">
        <f>AF37-AG37</f>
        <v>0</v>
      </c>
      <c r="AI37" s="66"/>
      <c r="AJ37" s="78">
        <f>AC37-AG37</f>
        <v>18</v>
      </c>
      <c r="AK37" s="78">
        <f>AB37-AF37</f>
        <v>18</v>
      </c>
      <c r="AL37" s="66"/>
      <c r="AM37" s="79">
        <v>0</v>
      </c>
      <c r="AN37" s="78">
        <f>AB37-AM37</f>
        <v>18</v>
      </c>
      <c r="AO37" s="66"/>
      <c r="AP37" s="79">
        <v>0</v>
      </c>
      <c r="AQ37" s="78">
        <f>AC37-AP37</f>
        <v>18</v>
      </c>
      <c r="AR37" s="66"/>
      <c r="AS37" s="66"/>
      <c r="AT37" s="66"/>
      <c r="AU37" s="66"/>
    </row>
    <row r="38" spans="1:47" ht="13.2" x14ac:dyDescent="0.25">
      <c r="A38" s="112" t="s">
        <v>465</v>
      </c>
      <c r="B38" s="66"/>
      <c r="C38" s="66"/>
      <c r="D38" s="149">
        <f>-D260-D262-D263</f>
        <v>-366</v>
      </c>
      <c r="E38" s="149">
        <f>-E260-E262-E263</f>
        <v>-242</v>
      </c>
      <c r="F38" s="149">
        <f>-F260-F262-F263</f>
        <v>-906</v>
      </c>
      <c r="G38" s="149">
        <f>-G260-G262-G263</f>
        <v>-1317</v>
      </c>
      <c r="H38" s="149">
        <f t="shared" ref="H38:O38" si="36">-H260-H262-H263</f>
        <v>-16105</v>
      </c>
      <c r="I38" s="149">
        <f t="shared" si="36"/>
        <v>-3523</v>
      </c>
      <c r="J38" s="216">
        <f>-J260-J262-J263-1</f>
        <v>-1281</v>
      </c>
      <c r="K38" s="149">
        <f t="shared" si="36"/>
        <v>-1900</v>
      </c>
      <c r="L38" s="149">
        <f t="shared" si="36"/>
        <v>-13043</v>
      </c>
      <c r="M38" s="149">
        <f t="shared" si="36"/>
        <v>-5817</v>
      </c>
      <c r="N38" s="149">
        <f t="shared" si="36"/>
        <v>-11852</v>
      </c>
      <c r="O38" s="149">
        <f t="shared" si="36"/>
        <v>-11548</v>
      </c>
      <c r="P38" s="78">
        <f>SUM(D38:O38)</f>
        <v>-67900</v>
      </c>
      <c r="Q38" s="79">
        <f>SUM(D38:J38)</f>
        <v>-23740</v>
      </c>
      <c r="R38" s="78">
        <f>P38-Q38</f>
        <v>-44160</v>
      </c>
      <c r="S38" s="66"/>
      <c r="T38" s="79">
        <v>-47600</v>
      </c>
      <c r="U38" s="79">
        <v>-40100</v>
      </c>
      <c r="V38" s="78">
        <f>T38-U38</f>
        <v>-7500</v>
      </c>
      <c r="W38" s="66"/>
      <c r="X38" s="78"/>
      <c r="Y38" s="78"/>
      <c r="Z38" s="66"/>
      <c r="AA38" s="66" t="str">
        <f t="shared" si="33"/>
        <v xml:space="preserve">   Additions to Property </v>
      </c>
      <c r="AB38" s="78">
        <f>P38</f>
        <v>-67900</v>
      </c>
      <c r="AC38" s="79">
        <f>SUM(D38:L38)</f>
        <v>-38683</v>
      </c>
      <c r="AD38" s="78">
        <f>AB38-AC38</f>
        <v>-29217</v>
      </c>
      <c r="AE38" s="66"/>
      <c r="AF38" s="78">
        <f t="shared" si="35"/>
        <v>-47600</v>
      </c>
      <c r="AG38" s="78">
        <f t="shared" si="35"/>
        <v>-40100</v>
      </c>
      <c r="AH38" s="78">
        <f>AF38-AG38</f>
        <v>-7500</v>
      </c>
      <c r="AI38" s="66"/>
      <c r="AJ38" s="78">
        <f>AC38-AG38</f>
        <v>1417</v>
      </c>
      <c r="AK38" s="78">
        <f>AB38-AF38</f>
        <v>-20300</v>
      </c>
      <c r="AL38" s="66"/>
      <c r="AM38" s="79">
        <v>-88300</v>
      </c>
      <c r="AN38" s="78">
        <f>AB38-AM38</f>
        <v>20400</v>
      </c>
      <c r="AO38" s="66"/>
      <c r="AP38" s="79">
        <v>-52575</v>
      </c>
      <c r="AQ38" s="78">
        <f>AC38-AP38</f>
        <v>13892</v>
      </c>
      <c r="AR38" s="66"/>
      <c r="AS38" s="66"/>
      <c r="AT38" s="66"/>
      <c r="AU38" s="66"/>
    </row>
    <row r="39" spans="1:47" ht="13.2" x14ac:dyDescent="0.25">
      <c r="A39" s="103" t="s">
        <v>466</v>
      </c>
      <c r="B39" s="66"/>
      <c r="C39" s="66"/>
      <c r="D39" s="216">
        <f>-D261-D268+1</f>
        <v>-69</v>
      </c>
      <c r="E39" s="149">
        <f t="shared" ref="E39:O39" si="37">-E261-E268</f>
        <v>862</v>
      </c>
      <c r="F39" s="149">
        <f t="shared" si="37"/>
        <v>17</v>
      </c>
      <c r="G39" s="149">
        <f t="shared" si="37"/>
        <v>-1468</v>
      </c>
      <c r="H39" s="149">
        <f t="shared" si="37"/>
        <v>154</v>
      </c>
      <c r="I39" s="149">
        <f t="shared" si="37"/>
        <v>67</v>
      </c>
      <c r="J39" s="149">
        <f t="shared" si="37"/>
        <v>200</v>
      </c>
      <c r="K39" s="149">
        <f t="shared" si="37"/>
        <v>0</v>
      </c>
      <c r="L39" s="149">
        <f t="shared" si="37"/>
        <v>0</v>
      </c>
      <c r="M39" s="149">
        <f t="shared" si="37"/>
        <v>0</v>
      </c>
      <c r="N39" s="149">
        <f t="shared" si="37"/>
        <v>0</v>
      </c>
      <c r="O39" s="149">
        <f t="shared" si="37"/>
        <v>0</v>
      </c>
      <c r="P39" s="78">
        <f>SUM(D39:O39)</f>
        <v>-237</v>
      </c>
      <c r="Q39" s="79">
        <f>SUM(D39:J39)</f>
        <v>-237</v>
      </c>
      <c r="R39" s="78">
        <f>P39-Q39</f>
        <v>0</v>
      </c>
      <c r="S39" s="66"/>
      <c r="T39" s="79">
        <v>0</v>
      </c>
      <c r="U39" s="79">
        <v>0</v>
      </c>
      <c r="V39" s="78">
        <f>T39-U39</f>
        <v>0</v>
      </c>
      <c r="W39" s="66"/>
      <c r="X39" s="78"/>
      <c r="Y39" s="78"/>
      <c r="Z39" s="66"/>
      <c r="AA39" s="66" t="str">
        <f t="shared" si="33"/>
        <v xml:space="preserve">   Other Capital Expenditures</v>
      </c>
      <c r="AB39" s="78">
        <f>P39</f>
        <v>-237</v>
      </c>
      <c r="AC39" s="79">
        <f>SUM(D39:L39)</f>
        <v>-237</v>
      </c>
      <c r="AD39" s="78">
        <f>AB39-AC39</f>
        <v>0</v>
      </c>
      <c r="AE39" s="66"/>
      <c r="AF39" s="78">
        <f t="shared" si="35"/>
        <v>0</v>
      </c>
      <c r="AG39" s="78">
        <f t="shared" si="35"/>
        <v>0</v>
      </c>
      <c r="AH39" s="78">
        <f>AF39-AG39</f>
        <v>0</v>
      </c>
      <c r="AI39" s="66"/>
      <c r="AJ39" s="78">
        <f>AC39-AG39</f>
        <v>-237</v>
      </c>
      <c r="AK39" s="78">
        <f>AB39-AF39</f>
        <v>-237</v>
      </c>
      <c r="AL39" s="66"/>
      <c r="AM39" s="79">
        <v>-504</v>
      </c>
      <c r="AN39" s="78">
        <f>AB39-AM39</f>
        <v>267</v>
      </c>
      <c r="AO39" s="66"/>
      <c r="AP39" s="79">
        <v>-504</v>
      </c>
      <c r="AQ39" s="78">
        <f>AC39-AP39</f>
        <v>267</v>
      </c>
      <c r="AR39" s="66"/>
      <c r="AS39" s="66"/>
      <c r="AT39" s="66"/>
      <c r="AU39" s="66"/>
    </row>
    <row r="40" spans="1:47" ht="13.2" x14ac:dyDescent="0.25">
      <c r="A40" s="112" t="s">
        <v>467</v>
      </c>
      <c r="B40" s="66"/>
      <c r="C40" s="66"/>
      <c r="D40" s="79">
        <v>0</v>
      </c>
      <c r="E40" s="79">
        <v>0</v>
      </c>
      <c r="F40" s="79">
        <v>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8">
        <f>SUM(D40:O40)</f>
        <v>0</v>
      </c>
      <c r="Q40" s="79">
        <f>SUM(D40:J40)</f>
        <v>0</v>
      </c>
      <c r="R40" s="78">
        <f>P40-Q40</f>
        <v>0</v>
      </c>
      <c r="S40" s="66"/>
      <c r="T40" s="79">
        <v>0</v>
      </c>
      <c r="U40" s="79">
        <v>0</v>
      </c>
      <c r="V40" s="78">
        <f>T40-U40</f>
        <v>0</v>
      </c>
      <c r="W40" s="66"/>
      <c r="X40" s="66"/>
      <c r="Y40" s="66"/>
      <c r="Z40" s="66"/>
      <c r="AA40" s="66" t="str">
        <f t="shared" si="33"/>
        <v xml:space="preserve">   Other Investments</v>
      </c>
      <c r="AB40" s="78">
        <f>P40</f>
        <v>0</v>
      </c>
      <c r="AC40" s="79">
        <f>SUM(D40:L40)</f>
        <v>0</v>
      </c>
      <c r="AD40" s="78">
        <f>AB40-AC40</f>
        <v>0</v>
      </c>
      <c r="AE40" s="66"/>
      <c r="AF40" s="78">
        <f t="shared" si="35"/>
        <v>0</v>
      </c>
      <c r="AG40" s="78">
        <f t="shared" si="35"/>
        <v>0</v>
      </c>
      <c r="AH40" s="78">
        <f>AF40-AG40</f>
        <v>0</v>
      </c>
      <c r="AI40" s="66"/>
      <c r="AJ40" s="78">
        <f>AC40-AG40</f>
        <v>0</v>
      </c>
      <c r="AK40" s="78">
        <f>AB40-AF40</f>
        <v>0</v>
      </c>
      <c r="AL40" s="66"/>
      <c r="AM40" s="79">
        <v>0</v>
      </c>
      <c r="AN40" s="78">
        <f>AB40-AM40</f>
        <v>0</v>
      </c>
      <c r="AO40" s="66"/>
      <c r="AP40" s="79">
        <v>0</v>
      </c>
      <c r="AQ40" s="78">
        <f>AC40-AP40</f>
        <v>0</v>
      </c>
      <c r="AR40" s="66"/>
      <c r="AS40" s="66"/>
      <c r="AT40" s="66"/>
      <c r="AU40" s="66"/>
    </row>
    <row r="41" spans="1:47" ht="13.2" x14ac:dyDescent="0.25">
      <c r="A41" s="112" t="s">
        <v>468</v>
      </c>
      <c r="B41" s="66"/>
      <c r="C41" s="66"/>
      <c r="D41" s="159">
        <f t="shared" ref="D41:O41" si="38">D277+D278</f>
        <v>-14</v>
      </c>
      <c r="E41" s="159">
        <f t="shared" si="38"/>
        <v>-19</v>
      </c>
      <c r="F41" s="101">
        <f>F277+F278-1</f>
        <v>76</v>
      </c>
      <c r="G41" s="101">
        <f>G277+G278+1</f>
        <v>57</v>
      </c>
      <c r="H41" s="101">
        <f>H277+H278-58</f>
        <v>-70</v>
      </c>
      <c r="I41" s="159">
        <f t="shared" si="38"/>
        <v>29</v>
      </c>
      <c r="J41" s="159">
        <f t="shared" si="38"/>
        <v>-45</v>
      </c>
      <c r="K41" s="159">
        <f t="shared" si="38"/>
        <v>0</v>
      </c>
      <c r="L41" s="159">
        <f t="shared" si="38"/>
        <v>0</v>
      </c>
      <c r="M41" s="159">
        <f t="shared" si="38"/>
        <v>0</v>
      </c>
      <c r="N41" s="159">
        <f t="shared" si="38"/>
        <v>0</v>
      </c>
      <c r="O41" s="159">
        <f t="shared" si="38"/>
        <v>0</v>
      </c>
      <c r="P41" s="83">
        <f>SUM(D41:O41)</f>
        <v>14</v>
      </c>
      <c r="Q41" s="101">
        <f>SUM(D41:J41)</f>
        <v>14</v>
      </c>
      <c r="R41" s="83">
        <f>P41-Q41</f>
        <v>0</v>
      </c>
      <c r="S41" s="66"/>
      <c r="T41" s="101">
        <v>0</v>
      </c>
      <c r="U41" s="101">
        <v>0</v>
      </c>
      <c r="V41" s="83">
        <f>T41-U41</f>
        <v>0</v>
      </c>
      <c r="W41" s="66"/>
      <c r="X41" s="66"/>
      <c r="Y41" s="66"/>
      <c r="Z41" s="66"/>
      <c r="AA41" s="66" t="str">
        <f t="shared" si="33"/>
        <v xml:space="preserve">   Other (Net Salvage &amp; Removal)</v>
      </c>
      <c r="AB41" s="83">
        <f>P41</f>
        <v>14</v>
      </c>
      <c r="AC41" s="101">
        <f>SUM(D41:L41)</f>
        <v>14</v>
      </c>
      <c r="AD41" s="83">
        <f>AB41-AC41</f>
        <v>0</v>
      </c>
      <c r="AE41" s="66"/>
      <c r="AF41" s="83">
        <f t="shared" si="35"/>
        <v>0</v>
      </c>
      <c r="AG41" s="83">
        <f t="shared" si="35"/>
        <v>0</v>
      </c>
      <c r="AH41" s="83">
        <f>AF41-AG41</f>
        <v>0</v>
      </c>
      <c r="AI41" s="66"/>
      <c r="AJ41" s="83">
        <f>AC41-AG41</f>
        <v>14</v>
      </c>
      <c r="AK41" s="83">
        <f>AB41-AF41</f>
        <v>14</v>
      </c>
      <c r="AL41" s="66"/>
      <c r="AM41" s="101">
        <v>57</v>
      </c>
      <c r="AN41" s="83">
        <f>AB41-AM41</f>
        <v>-43</v>
      </c>
      <c r="AO41" s="66"/>
      <c r="AP41" s="101">
        <v>57</v>
      </c>
      <c r="AQ41" s="83">
        <f>AC41-AP41</f>
        <v>-43</v>
      </c>
      <c r="AR41" s="66"/>
      <c r="AS41" s="66"/>
      <c r="AT41" s="66"/>
      <c r="AU41" s="66"/>
    </row>
    <row r="42" spans="1:47" ht="3.9" customHeight="1" x14ac:dyDescent="0.25">
      <c r="A42" s="97"/>
      <c r="B42" s="66"/>
      <c r="C42" s="66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66"/>
      <c r="T42" s="78"/>
      <c r="U42" s="78"/>
      <c r="V42" s="78"/>
      <c r="W42" s="66"/>
      <c r="X42" s="78"/>
      <c r="Y42" s="78"/>
      <c r="Z42" s="66"/>
      <c r="AA42" s="66"/>
      <c r="AB42" s="78"/>
      <c r="AC42" s="78"/>
      <c r="AD42" s="78"/>
      <c r="AE42" s="66"/>
      <c r="AF42" s="78"/>
      <c r="AG42" s="78"/>
      <c r="AH42" s="78"/>
      <c r="AI42" s="66"/>
      <c r="AJ42" s="78"/>
      <c r="AK42" s="78"/>
      <c r="AL42" s="66"/>
      <c r="AM42" s="78"/>
      <c r="AN42" s="78"/>
      <c r="AO42" s="66"/>
      <c r="AP42" s="78"/>
      <c r="AQ42" s="78"/>
      <c r="AR42" s="66"/>
      <c r="AS42" s="66"/>
      <c r="AT42" s="66"/>
      <c r="AU42" s="66"/>
    </row>
    <row r="43" spans="1:47" ht="13.2" x14ac:dyDescent="0.25">
      <c r="A43" s="109" t="s">
        <v>469</v>
      </c>
      <c r="B43" s="66"/>
      <c r="C43" s="66"/>
      <c r="D43" s="83">
        <f t="shared" ref="D43:R43" si="39">SUM(D37:D42)</f>
        <v>-449</v>
      </c>
      <c r="E43" s="83">
        <f t="shared" si="39"/>
        <v>601</v>
      </c>
      <c r="F43" s="83">
        <f t="shared" si="39"/>
        <v>-813</v>
      </c>
      <c r="G43" s="83">
        <f t="shared" si="39"/>
        <v>-2728</v>
      </c>
      <c r="H43" s="83">
        <f t="shared" si="39"/>
        <v>-16021</v>
      </c>
      <c r="I43" s="83">
        <f t="shared" si="39"/>
        <v>-3427</v>
      </c>
      <c r="J43" s="83">
        <f t="shared" si="39"/>
        <v>-1108</v>
      </c>
      <c r="K43" s="83">
        <f t="shared" si="39"/>
        <v>-1900</v>
      </c>
      <c r="L43" s="83">
        <f t="shared" si="39"/>
        <v>-13043</v>
      </c>
      <c r="M43" s="83">
        <f t="shared" si="39"/>
        <v>-5817</v>
      </c>
      <c r="N43" s="83">
        <f t="shared" si="39"/>
        <v>-11852</v>
      </c>
      <c r="O43" s="83">
        <f t="shared" si="39"/>
        <v>-11548</v>
      </c>
      <c r="P43" s="83">
        <f t="shared" si="39"/>
        <v>-68105</v>
      </c>
      <c r="Q43" s="83">
        <f t="shared" si="39"/>
        <v>-23945</v>
      </c>
      <c r="R43" s="83">
        <f t="shared" si="39"/>
        <v>-44160</v>
      </c>
      <c r="S43" s="66"/>
      <c r="T43" s="83">
        <f>SUM(T37:T42)</f>
        <v>-47600</v>
      </c>
      <c r="U43" s="83">
        <f>SUM(U37:U42)</f>
        <v>-40100</v>
      </c>
      <c r="V43" s="83">
        <f>SUM(V37:V42)</f>
        <v>-7500</v>
      </c>
      <c r="W43" s="66"/>
      <c r="X43" s="78"/>
      <c r="Y43" s="78"/>
      <c r="Z43" s="66"/>
      <c r="AA43" s="63" t="str">
        <f>A43</f>
        <v xml:space="preserve">      Cash Provided by (Used in) Investing Activities</v>
      </c>
      <c r="AB43" s="83">
        <f>SUM(AB37:AB42)</f>
        <v>-68105</v>
      </c>
      <c r="AC43" s="83">
        <f>SUM(AC37:AC42)</f>
        <v>-38888</v>
      </c>
      <c r="AD43" s="83">
        <f>SUM(AD37:AD42)</f>
        <v>-29217</v>
      </c>
      <c r="AE43" s="66"/>
      <c r="AF43" s="83">
        <f>SUM(AF37:AF42)</f>
        <v>-47600</v>
      </c>
      <c r="AG43" s="83">
        <f>SUM(AG37:AG42)</f>
        <v>-40100</v>
      </c>
      <c r="AH43" s="83">
        <f>SUM(AH37:AH42)</f>
        <v>-7500</v>
      </c>
      <c r="AI43" s="66"/>
      <c r="AJ43" s="83">
        <f>SUM(AJ37:AJ42)</f>
        <v>1212</v>
      </c>
      <c r="AK43" s="83">
        <f>SUM(AK37:AK42)</f>
        <v>-20505</v>
      </c>
      <c r="AL43" s="66"/>
      <c r="AM43" s="83">
        <f>SUM(AM37:AM42)</f>
        <v>-88747</v>
      </c>
      <c r="AN43" s="83">
        <f>SUM(AN37:AN42)</f>
        <v>20642</v>
      </c>
      <c r="AO43" s="66"/>
      <c r="AP43" s="83">
        <f>SUM(AP37:AP42)</f>
        <v>-53022</v>
      </c>
      <c r="AQ43" s="83">
        <f>SUM(AQ37:AQ42)</f>
        <v>14134</v>
      </c>
      <c r="AR43" s="66"/>
      <c r="AS43" s="66"/>
      <c r="AT43" s="66"/>
      <c r="AU43" s="66"/>
    </row>
    <row r="44" spans="1:47" ht="6" customHeight="1" x14ac:dyDescent="0.25">
      <c r="A44" s="97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79"/>
      <c r="AN44" s="79"/>
      <c r="AO44" s="66"/>
      <c r="AP44" s="79"/>
      <c r="AQ44" s="79"/>
      <c r="AR44" s="66"/>
      <c r="AS44" s="66"/>
      <c r="AT44" s="66"/>
      <c r="AU44" s="66"/>
    </row>
    <row r="45" spans="1:47" ht="13.2" x14ac:dyDescent="0.25">
      <c r="A45" s="109" t="s">
        <v>470</v>
      </c>
      <c r="B45" s="66"/>
      <c r="C45" s="66"/>
      <c r="D45" s="83">
        <f t="shared" ref="D45:R45" si="40">D34+D43</f>
        <v>10623</v>
      </c>
      <c r="E45" s="83">
        <f t="shared" si="40"/>
        <v>10355</v>
      </c>
      <c r="F45" s="83">
        <f t="shared" si="40"/>
        <v>14674</v>
      </c>
      <c r="G45" s="83">
        <f t="shared" si="40"/>
        <v>-5986</v>
      </c>
      <c r="H45" s="83">
        <f t="shared" si="40"/>
        <v>-9459</v>
      </c>
      <c r="I45" s="83">
        <f t="shared" si="40"/>
        <v>18473</v>
      </c>
      <c r="J45" s="83">
        <f t="shared" si="40"/>
        <v>-3781</v>
      </c>
      <c r="K45" s="83">
        <f t="shared" si="40"/>
        <v>10200</v>
      </c>
      <c r="L45" s="83">
        <f t="shared" si="40"/>
        <v>-3000</v>
      </c>
      <c r="M45" s="83">
        <f t="shared" si="40"/>
        <v>3700</v>
      </c>
      <c r="N45" s="83">
        <f t="shared" si="40"/>
        <v>-2150</v>
      </c>
      <c r="O45" s="83">
        <f t="shared" si="40"/>
        <v>-5600</v>
      </c>
      <c r="P45" s="83">
        <f t="shared" si="40"/>
        <v>38049</v>
      </c>
      <c r="Q45" s="83">
        <f t="shared" si="40"/>
        <v>34899</v>
      </c>
      <c r="R45" s="83">
        <f t="shared" si="40"/>
        <v>3150</v>
      </c>
      <c r="S45" s="66"/>
      <c r="T45" s="83">
        <f>T34+T43</f>
        <v>34340</v>
      </c>
      <c r="U45" s="83">
        <f>U34+U43</f>
        <v>23600</v>
      </c>
      <c r="V45" s="83">
        <f>V34+V43</f>
        <v>10740</v>
      </c>
      <c r="W45" s="66"/>
      <c r="X45" s="78"/>
      <c r="Y45" s="78"/>
      <c r="Z45" s="66"/>
      <c r="AA45" s="63" t="str">
        <f>A45</f>
        <v xml:space="preserve">            Net Cash Flow Before Corporate Adjustments</v>
      </c>
      <c r="AB45" s="83">
        <f>AB34+AB43</f>
        <v>38049</v>
      </c>
      <c r="AC45" s="83">
        <f>AC34+AC43</f>
        <v>42099</v>
      </c>
      <c r="AD45" s="83">
        <f>AD34+AD43</f>
        <v>-4050</v>
      </c>
      <c r="AE45" s="66"/>
      <c r="AF45" s="83">
        <f>AF34+AF43</f>
        <v>34340</v>
      </c>
      <c r="AG45" s="83">
        <f>AG34+AG43</f>
        <v>23600</v>
      </c>
      <c r="AH45" s="83">
        <f>AH34+AH43</f>
        <v>10740</v>
      </c>
      <c r="AI45" s="66"/>
      <c r="AJ45" s="83">
        <f>AJ34+AJ43</f>
        <v>18499</v>
      </c>
      <c r="AK45" s="83">
        <f>AK34+AK43</f>
        <v>3709</v>
      </c>
      <c r="AL45" s="66"/>
      <c r="AM45" s="83">
        <f>AM34+AM43</f>
        <v>12032</v>
      </c>
      <c r="AN45" s="83">
        <f>AN34+AN43</f>
        <v>26017</v>
      </c>
      <c r="AO45" s="66"/>
      <c r="AP45" s="83">
        <f>AP34+AP43</f>
        <v>24882</v>
      </c>
      <c r="AQ45" s="83">
        <f>AQ34+AQ43</f>
        <v>17217</v>
      </c>
      <c r="AR45" s="66"/>
      <c r="AS45" s="66"/>
      <c r="AT45" s="66"/>
      <c r="AU45" s="66"/>
    </row>
    <row r="46" spans="1:47" ht="6" customHeight="1" x14ac:dyDescent="0.25">
      <c r="A46" s="9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</row>
    <row r="47" spans="1:47" ht="13.2" x14ac:dyDescent="0.25">
      <c r="A47" s="110" t="s">
        <v>471</v>
      </c>
      <c r="B47" s="66"/>
      <c r="C47" s="66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66"/>
      <c r="Q47" s="66"/>
      <c r="R47" s="66"/>
      <c r="S47" s="66"/>
      <c r="T47" s="78"/>
      <c r="U47" s="66"/>
      <c r="V47" s="66"/>
      <c r="W47" s="66"/>
      <c r="X47" s="66"/>
      <c r="Y47" s="66"/>
      <c r="Z47" s="66"/>
      <c r="AA47" s="63" t="str">
        <f>A47</f>
        <v>OTHER ITEMS AFFECTING INTERCO. (CORP.) BALANCE</v>
      </c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79"/>
      <c r="AN47" s="66"/>
      <c r="AO47" s="66"/>
      <c r="AP47" s="79"/>
      <c r="AQ47" s="66"/>
      <c r="AR47" s="66"/>
      <c r="AS47" s="66"/>
      <c r="AT47" s="66"/>
      <c r="AU47" s="66"/>
    </row>
    <row r="48" spans="1:47" ht="13.2" x14ac:dyDescent="0.25">
      <c r="A48" s="103" t="s">
        <v>472</v>
      </c>
      <c r="B48" s="66"/>
      <c r="C48" s="66"/>
      <c r="D48" s="78">
        <f>BACKUP!D471</f>
        <v>0</v>
      </c>
      <c r="E48" s="78">
        <f>BACKUP!E471</f>
        <v>0</v>
      </c>
      <c r="F48" s="78">
        <f>BACKUP!F471</f>
        <v>0</v>
      </c>
      <c r="G48" s="78">
        <f>BACKUP!G471</f>
        <v>0</v>
      </c>
      <c r="H48" s="78">
        <f>BACKUP!H471</f>
        <v>0</v>
      </c>
      <c r="I48" s="78">
        <f>BACKUP!I471</f>
        <v>0</v>
      </c>
      <c r="J48" s="78">
        <f>BACKUP!J471</f>
        <v>0</v>
      </c>
      <c r="K48" s="78">
        <f>BACKUP!K471</f>
        <v>0</v>
      </c>
      <c r="L48" s="78">
        <f>BACKUP!L471</f>
        <v>0</v>
      </c>
      <c r="M48" s="78">
        <f>BACKUP!M471</f>
        <v>0</v>
      </c>
      <c r="N48" s="78">
        <f>BACKUP!N471</f>
        <v>0</v>
      </c>
      <c r="O48" s="78">
        <f>BACKUP!O471</f>
        <v>0</v>
      </c>
      <c r="P48" s="78">
        <f>SUM(D48:O48)</f>
        <v>0</v>
      </c>
      <c r="Q48" s="79">
        <f>SUM(D48:J48)</f>
        <v>0</v>
      </c>
      <c r="R48" s="78">
        <f>P48-Q48</f>
        <v>0</v>
      </c>
      <c r="S48" s="66"/>
      <c r="T48" s="79">
        <v>0</v>
      </c>
      <c r="U48" s="79">
        <v>0</v>
      </c>
      <c r="V48" s="78">
        <f>T48-U48</f>
        <v>0</v>
      </c>
      <c r="W48" s="66"/>
      <c r="X48" s="78"/>
      <c r="Y48" s="78"/>
      <c r="Z48" s="66"/>
      <c r="AA48" s="66" t="str">
        <f>A48</f>
        <v xml:space="preserve">   Dividends Transferred to Corporate</v>
      </c>
      <c r="AB48" s="78">
        <f>P48</f>
        <v>0</v>
      </c>
      <c r="AC48" s="79">
        <f>SUM(D48:L48)</f>
        <v>0</v>
      </c>
      <c r="AD48" s="78">
        <f>AB48-AC48</f>
        <v>0</v>
      </c>
      <c r="AE48" s="66"/>
      <c r="AF48" s="78">
        <f t="shared" ref="AF48:AG51" si="41">T48</f>
        <v>0</v>
      </c>
      <c r="AG48" s="78">
        <f t="shared" si="41"/>
        <v>0</v>
      </c>
      <c r="AH48" s="78">
        <f>AF48-AG48</f>
        <v>0</v>
      </c>
      <c r="AI48" s="66"/>
      <c r="AJ48" s="78">
        <f>AC48-AG48</f>
        <v>0</v>
      </c>
      <c r="AK48" s="78">
        <f>AB48-AF48</f>
        <v>0</v>
      </c>
      <c r="AL48" s="66"/>
      <c r="AM48" s="79">
        <v>0</v>
      </c>
      <c r="AN48" s="78">
        <f>AB48-AM48</f>
        <v>0</v>
      </c>
      <c r="AO48" s="66"/>
      <c r="AP48" s="79">
        <v>0</v>
      </c>
      <c r="AQ48" s="78">
        <f>AC48-AP48</f>
        <v>0</v>
      </c>
      <c r="AR48" s="66"/>
      <c r="AS48" s="66"/>
      <c r="AT48" s="66"/>
      <c r="AU48" s="66"/>
    </row>
    <row r="49" spans="1:47" ht="13.2" x14ac:dyDescent="0.25">
      <c r="A49" s="103" t="s">
        <v>40</v>
      </c>
      <c r="B49" s="66"/>
      <c r="C49" s="66"/>
      <c r="D49" s="216">
        <v>0</v>
      </c>
      <c r="E49" s="216">
        <v>0</v>
      </c>
      <c r="F49" s="216">
        <v>0</v>
      </c>
      <c r="G49" s="216">
        <v>0</v>
      </c>
      <c r="H49" s="216">
        <v>0</v>
      </c>
      <c r="I49" s="216">
        <v>0</v>
      </c>
      <c r="J49" s="216">
        <v>0</v>
      </c>
      <c r="K49" s="216">
        <v>0</v>
      </c>
      <c r="L49" s="216">
        <v>0</v>
      </c>
      <c r="M49" s="216">
        <v>0</v>
      </c>
      <c r="N49" s="216">
        <v>0</v>
      </c>
      <c r="O49" s="216">
        <v>0</v>
      </c>
      <c r="P49" s="78">
        <f>SUM(D49:O49)</f>
        <v>0</v>
      </c>
      <c r="Q49" s="79">
        <f>SUM(D49:J49)</f>
        <v>0</v>
      </c>
      <c r="R49" s="78">
        <f>P49-Q49</f>
        <v>0</v>
      </c>
      <c r="S49" s="66"/>
      <c r="T49" s="79">
        <v>0</v>
      </c>
      <c r="U49" s="79">
        <v>0</v>
      </c>
      <c r="V49" s="78">
        <f>T49-U49</f>
        <v>0</v>
      </c>
      <c r="W49" s="66"/>
      <c r="X49" s="78"/>
      <c r="Y49" s="78"/>
      <c r="Z49" s="66"/>
      <c r="AA49" s="66" t="str">
        <f>A49</f>
        <v xml:space="preserve">   Other</v>
      </c>
      <c r="AB49" s="78">
        <f>P49</f>
        <v>0</v>
      </c>
      <c r="AC49" s="79">
        <f>SUM(D49:L49)</f>
        <v>0</v>
      </c>
      <c r="AD49" s="78">
        <f>AB49-AC49</f>
        <v>0</v>
      </c>
      <c r="AE49" s="66"/>
      <c r="AF49" s="78">
        <f t="shared" si="41"/>
        <v>0</v>
      </c>
      <c r="AG49" s="78">
        <f t="shared" si="41"/>
        <v>0</v>
      </c>
      <c r="AH49" s="78">
        <f>AF49-AG49</f>
        <v>0</v>
      </c>
      <c r="AI49" s="66"/>
      <c r="AJ49" s="78">
        <f>AC49-AG49</f>
        <v>0</v>
      </c>
      <c r="AK49" s="78">
        <f>AB49-AF49</f>
        <v>0</v>
      </c>
      <c r="AL49" s="66"/>
      <c r="AM49" s="79">
        <v>0</v>
      </c>
      <c r="AN49" s="78">
        <f>AB49-AM49</f>
        <v>0</v>
      </c>
      <c r="AO49" s="66"/>
      <c r="AP49" s="79">
        <v>0</v>
      </c>
      <c r="AQ49" s="78">
        <f>AC49-AP49</f>
        <v>0</v>
      </c>
      <c r="AR49" s="66"/>
      <c r="AS49" s="66"/>
      <c r="AT49" s="66"/>
      <c r="AU49" s="66"/>
    </row>
    <row r="50" spans="1:47" ht="13.2" x14ac:dyDescent="0.25">
      <c r="A50" s="103" t="s">
        <v>473</v>
      </c>
      <c r="B50" s="66"/>
      <c r="C50" s="66"/>
      <c r="D50" s="78">
        <f ca="1">SUM(BACKUP!D456:'BACKUP'!D459,0)</f>
        <v>0</v>
      </c>
      <c r="E50" s="78">
        <f ca="1">SUM(BACKUP!E456:'BACKUP'!E459,0)</f>
        <v>0</v>
      </c>
      <c r="F50" s="78">
        <f ca="1">SUM(BACKUP!F456:'BACKUP'!F459,0)</f>
        <v>0</v>
      </c>
      <c r="G50" s="78">
        <f ca="1">SUM(BACKUP!G456:'BACKUP'!G459,0)</f>
        <v>0</v>
      </c>
      <c r="H50" s="78">
        <f ca="1">SUM(BACKUP!H456:'BACKUP'!H459,0)</f>
        <v>0</v>
      </c>
      <c r="I50" s="78">
        <f ca="1">SUM(BACKUP!I456:'BACKUP'!I459,0)</f>
        <v>-150000</v>
      </c>
      <c r="J50" s="78">
        <f ca="1">SUM(BACKUP!J456:'BACKUP'!J459,0)</f>
        <v>0</v>
      </c>
      <c r="K50" s="78">
        <f ca="1">SUM(BACKUP!K456:'BACKUP'!K459,0)</f>
        <v>0</v>
      </c>
      <c r="L50" s="78">
        <f ca="1">SUM(BACKUP!L456:'BACKUP'!L459,0)</f>
        <v>0</v>
      </c>
      <c r="M50" s="78">
        <f ca="1">SUM(BACKUP!M456:'BACKUP'!M459,0)</f>
        <v>0</v>
      </c>
      <c r="N50" s="78">
        <f ca="1">SUM(BACKUP!N456:'BACKUP'!N459,0)</f>
        <v>-3850</v>
      </c>
      <c r="O50" s="78">
        <f ca="1">SUM(BACKUP!O456:'BACKUP'!O459,0)</f>
        <v>0</v>
      </c>
      <c r="P50" s="78">
        <f ca="1">SUM(D50:O50)</f>
        <v>-153850</v>
      </c>
      <c r="Q50" s="79">
        <f ca="1">SUM(D50:J50)</f>
        <v>-150000</v>
      </c>
      <c r="R50" s="78">
        <f ca="1">P50-Q50</f>
        <v>-3850</v>
      </c>
      <c r="S50" s="66"/>
      <c r="T50" s="79">
        <v>-3850</v>
      </c>
      <c r="U50" s="79">
        <v>0</v>
      </c>
      <c r="V50" s="78">
        <f>T50-U50</f>
        <v>-3850</v>
      </c>
      <c r="W50" s="66"/>
      <c r="X50" s="66"/>
      <c r="Y50" s="66"/>
      <c r="Z50" s="66"/>
      <c r="AA50" s="66" t="str">
        <f>A50</f>
        <v xml:space="preserve">   Inc. / (Dec.) in Long-Term Debt  (External)</v>
      </c>
      <c r="AB50" s="78">
        <f ca="1">P50</f>
        <v>-153850</v>
      </c>
      <c r="AC50" s="79">
        <f ca="1">SUM(D50:L50)</f>
        <v>-150000</v>
      </c>
      <c r="AD50" s="78">
        <f ca="1">AB50-AC50</f>
        <v>-3850</v>
      </c>
      <c r="AE50" s="66"/>
      <c r="AF50" s="78">
        <f t="shared" si="41"/>
        <v>-3850</v>
      </c>
      <c r="AG50" s="78">
        <f t="shared" si="41"/>
        <v>0</v>
      </c>
      <c r="AH50" s="78">
        <f>AF50-AG50</f>
        <v>-3850</v>
      </c>
      <c r="AI50" s="66"/>
      <c r="AJ50" s="78">
        <f ca="1">AC50-AG50</f>
        <v>-150000</v>
      </c>
      <c r="AK50" s="78">
        <f ca="1">AB50-AF50</f>
        <v>-150000</v>
      </c>
      <c r="AL50" s="66"/>
      <c r="AM50" s="79">
        <v>-153850</v>
      </c>
      <c r="AN50" s="78">
        <f ca="1">AB50-AM50</f>
        <v>0</v>
      </c>
      <c r="AO50" s="66"/>
      <c r="AP50" s="79">
        <v>-150000</v>
      </c>
      <c r="AQ50" s="78">
        <f ca="1">AC50-AP50</f>
        <v>0</v>
      </c>
      <c r="AR50" s="66"/>
      <c r="AS50" s="66"/>
      <c r="AT50" s="66"/>
      <c r="AU50" s="66"/>
    </row>
    <row r="51" spans="1:47" ht="13.2" x14ac:dyDescent="0.25">
      <c r="A51" s="103" t="s">
        <v>474</v>
      </c>
      <c r="B51" s="66"/>
      <c r="C51" s="66"/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83">
        <f>SUM(D51:O51)</f>
        <v>0</v>
      </c>
      <c r="Q51" s="101">
        <f>SUM(D51:J51)</f>
        <v>0</v>
      </c>
      <c r="R51" s="83">
        <f>P51-Q51</f>
        <v>0</v>
      </c>
      <c r="S51" s="66"/>
      <c r="T51" s="101">
        <v>0</v>
      </c>
      <c r="U51" s="101">
        <v>0</v>
      </c>
      <c r="V51" s="83">
        <f>T51-U51</f>
        <v>0</v>
      </c>
      <c r="W51" s="66"/>
      <c r="X51" s="66"/>
      <c r="Y51" s="66"/>
      <c r="Z51" s="66"/>
      <c r="AA51" s="66" t="str">
        <f>A51</f>
        <v xml:space="preserve">   Inc. / (Dec.) in Sale of Receivables</v>
      </c>
      <c r="AB51" s="83">
        <f>P51</f>
        <v>0</v>
      </c>
      <c r="AC51" s="101">
        <f>SUM(D51:L51)</f>
        <v>0</v>
      </c>
      <c r="AD51" s="83">
        <f>AB51-AC51</f>
        <v>0</v>
      </c>
      <c r="AE51" s="66"/>
      <c r="AF51" s="83">
        <f t="shared" si="41"/>
        <v>0</v>
      </c>
      <c r="AG51" s="83">
        <f t="shared" si="41"/>
        <v>0</v>
      </c>
      <c r="AH51" s="83">
        <f>AF51-AG51</f>
        <v>0</v>
      </c>
      <c r="AI51" s="66"/>
      <c r="AJ51" s="83">
        <f>AC51-AG51</f>
        <v>0</v>
      </c>
      <c r="AK51" s="83">
        <f>AB51-AF51</f>
        <v>0</v>
      </c>
      <c r="AL51" s="66"/>
      <c r="AM51" s="101">
        <v>0</v>
      </c>
      <c r="AN51" s="83">
        <f>AB51-AM51</f>
        <v>0</v>
      </c>
      <c r="AO51" s="66"/>
      <c r="AP51" s="101">
        <v>0</v>
      </c>
      <c r="AQ51" s="83">
        <f>AC51-AP51</f>
        <v>0</v>
      </c>
      <c r="AR51" s="66"/>
      <c r="AS51" s="66"/>
      <c r="AT51" s="66"/>
      <c r="AU51" s="66"/>
    </row>
    <row r="52" spans="1:47" ht="3.9" customHeight="1" x14ac:dyDescent="0.25">
      <c r="A52" s="97"/>
      <c r="B52" s="66"/>
      <c r="C52" s="66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66"/>
      <c r="T52" s="78"/>
      <c r="U52" s="78"/>
      <c r="V52" s="78"/>
      <c r="W52" s="66"/>
      <c r="X52" s="78"/>
      <c r="Y52" s="78"/>
      <c r="Z52" s="66"/>
      <c r="AA52" s="66"/>
      <c r="AB52" s="78"/>
      <c r="AC52" s="78"/>
      <c r="AD52" s="78"/>
      <c r="AE52" s="66"/>
      <c r="AF52" s="78"/>
      <c r="AG52" s="78"/>
      <c r="AH52" s="78"/>
      <c r="AI52" s="66"/>
      <c r="AJ52" s="78"/>
      <c r="AK52" s="78"/>
      <c r="AL52" s="66"/>
      <c r="AM52" s="78"/>
      <c r="AN52" s="78"/>
      <c r="AO52" s="66"/>
      <c r="AP52" s="78"/>
      <c r="AQ52" s="78"/>
      <c r="AR52" s="66"/>
      <c r="AS52" s="66"/>
      <c r="AT52" s="66"/>
      <c r="AU52" s="66"/>
    </row>
    <row r="53" spans="1:47" ht="13.2" x14ac:dyDescent="0.25">
      <c r="A53" s="109" t="s">
        <v>475</v>
      </c>
      <c r="B53" s="66"/>
      <c r="C53" s="66"/>
      <c r="D53" s="83">
        <f t="shared" ref="D53:R53" ca="1" si="42">SUM(D48:D52)</f>
        <v>0</v>
      </c>
      <c r="E53" s="83">
        <f t="shared" ca="1" si="42"/>
        <v>0</v>
      </c>
      <c r="F53" s="83">
        <f t="shared" ca="1" si="42"/>
        <v>0</v>
      </c>
      <c r="G53" s="83">
        <f t="shared" ca="1" si="42"/>
        <v>0</v>
      </c>
      <c r="H53" s="83">
        <f t="shared" ca="1" si="42"/>
        <v>0</v>
      </c>
      <c r="I53" s="83">
        <f t="shared" ca="1" si="42"/>
        <v>-150000</v>
      </c>
      <c r="J53" s="83">
        <f t="shared" ca="1" si="42"/>
        <v>0</v>
      </c>
      <c r="K53" s="83">
        <f t="shared" ca="1" si="42"/>
        <v>0</v>
      </c>
      <c r="L53" s="83">
        <f t="shared" ca="1" si="42"/>
        <v>0</v>
      </c>
      <c r="M53" s="83">
        <f t="shared" ca="1" si="42"/>
        <v>0</v>
      </c>
      <c r="N53" s="83">
        <f t="shared" ca="1" si="42"/>
        <v>-3850</v>
      </c>
      <c r="O53" s="83">
        <f t="shared" ca="1" si="42"/>
        <v>0</v>
      </c>
      <c r="P53" s="83">
        <f t="shared" ca="1" si="42"/>
        <v>-153850</v>
      </c>
      <c r="Q53" s="83">
        <f t="shared" ca="1" si="42"/>
        <v>-150000</v>
      </c>
      <c r="R53" s="83">
        <f t="shared" ca="1" si="42"/>
        <v>-3850</v>
      </c>
      <c r="S53" s="66"/>
      <c r="T53" s="83">
        <f>SUM(T48:T52)</f>
        <v>-3850</v>
      </c>
      <c r="U53" s="83">
        <f>SUM(U48:U52)</f>
        <v>0</v>
      </c>
      <c r="V53" s="83">
        <f>SUM(V48:V52)</f>
        <v>-3850</v>
      </c>
      <c r="W53" s="66"/>
      <c r="X53" s="78"/>
      <c r="Y53" s="78"/>
      <c r="Z53" s="66"/>
      <c r="AA53" s="63" t="str">
        <f>A53</f>
        <v xml:space="preserve">      Total Items Affecting Intercompany (Corp.) Balance</v>
      </c>
      <c r="AB53" s="83">
        <f ca="1">SUM(AB48:AB52)</f>
        <v>-153850</v>
      </c>
      <c r="AC53" s="83">
        <f ca="1">SUM(AC48:AC52)</f>
        <v>-150000</v>
      </c>
      <c r="AD53" s="83">
        <f ca="1">SUM(AD48:AD52)</f>
        <v>-3850</v>
      </c>
      <c r="AE53" s="66"/>
      <c r="AF53" s="83">
        <f>SUM(AF48:AF52)</f>
        <v>-3850</v>
      </c>
      <c r="AG53" s="83">
        <f>SUM(AG48:AG52)</f>
        <v>0</v>
      </c>
      <c r="AH53" s="83">
        <f>SUM(AH48:AH52)</f>
        <v>-3850</v>
      </c>
      <c r="AI53" s="66"/>
      <c r="AJ53" s="83">
        <f ca="1">SUM(AJ48:AJ52)</f>
        <v>-150000</v>
      </c>
      <c r="AK53" s="83">
        <f ca="1">SUM(AK48:AK52)</f>
        <v>-150000</v>
      </c>
      <c r="AL53" s="66"/>
      <c r="AM53" s="83">
        <f>SUM(AM48:AM52)</f>
        <v>-153850</v>
      </c>
      <c r="AN53" s="83">
        <f ca="1">SUM(AN48:AN52)</f>
        <v>0</v>
      </c>
      <c r="AO53" s="66"/>
      <c r="AP53" s="83">
        <f>SUM(AP48:AP52)</f>
        <v>-150000</v>
      </c>
      <c r="AQ53" s="83">
        <f ca="1">SUM(AQ48:AQ52)</f>
        <v>0</v>
      </c>
      <c r="AR53" s="66"/>
      <c r="AS53" s="66"/>
      <c r="AT53" s="66"/>
      <c r="AU53" s="66"/>
    </row>
    <row r="54" spans="1:47" ht="6" customHeight="1" x14ac:dyDescent="0.25">
      <c r="A54" s="97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79"/>
      <c r="AN54" s="66"/>
      <c r="AO54" s="66"/>
      <c r="AP54" s="79"/>
      <c r="AQ54" s="66"/>
      <c r="AR54" s="66"/>
      <c r="AS54" s="66"/>
      <c r="AT54" s="66"/>
      <c r="AU54" s="66"/>
    </row>
    <row r="55" spans="1:47" ht="13.2" x14ac:dyDescent="0.25">
      <c r="A55" s="109" t="s">
        <v>476</v>
      </c>
      <c r="B55" s="66"/>
      <c r="C55" s="66"/>
      <c r="D55" s="78">
        <f ca="1">D45+D53</f>
        <v>10623</v>
      </c>
      <c r="E55" s="78">
        <f t="shared" ref="E55:T55" ca="1" si="43">E45+E53</f>
        <v>10355</v>
      </c>
      <c r="F55" s="78">
        <f t="shared" ca="1" si="43"/>
        <v>14674</v>
      </c>
      <c r="G55" s="78">
        <f t="shared" ca="1" si="43"/>
        <v>-5986</v>
      </c>
      <c r="H55" s="78">
        <f t="shared" ca="1" si="43"/>
        <v>-9459</v>
      </c>
      <c r="I55" s="78">
        <f t="shared" ca="1" si="43"/>
        <v>-131527</v>
      </c>
      <c r="J55" s="78">
        <f t="shared" ca="1" si="43"/>
        <v>-3781</v>
      </c>
      <c r="K55" s="78">
        <f t="shared" ca="1" si="43"/>
        <v>10200</v>
      </c>
      <c r="L55" s="78">
        <f t="shared" ca="1" si="43"/>
        <v>-3000</v>
      </c>
      <c r="M55" s="78">
        <f t="shared" ca="1" si="43"/>
        <v>3700</v>
      </c>
      <c r="N55" s="78">
        <f t="shared" ca="1" si="43"/>
        <v>-6000</v>
      </c>
      <c r="O55" s="78">
        <f t="shared" ca="1" si="43"/>
        <v>-5600</v>
      </c>
      <c r="P55" s="78">
        <f t="shared" ca="1" si="43"/>
        <v>-115801</v>
      </c>
      <c r="Q55" s="78">
        <f t="shared" ca="1" si="43"/>
        <v>-115101</v>
      </c>
      <c r="R55" s="78">
        <f t="shared" ca="1" si="43"/>
        <v>-700</v>
      </c>
      <c r="S55" s="66"/>
      <c r="T55" s="78">
        <f t="shared" si="43"/>
        <v>30490</v>
      </c>
      <c r="U55" s="78">
        <f>U45+U53</f>
        <v>23600</v>
      </c>
      <c r="V55" s="78">
        <f>V45+V53</f>
        <v>6890</v>
      </c>
      <c r="W55" s="66"/>
      <c r="X55" s="66"/>
      <c r="Y55" s="66"/>
      <c r="Z55" s="66"/>
      <c r="AA55" s="63" t="str">
        <f>A55</f>
        <v>INCREASE / (DECREASE) IN INTERCOMPANY CASH</v>
      </c>
      <c r="AB55" s="78">
        <f t="shared" ref="AB55:AQ55" ca="1" si="44">AB45+AB53</f>
        <v>-115801</v>
      </c>
      <c r="AC55" s="78">
        <f t="shared" ca="1" si="44"/>
        <v>-107901</v>
      </c>
      <c r="AD55" s="78">
        <f t="shared" ca="1" si="44"/>
        <v>-7900</v>
      </c>
      <c r="AE55" s="66"/>
      <c r="AF55" s="78">
        <f t="shared" si="44"/>
        <v>30490</v>
      </c>
      <c r="AG55" s="78">
        <f t="shared" si="44"/>
        <v>23600</v>
      </c>
      <c r="AH55" s="78">
        <f t="shared" si="44"/>
        <v>6890</v>
      </c>
      <c r="AI55" s="66"/>
      <c r="AJ55" s="78">
        <f t="shared" ca="1" si="44"/>
        <v>-131501</v>
      </c>
      <c r="AK55" s="78">
        <f t="shared" ca="1" si="44"/>
        <v>-146291</v>
      </c>
      <c r="AL55" s="66"/>
      <c r="AM55" s="78">
        <f t="shared" si="44"/>
        <v>-141818</v>
      </c>
      <c r="AN55" s="78">
        <f t="shared" ca="1" si="44"/>
        <v>26017</v>
      </c>
      <c r="AO55" s="66"/>
      <c r="AP55" s="78">
        <f t="shared" si="44"/>
        <v>-125118</v>
      </c>
      <c r="AQ55" s="78">
        <f t="shared" ca="1" si="44"/>
        <v>17217</v>
      </c>
      <c r="AR55" s="66"/>
      <c r="AS55" s="66"/>
      <c r="AT55" s="66"/>
      <c r="AU55" s="66"/>
    </row>
    <row r="56" spans="1:47" ht="6" customHeight="1" x14ac:dyDescent="0.25">
      <c r="A56" s="97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</row>
    <row r="57" spans="1:47" ht="13.2" x14ac:dyDescent="0.25">
      <c r="A57" s="109" t="s">
        <v>477</v>
      </c>
      <c r="B57" s="66"/>
      <c r="C57" s="66"/>
      <c r="D57" s="82">
        <f>-BACKUP!D464</f>
        <v>0</v>
      </c>
      <c r="E57" s="82">
        <f>-BACKUP!E464</f>
        <v>0</v>
      </c>
      <c r="F57" s="82">
        <f>-BACKUP!F464</f>
        <v>0</v>
      </c>
      <c r="G57" s="82">
        <f>-BACKUP!G464</f>
        <v>0</v>
      </c>
      <c r="H57" s="82">
        <f>-BACKUP!H464</f>
        <v>0</v>
      </c>
      <c r="I57" s="82">
        <f>-BACKUP!I464</f>
        <v>150000</v>
      </c>
      <c r="J57" s="82">
        <f>-BACKUP!J464</f>
        <v>0</v>
      </c>
      <c r="K57" s="82">
        <f>-BACKUP!K464</f>
        <v>0</v>
      </c>
      <c r="L57" s="82">
        <f>-BACKUP!L464</f>
        <v>0</v>
      </c>
      <c r="M57" s="82">
        <f>-BACKUP!M464</f>
        <v>0</v>
      </c>
      <c r="N57" s="82">
        <f>-BACKUP!N464</f>
        <v>3850</v>
      </c>
      <c r="O57" s="82">
        <f>-BACKUP!O464</f>
        <v>0</v>
      </c>
      <c r="P57" s="83">
        <f>SUM(D57:O57)</f>
        <v>153850</v>
      </c>
      <c r="Q57" s="101">
        <f>SUM(D57:J57)</f>
        <v>150000</v>
      </c>
      <c r="R57" s="83">
        <f>P57-Q57</f>
        <v>3850</v>
      </c>
      <c r="S57" s="66"/>
      <c r="T57" s="101">
        <v>3850</v>
      </c>
      <c r="U57" s="101">
        <v>0</v>
      </c>
      <c r="V57" s="83">
        <f>T57-U57</f>
        <v>3850</v>
      </c>
      <c r="W57" s="66"/>
      <c r="X57" s="66"/>
      <c r="Y57" s="66"/>
      <c r="Z57" s="66"/>
      <c r="AA57" s="63" t="str">
        <f>A57</f>
        <v xml:space="preserve">      Change in Other Obligations</v>
      </c>
      <c r="AB57" s="83">
        <f>P57</f>
        <v>153850</v>
      </c>
      <c r="AC57" s="101">
        <f>SUM(D57:L57)</f>
        <v>150000</v>
      </c>
      <c r="AD57" s="83">
        <f>AB57-AC57</f>
        <v>3850</v>
      </c>
      <c r="AE57" s="66"/>
      <c r="AF57" s="83">
        <f>T57</f>
        <v>3850</v>
      </c>
      <c r="AG57" s="83">
        <f>U57</f>
        <v>0</v>
      </c>
      <c r="AH57" s="83">
        <f>AF57-AG57</f>
        <v>3850</v>
      </c>
      <c r="AI57" s="66"/>
      <c r="AJ57" s="83">
        <f>AC57-AG57</f>
        <v>150000</v>
      </c>
      <c r="AK57" s="83">
        <f>AB57-AF57</f>
        <v>150000</v>
      </c>
      <c r="AL57" s="66"/>
      <c r="AM57" s="101">
        <v>153850</v>
      </c>
      <c r="AN57" s="83">
        <f>AB57-AM57</f>
        <v>0</v>
      </c>
      <c r="AO57" s="66"/>
      <c r="AP57" s="101">
        <v>150000</v>
      </c>
      <c r="AQ57" s="83">
        <f>AC57-AP57</f>
        <v>0</v>
      </c>
      <c r="AR57" s="66"/>
      <c r="AS57" s="66"/>
      <c r="AT57" s="66"/>
      <c r="AU57" s="66"/>
    </row>
    <row r="58" spans="1:47" ht="6" customHeight="1" x14ac:dyDescent="0.25">
      <c r="A58" s="97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</row>
    <row r="59" spans="1:47" ht="13.2" x14ac:dyDescent="0.25">
      <c r="A59" s="109" t="s">
        <v>478</v>
      </c>
      <c r="B59" s="66"/>
      <c r="C59" s="66"/>
      <c r="D59" s="85">
        <f t="shared" ref="D59:R59" ca="1" si="45">D55+D57</f>
        <v>10623</v>
      </c>
      <c r="E59" s="85">
        <f t="shared" ca="1" si="45"/>
        <v>10355</v>
      </c>
      <c r="F59" s="85">
        <f t="shared" ca="1" si="45"/>
        <v>14674</v>
      </c>
      <c r="G59" s="85">
        <f t="shared" ca="1" si="45"/>
        <v>-5986</v>
      </c>
      <c r="H59" s="85">
        <f t="shared" ca="1" si="45"/>
        <v>-9459</v>
      </c>
      <c r="I59" s="85">
        <f t="shared" ca="1" si="45"/>
        <v>18473</v>
      </c>
      <c r="J59" s="85">
        <f t="shared" ca="1" si="45"/>
        <v>-3781</v>
      </c>
      <c r="K59" s="85">
        <f t="shared" ca="1" si="45"/>
        <v>10200</v>
      </c>
      <c r="L59" s="85">
        <f t="shared" ca="1" si="45"/>
        <v>-3000</v>
      </c>
      <c r="M59" s="85">
        <f t="shared" ca="1" si="45"/>
        <v>3700</v>
      </c>
      <c r="N59" s="85">
        <f t="shared" ca="1" si="45"/>
        <v>-2150</v>
      </c>
      <c r="O59" s="85">
        <f t="shared" ca="1" si="45"/>
        <v>-5600</v>
      </c>
      <c r="P59" s="85">
        <f t="shared" ca="1" si="45"/>
        <v>38049</v>
      </c>
      <c r="Q59" s="85">
        <f t="shared" ca="1" si="45"/>
        <v>34899</v>
      </c>
      <c r="R59" s="85">
        <f t="shared" ca="1" si="45"/>
        <v>3150</v>
      </c>
      <c r="S59" s="66"/>
      <c r="T59" s="85">
        <f>T55+T57</f>
        <v>34340</v>
      </c>
      <c r="U59" s="85">
        <f>U55+U57</f>
        <v>23600</v>
      </c>
      <c r="V59" s="85">
        <f>V55+V57</f>
        <v>10740</v>
      </c>
      <c r="W59" s="66"/>
      <c r="X59" s="66"/>
      <c r="Y59" s="66"/>
      <c r="Z59" s="66"/>
      <c r="AA59" s="63" t="str">
        <f>A59</f>
        <v>INCREASE / (DECREASE) IN TOTAL OBLIGATIONS</v>
      </c>
      <c r="AB59" s="85">
        <f ca="1">AB55+AB57</f>
        <v>38049</v>
      </c>
      <c r="AC59" s="85">
        <f ca="1">AC55+AC57</f>
        <v>42099</v>
      </c>
      <c r="AD59" s="85">
        <f ca="1">AD55+AD57</f>
        <v>-4050</v>
      </c>
      <c r="AE59" s="66"/>
      <c r="AF59" s="85">
        <f>AF55+AF57</f>
        <v>34340</v>
      </c>
      <c r="AG59" s="85">
        <f>AG55+AG57</f>
        <v>23600</v>
      </c>
      <c r="AH59" s="85">
        <f>AH55+AH57</f>
        <v>10740</v>
      </c>
      <c r="AI59" s="66"/>
      <c r="AJ59" s="85">
        <f ca="1">AJ55+AJ57</f>
        <v>18499</v>
      </c>
      <c r="AK59" s="85">
        <f ca="1">AK55+AK57</f>
        <v>3709</v>
      </c>
      <c r="AL59" s="66"/>
      <c r="AM59" s="85">
        <f>AM55+AM57</f>
        <v>12032</v>
      </c>
      <c r="AN59" s="85">
        <f ca="1">AN55+AN57</f>
        <v>26017</v>
      </c>
      <c r="AO59" s="66"/>
      <c r="AP59" s="85">
        <f>AP55+AP57</f>
        <v>24882</v>
      </c>
      <c r="AQ59" s="85">
        <f ca="1">AQ55+AQ57</f>
        <v>17217</v>
      </c>
      <c r="AR59" s="66"/>
      <c r="AS59" s="66"/>
      <c r="AT59" s="66"/>
      <c r="AU59" s="66"/>
    </row>
    <row r="60" spans="1:47" ht="8.1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</row>
    <row r="61" spans="1:47" ht="13.2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</row>
    <row r="62" spans="1:47" ht="13.2" x14ac:dyDescent="0.25">
      <c r="A62" s="21" t="str">
        <f ca="1">A1</f>
        <v>P:\Finance\2001CE\[TW3rdCECF.xls]BACKUP</v>
      </c>
      <c r="B62" s="63"/>
      <c r="C62" s="63"/>
      <c r="D62" s="63"/>
      <c r="E62" s="63"/>
      <c r="F62" s="63"/>
      <c r="G62" s="63"/>
      <c r="H62" s="63"/>
      <c r="I62" s="105" t="str">
        <f>I1</f>
        <v>TRANSWESTERN PIPELINE GROUP (Including Co. 92)</v>
      </c>
      <c r="J62" s="105"/>
      <c r="K62" s="105"/>
      <c r="L62" s="105"/>
      <c r="M62" s="63"/>
      <c r="N62" s="63"/>
      <c r="O62" s="63"/>
      <c r="P62" s="63"/>
      <c r="Q62" s="63"/>
      <c r="R62" s="63"/>
      <c r="S62" s="63"/>
      <c r="T62" s="63"/>
      <c r="U62" s="63"/>
      <c r="V62" s="65">
        <f ca="1">NOW()</f>
        <v>37197.646944328706</v>
      </c>
      <c r="W62" s="66"/>
      <c r="X62" s="66"/>
      <c r="Y62" s="66"/>
      <c r="Z62" s="66"/>
      <c r="AA62" s="67" t="str">
        <f ca="1">A62</f>
        <v>P:\Finance\2001CE\[TW3rdCECF.xls]BACKUP</v>
      </c>
      <c r="AB62" s="63"/>
      <c r="AC62" s="63"/>
      <c r="AD62" s="105" t="str">
        <f>I62</f>
        <v>TRANSWESTERN PIPELINE GROUP (Including Co. 92)</v>
      </c>
      <c r="AE62" s="105"/>
      <c r="AF62" s="105"/>
      <c r="AG62" s="105"/>
      <c r="AH62" s="63"/>
      <c r="AI62" s="63"/>
      <c r="AJ62" s="63"/>
      <c r="AK62" s="68"/>
      <c r="AL62" s="63"/>
      <c r="AM62" s="63"/>
      <c r="AN62" s="66"/>
      <c r="AO62" s="66"/>
      <c r="AP62" s="66"/>
      <c r="AQ62" s="65">
        <f ca="1">NOW()</f>
        <v>37197.646944328706</v>
      </c>
      <c r="AR62" s="66"/>
      <c r="AS62" s="66"/>
      <c r="AT62" s="66"/>
      <c r="AU62" s="66"/>
    </row>
    <row r="63" spans="1:47" ht="13.2" x14ac:dyDescent="0.25">
      <c r="A63" s="69" t="s">
        <v>479</v>
      </c>
      <c r="B63" s="63"/>
      <c r="C63" s="63"/>
      <c r="D63" s="63"/>
      <c r="E63" s="63"/>
      <c r="F63" s="63"/>
      <c r="G63" s="63"/>
      <c r="H63" s="63"/>
      <c r="I63" s="182" t="s">
        <v>480</v>
      </c>
      <c r="J63" s="105"/>
      <c r="K63" s="105"/>
      <c r="L63" s="105"/>
      <c r="M63" s="63"/>
      <c r="N63" s="63"/>
      <c r="O63" s="63"/>
      <c r="P63" s="63"/>
      <c r="Q63" s="63"/>
      <c r="R63" s="63"/>
      <c r="S63" s="63"/>
      <c r="T63" s="63"/>
      <c r="U63" s="63"/>
      <c r="V63" s="70">
        <f ca="1">NOW()</f>
        <v>37197.646944328706</v>
      </c>
      <c r="W63" s="66"/>
      <c r="X63" s="66"/>
      <c r="Y63" s="66"/>
      <c r="Z63" s="66"/>
      <c r="AA63" s="21" t="s">
        <v>481</v>
      </c>
      <c r="AB63" s="63"/>
      <c r="AC63" s="63"/>
      <c r="AD63" s="105" t="str">
        <f>I63</f>
        <v>TOTAL OBLIGATIONS</v>
      </c>
      <c r="AE63" s="105"/>
      <c r="AF63" s="105"/>
      <c r="AG63" s="105"/>
      <c r="AH63" s="63"/>
      <c r="AI63" s="63"/>
      <c r="AJ63" s="63"/>
      <c r="AK63" s="71"/>
      <c r="AL63" s="63"/>
      <c r="AM63" s="63"/>
      <c r="AN63" s="66"/>
      <c r="AO63" s="66"/>
      <c r="AP63" s="66"/>
      <c r="AQ63" s="70">
        <f ca="1">NOW()</f>
        <v>37197.646944328706</v>
      </c>
      <c r="AR63" s="66"/>
      <c r="AS63" s="66"/>
      <c r="AT63" s="66"/>
      <c r="AU63" s="66"/>
    </row>
    <row r="64" spans="1:47" ht="13.2" x14ac:dyDescent="0.25">
      <c r="A64" s="71"/>
      <c r="B64" s="63"/>
      <c r="C64" s="63"/>
      <c r="D64" s="63"/>
      <c r="E64" s="63"/>
      <c r="F64" s="63"/>
      <c r="G64" s="63"/>
      <c r="H64" s="63"/>
      <c r="I64" s="105" t="str">
        <f>I3</f>
        <v>2001 ACTUAL / ESTIMATE</v>
      </c>
      <c r="J64" s="105"/>
      <c r="K64" s="105"/>
      <c r="L64" s="105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6"/>
      <c r="X64" s="66"/>
      <c r="Y64" s="66"/>
      <c r="Z64" s="66"/>
      <c r="AA64" s="71"/>
      <c r="AB64" s="63"/>
      <c r="AC64" s="63"/>
      <c r="AD64" s="105" t="str">
        <f>I64</f>
        <v>2001 ACTUAL / ESTIMATE</v>
      </c>
      <c r="AE64" s="105"/>
      <c r="AF64" s="105"/>
      <c r="AG64" s="105"/>
      <c r="AH64" s="63"/>
      <c r="AI64" s="63"/>
      <c r="AJ64" s="63"/>
      <c r="AK64" s="63"/>
      <c r="AL64" s="63"/>
      <c r="AM64" s="63"/>
      <c r="AN64" s="63"/>
      <c r="AO64" s="66"/>
      <c r="AP64" s="66"/>
      <c r="AQ64" s="66"/>
      <c r="AR64" s="66"/>
      <c r="AS64" s="66"/>
      <c r="AT64" s="66"/>
      <c r="AU64" s="66"/>
    </row>
    <row r="65" spans="1:47" ht="13.2" x14ac:dyDescent="0.25">
      <c r="A65" s="63"/>
      <c r="B65" s="63"/>
      <c r="C65" s="63"/>
      <c r="D65" s="63"/>
      <c r="E65" s="63"/>
      <c r="F65" s="63"/>
      <c r="G65" s="63"/>
      <c r="H65" s="63"/>
      <c r="I65" s="105" t="str">
        <f>I4</f>
        <v>(Thousands of Dollars)</v>
      </c>
      <c r="J65" s="105"/>
      <c r="K65" s="105"/>
      <c r="L65" s="105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6"/>
      <c r="X65" s="66"/>
      <c r="Y65" s="66"/>
      <c r="Z65" s="66"/>
      <c r="AA65" s="63"/>
      <c r="AB65" s="63"/>
      <c r="AC65" s="63"/>
      <c r="AD65" s="105" t="str">
        <f>I65</f>
        <v>(Thousands of Dollars)</v>
      </c>
      <c r="AE65" s="105"/>
      <c r="AF65" s="105"/>
      <c r="AG65" s="105"/>
      <c r="AH65" s="63"/>
      <c r="AI65" s="63"/>
      <c r="AJ65" s="63"/>
      <c r="AK65" s="63"/>
      <c r="AL65" s="63"/>
      <c r="AM65" s="63"/>
      <c r="AN65" s="63"/>
      <c r="AO65" s="66"/>
      <c r="AP65" s="66"/>
      <c r="AQ65" s="66"/>
      <c r="AR65" s="66"/>
      <c r="AS65" s="66"/>
      <c r="AT65" s="66"/>
      <c r="AU65" s="66"/>
    </row>
    <row r="66" spans="1:47" ht="13.2" x14ac:dyDescent="0.25">
      <c r="A66" s="63"/>
      <c r="B66" s="63"/>
      <c r="C66" s="63"/>
      <c r="D66" s="7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/>
      <c r="Q66" s="63"/>
      <c r="R66" s="63"/>
      <c r="S66" s="63"/>
      <c r="T66" s="73">
        <f>T5</f>
        <v>0</v>
      </c>
      <c r="U66" s="63"/>
      <c r="V66" s="73">
        <f>V5</f>
        <v>0</v>
      </c>
      <c r="W66" s="66"/>
      <c r="X66" s="66"/>
      <c r="Y66" s="66"/>
      <c r="Z66" s="66"/>
      <c r="AA66" s="63"/>
      <c r="AB66" s="63"/>
      <c r="AC66" s="63"/>
      <c r="AD66" s="63"/>
      <c r="AE66" s="63"/>
      <c r="AF66" s="73">
        <f>AF5</f>
        <v>0</v>
      </c>
      <c r="AG66" s="73"/>
      <c r="AH66" s="73">
        <f>AH5</f>
        <v>0</v>
      </c>
      <c r="AI66" s="63"/>
      <c r="AJ66" s="66"/>
      <c r="AK66" s="73">
        <f>AK5</f>
        <v>0</v>
      </c>
      <c r="AL66" s="63"/>
      <c r="AM66" s="66"/>
      <c r="AN66" s="63"/>
      <c r="AO66" s="66"/>
      <c r="AP66" s="190"/>
      <c r="AQ66" s="184"/>
      <c r="AR66" s="66"/>
      <c r="AS66" s="66"/>
      <c r="AT66" s="66"/>
      <c r="AU66" s="66"/>
    </row>
    <row r="67" spans="1:47" ht="13.2" x14ac:dyDescent="0.25">
      <c r="A67" s="63"/>
      <c r="B67" s="63"/>
      <c r="C67" s="63"/>
      <c r="D67" s="73" t="str">
        <f t="shared" ref="D67:R67" si="46">D6</f>
        <v>ACT.</v>
      </c>
      <c r="E67" s="73" t="str">
        <f t="shared" si="46"/>
        <v>ACT.</v>
      </c>
      <c r="F67" s="73" t="str">
        <f t="shared" si="46"/>
        <v>ACT.</v>
      </c>
      <c r="G67" s="73" t="str">
        <f t="shared" si="46"/>
        <v>ACT.</v>
      </c>
      <c r="H67" s="73" t="str">
        <f t="shared" si="46"/>
        <v>ACT.</v>
      </c>
      <c r="I67" s="73" t="str">
        <f t="shared" si="46"/>
        <v>ACT.</v>
      </c>
      <c r="J67" s="73" t="str">
        <f t="shared" si="46"/>
        <v>ACT.</v>
      </c>
      <c r="K67" s="73" t="str">
        <f t="shared" si="46"/>
        <v>ACT.</v>
      </c>
      <c r="L67" s="73" t="str">
        <f t="shared" si="46"/>
        <v>3rd CE</v>
      </c>
      <c r="M67" s="73" t="str">
        <f t="shared" si="46"/>
        <v>3rd CE</v>
      </c>
      <c r="N67" s="73" t="str">
        <f t="shared" si="46"/>
        <v>3rd CE</v>
      </c>
      <c r="O67" s="73" t="str">
        <f t="shared" si="46"/>
        <v>3rd CE</v>
      </c>
      <c r="P67" s="73" t="str">
        <f t="shared" si="46"/>
        <v>TOTAL</v>
      </c>
      <c r="Q67" s="73" t="str">
        <f t="shared" si="46"/>
        <v>JULY</v>
      </c>
      <c r="R67" s="73" t="str">
        <f t="shared" si="46"/>
        <v>ESTIMATED</v>
      </c>
      <c r="S67" s="63"/>
      <c r="T67" s="73" t="str">
        <f>T6</f>
        <v>PLAN</v>
      </c>
      <c r="U67" s="73" t="str">
        <f>U6</f>
        <v>SEPT.</v>
      </c>
      <c r="V67" s="73" t="str">
        <f>V6</f>
        <v>PLAN</v>
      </c>
      <c r="W67" s="66"/>
      <c r="X67" s="66"/>
      <c r="Y67" s="66"/>
      <c r="Z67" s="66"/>
      <c r="AA67" s="63"/>
      <c r="AB67" s="74" t="str">
        <f t="shared" ref="AB67:AD68" si="47">AB6</f>
        <v>TOTAL</v>
      </c>
      <c r="AC67" s="74" t="str">
        <f t="shared" si="47"/>
        <v>SEPT.</v>
      </c>
      <c r="AD67" s="74" t="str">
        <f t="shared" si="47"/>
        <v>ESTIMATED</v>
      </c>
      <c r="AE67" s="63"/>
      <c r="AF67" s="73" t="str">
        <f>AF6</f>
        <v>PLAN</v>
      </c>
      <c r="AG67" s="73" t="str">
        <f>AG6</f>
        <v>SEPT.</v>
      </c>
      <c r="AH67" s="73" t="str">
        <f>AH6</f>
        <v>PLAN</v>
      </c>
      <c r="AI67" s="105"/>
      <c r="AJ67" s="106" t="str">
        <f>AJ6</f>
        <v>ACT./EST. vs. PLAN</v>
      </c>
      <c r="AK67" s="75"/>
      <c r="AL67" s="63"/>
      <c r="AM67" s="106" t="str">
        <f>AM6</f>
        <v>2nd C.E.</v>
      </c>
      <c r="AN67" s="106"/>
      <c r="AO67" s="66"/>
      <c r="AP67" s="106" t="str">
        <f>AP6</f>
        <v>Sept. YTD</v>
      </c>
      <c r="AQ67" s="75"/>
      <c r="AR67" s="66"/>
      <c r="AS67" s="66"/>
      <c r="AT67" s="66"/>
      <c r="AU67" s="66"/>
    </row>
    <row r="68" spans="1:47" ht="12.9" customHeight="1" x14ac:dyDescent="0.25">
      <c r="A68" s="63"/>
      <c r="B68" s="63"/>
      <c r="C68" s="63"/>
      <c r="D68" s="76" t="str">
        <f t="shared" ref="D68:R68" si="48">D7</f>
        <v>JAN</v>
      </c>
      <c r="E68" s="76" t="str">
        <f t="shared" si="48"/>
        <v>FEB</v>
      </c>
      <c r="F68" s="76" t="str">
        <f t="shared" si="48"/>
        <v>MAR</v>
      </c>
      <c r="G68" s="76" t="str">
        <f t="shared" si="48"/>
        <v>APR</v>
      </c>
      <c r="H68" s="76" t="str">
        <f t="shared" si="48"/>
        <v>MAY</v>
      </c>
      <c r="I68" s="76" t="str">
        <f t="shared" si="48"/>
        <v>JUN</v>
      </c>
      <c r="J68" s="76" t="str">
        <f t="shared" si="48"/>
        <v>JUL</v>
      </c>
      <c r="K68" s="76" t="str">
        <f t="shared" si="48"/>
        <v>AUG</v>
      </c>
      <c r="L68" s="76" t="str">
        <f t="shared" si="48"/>
        <v>SEP</v>
      </c>
      <c r="M68" s="76" t="str">
        <f t="shared" si="48"/>
        <v>OCT</v>
      </c>
      <c r="N68" s="76" t="str">
        <f t="shared" si="48"/>
        <v>NOV</v>
      </c>
      <c r="O68" s="76" t="str">
        <f t="shared" si="48"/>
        <v>DEC</v>
      </c>
      <c r="P68" s="76">
        <f t="shared" si="48"/>
        <v>2001</v>
      </c>
      <c r="Q68" s="76" t="str">
        <f t="shared" si="48"/>
        <v>Y-T-D</v>
      </c>
      <c r="R68" s="76" t="str">
        <f t="shared" si="48"/>
        <v>R.M.</v>
      </c>
      <c r="S68" s="63"/>
      <c r="T68" s="76">
        <f>T7</f>
        <v>2001</v>
      </c>
      <c r="U68" s="76" t="str">
        <f>U7</f>
        <v>Y-T-D</v>
      </c>
      <c r="V68" s="76" t="str">
        <f>V7</f>
        <v>R.M.</v>
      </c>
      <c r="W68" s="66"/>
      <c r="X68" s="66"/>
      <c r="Y68" s="66"/>
      <c r="Z68" s="66"/>
      <c r="AA68" s="63"/>
      <c r="AB68" s="77">
        <f t="shared" si="47"/>
        <v>2001</v>
      </c>
      <c r="AC68" s="77" t="str">
        <f t="shared" si="47"/>
        <v>Y-T-D</v>
      </c>
      <c r="AD68" s="77" t="str">
        <f t="shared" si="47"/>
        <v>R.M.</v>
      </c>
      <c r="AE68" s="63"/>
      <c r="AF68" s="77">
        <f>AF7</f>
        <v>2001</v>
      </c>
      <c r="AG68" s="77" t="str">
        <f>AG7</f>
        <v>Y-T-D</v>
      </c>
      <c r="AH68" s="77" t="str">
        <f>AH7</f>
        <v>R.M.</v>
      </c>
      <c r="AI68" s="63"/>
      <c r="AJ68" s="77" t="str">
        <f>AJ7</f>
        <v>Y-T-D</v>
      </c>
      <c r="AK68" s="77" t="str">
        <f>AK7</f>
        <v>ANNUAL</v>
      </c>
      <c r="AL68" s="63"/>
      <c r="AM68" s="77" t="str">
        <f>AM7</f>
        <v>ANNUAL</v>
      </c>
      <c r="AN68" s="77" t="str">
        <f>AN7</f>
        <v>Variance</v>
      </c>
      <c r="AO68" s="66"/>
      <c r="AP68" s="77" t="str">
        <f>AP7</f>
        <v>2nd C.E.</v>
      </c>
      <c r="AQ68" s="77" t="str">
        <f>AQ7</f>
        <v>Variance</v>
      </c>
      <c r="AR68" s="66"/>
      <c r="AS68" s="66"/>
      <c r="AT68" s="66"/>
      <c r="AU68" s="66"/>
    </row>
    <row r="69" spans="1:47" ht="3.9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</row>
    <row r="70" spans="1:47" ht="13.2" x14ac:dyDescent="0.25">
      <c r="A70" s="103" t="s">
        <v>482</v>
      </c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 t="str">
        <f t="shared" ref="AA70:AA77" si="49">A70</f>
        <v>Cash Flow From Operations</v>
      </c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</row>
    <row r="71" spans="1:47" ht="13.2" x14ac:dyDescent="0.25">
      <c r="A71" s="112" t="s">
        <v>483</v>
      </c>
      <c r="B71" s="66"/>
      <c r="C71" s="66"/>
      <c r="D71" s="78">
        <f>D9</f>
        <v>6658</v>
      </c>
      <c r="E71" s="78">
        <f t="shared" ref="E71:O71" si="50">E9</f>
        <v>8540</v>
      </c>
      <c r="F71" s="78">
        <f t="shared" si="50"/>
        <v>3341</v>
      </c>
      <c r="G71" s="78">
        <f t="shared" si="50"/>
        <v>8154</v>
      </c>
      <c r="H71" s="78">
        <f t="shared" si="50"/>
        <v>7578</v>
      </c>
      <c r="I71" s="78">
        <f t="shared" si="50"/>
        <v>6296</v>
      </c>
      <c r="J71" s="78">
        <f t="shared" si="50"/>
        <v>6915</v>
      </c>
      <c r="K71" s="78">
        <f t="shared" si="50"/>
        <v>6452</v>
      </c>
      <c r="L71" s="78">
        <f t="shared" si="50"/>
        <v>6558</v>
      </c>
      <c r="M71" s="78">
        <f t="shared" si="50"/>
        <v>5998</v>
      </c>
      <c r="N71" s="78">
        <f t="shared" si="50"/>
        <v>5486</v>
      </c>
      <c r="O71" s="78">
        <f t="shared" si="50"/>
        <v>5977</v>
      </c>
      <c r="P71" s="78">
        <f t="shared" ref="P71:P77" si="51">SUM(D71:O71)</f>
        <v>77953</v>
      </c>
      <c r="Q71" s="79">
        <f t="shared" ref="Q71:Q77" si="52">SUM(D71:J71)</f>
        <v>47482</v>
      </c>
      <c r="R71" s="78">
        <f t="shared" ref="R71:R77" si="53">P71-Q71</f>
        <v>30471</v>
      </c>
      <c r="S71" s="66"/>
      <c r="T71" s="78">
        <f>T9</f>
        <v>72797</v>
      </c>
      <c r="U71" s="78">
        <f>U9</f>
        <v>54234</v>
      </c>
      <c r="V71" s="78">
        <f>V9</f>
        <v>18563</v>
      </c>
      <c r="W71" s="66"/>
      <c r="X71" s="66"/>
      <c r="Y71" s="66"/>
      <c r="Z71" s="66"/>
      <c r="AA71" s="66" t="str">
        <f t="shared" si="49"/>
        <v xml:space="preserve">      Net Income After Financing Costs</v>
      </c>
      <c r="AB71" s="78">
        <f t="shared" ref="AB71:AB77" si="54">P71</f>
        <v>77953</v>
      </c>
      <c r="AC71" s="79">
        <f t="shared" ref="AC71:AC77" si="55">SUM(D71:L71)</f>
        <v>60492</v>
      </c>
      <c r="AD71" s="78">
        <f t="shared" ref="AD71:AD77" si="56">AB71-AC71</f>
        <v>17461</v>
      </c>
      <c r="AE71" s="66"/>
      <c r="AF71" s="78">
        <f t="shared" ref="AF71:AF77" si="57">T71</f>
        <v>72797</v>
      </c>
      <c r="AG71" s="78">
        <f>AG9</f>
        <v>54234</v>
      </c>
      <c r="AH71" s="78">
        <f t="shared" ref="AH71:AH77" si="58">AF71-AG71</f>
        <v>18563</v>
      </c>
      <c r="AI71" s="66"/>
      <c r="AJ71" s="78">
        <f t="shared" ref="AJ71:AJ77" si="59">AC71-AG71</f>
        <v>6258</v>
      </c>
      <c r="AK71" s="78">
        <f t="shared" ref="AK71:AK77" si="60">AB71-AF71</f>
        <v>5156</v>
      </c>
      <c r="AL71" s="66"/>
      <c r="AM71" s="78">
        <f>AM9</f>
        <v>84501</v>
      </c>
      <c r="AN71" s="78">
        <f t="shared" ref="AN71:AN77" si="61">AB71-AM71</f>
        <v>-6548</v>
      </c>
      <c r="AO71" s="66"/>
      <c r="AP71" s="78">
        <f>AP9</f>
        <v>65754</v>
      </c>
      <c r="AQ71" s="78">
        <f t="shared" ref="AQ71:AQ77" si="62">AC71-AP71</f>
        <v>-5262</v>
      </c>
      <c r="AR71" s="66"/>
      <c r="AS71" s="66"/>
      <c r="AT71" s="66"/>
      <c r="AU71" s="66"/>
    </row>
    <row r="72" spans="1:47" ht="13.2" x14ac:dyDescent="0.25">
      <c r="A72" s="103" t="s">
        <v>484</v>
      </c>
      <c r="B72" s="66"/>
      <c r="C72" s="66"/>
      <c r="D72" s="78">
        <f t="shared" ref="D72:O72" si="63">D11</f>
        <v>1621</v>
      </c>
      <c r="E72" s="78">
        <f t="shared" si="63"/>
        <v>1587</v>
      </c>
      <c r="F72" s="78">
        <f t="shared" si="63"/>
        <v>1631</v>
      </c>
      <c r="G72" s="78">
        <f t="shared" si="63"/>
        <v>1643</v>
      </c>
      <c r="H72" s="78">
        <f t="shared" si="63"/>
        <v>1600</v>
      </c>
      <c r="I72" s="78">
        <f t="shared" si="63"/>
        <v>1710</v>
      </c>
      <c r="J72" s="78">
        <f t="shared" si="63"/>
        <v>1648</v>
      </c>
      <c r="K72" s="78">
        <f t="shared" si="63"/>
        <v>1650</v>
      </c>
      <c r="L72" s="78">
        <f t="shared" si="63"/>
        <v>1700</v>
      </c>
      <c r="M72" s="78">
        <f t="shared" si="63"/>
        <v>1800</v>
      </c>
      <c r="N72" s="78">
        <f t="shared" si="63"/>
        <v>1900</v>
      </c>
      <c r="O72" s="78">
        <f t="shared" si="63"/>
        <v>1950</v>
      </c>
      <c r="P72" s="78">
        <f t="shared" si="51"/>
        <v>20440</v>
      </c>
      <c r="Q72" s="79">
        <f t="shared" si="52"/>
        <v>11440</v>
      </c>
      <c r="R72" s="78">
        <f t="shared" si="53"/>
        <v>9000</v>
      </c>
      <c r="S72" s="66"/>
      <c r="T72" s="78">
        <f t="shared" ref="T72:V74" si="64">T11</f>
        <v>21996</v>
      </c>
      <c r="U72" s="78">
        <f t="shared" si="64"/>
        <v>16497</v>
      </c>
      <c r="V72" s="78">
        <f t="shared" si="64"/>
        <v>5499</v>
      </c>
      <c r="W72" s="66"/>
      <c r="X72" s="66"/>
      <c r="Y72" s="66"/>
      <c r="Z72" s="66"/>
      <c r="AA72" s="66" t="str">
        <f t="shared" si="49"/>
        <v xml:space="preserve">      Depreciation, Depletion, and Amortization</v>
      </c>
      <c r="AB72" s="78">
        <f t="shared" si="54"/>
        <v>20440</v>
      </c>
      <c r="AC72" s="79">
        <f t="shared" si="55"/>
        <v>14790</v>
      </c>
      <c r="AD72" s="78">
        <f t="shared" si="56"/>
        <v>5650</v>
      </c>
      <c r="AE72" s="66"/>
      <c r="AF72" s="78">
        <f t="shared" si="57"/>
        <v>21996</v>
      </c>
      <c r="AG72" s="78">
        <f>AG11</f>
        <v>16497</v>
      </c>
      <c r="AH72" s="78">
        <f t="shared" si="58"/>
        <v>5499</v>
      </c>
      <c r="AI72" s="66"/>
      <c r="AJ72" s="78">
        <f t="shared" si="59"/>
        <v>-1707</v>
      </c>
      <c r="AK72" s="78">
        <f t="shared" si="60"/>
        <v>-1556</v>
      </c>
      <c r="AL72" s="66"/>
      <c r="AM72" s="78">
        <f>AM11</f>
        <v>20542</v>
      </c>
      <c r="AN72" s="78">
        <f t="shared" si="61"/>
        <v>-102</v>
      </c>
      <c r="AO72" s="66"/>
      <c r="AP72" s="78">
        <f>AP11</f>
        <v>14992</v>
      </c>
      <c r="AQ72" s="78">
        <f t="shared" si="62"/>
        <v>-202</v>
      </c>
      <c r="AR72" s="66"/>
      <c r="AS72" s="66"/>
      <c r="AT72" s="66"/>
      <c r="AU72" s="66"/>
    </row>
    <row r="73" spans="1:47" ht="13.2" x14ac:dyDescent="0.25">
      <c r="A73" s="103" t="s">
        <v>485</v>
      </c>
      <c r="B73" s="66"/>
      <c r="C73" s="66"/>
      <c r="D73" s="78">
        <f>D12</f>
        <v>0</v>
      </c>
      <c r="E73" s="78">
        <f t="shared" ref="E73:O73" si="65">E12</f>
        <v>0</v>
      </c>
      <c r="F73" s="78">
        <f t="shared" si="65"/>
        <v>0</v>
      </c>
      <c r="G73" s="78">
        <f t="shared" si="65"/>
        <v>0</v>
      </c>
      <c r="H73" s="78">
        <f t="shared" si="65"/>
        <v>0</v>
      </c>
      <c r="I73" s="78">
        <f t="shared" si="65"/>
        <v>0</v>
      </c>
      <c r="J73" s="78">
        <f t="shared" si="65"/>
        <v>0</v>
      </c>
      <c r="K73" s="78">
        <f t="shared" si="65"/>
        <v>0</v>
      </c>
      <c r="L73" s="78">
        <f t="shared" si="65"/>
        <v>0</v>
      </c>
      <c r="M73" s="78">
        <f t="shared" si="65"/>
        <v>0</v>
      </c>
      <c r="N73" s="78">
        <f t="shared" si="65"/>
        <v>0</v>
      </c>
      <c r="O73" s="78">
        <f t="shared" si="65"/>
        <v>0</v>
      </c>
      <c r="P73" s="78">
        <f t="shared" si="51"/>
        <v>0</v>
      </c>
      <c r="Q73" s="79">
        <f t="shared" si="52"/>
        <v>0</v>
      </c>
      <c r="R73" s="78">
        <f t="shared" si="53"/>
        <v>0</v>
      </c>
      <c r="S73" s="66"/>
      <c r="T73" s="78">
        <f t="shared" si="64"/>
        <v>0</v>
      </c>
      <c r="U73" s="78">
        <f t="shared" si="64"/>
        <v>0</v>
      </c>
      <c r="V73" s="78">
        <f t="shared" si="64"/>
        <v>0</v>
      </c>
      <c r="W73" s="66"/>
      <c r="X73" s="66"/>
      <c r="Y73" s="66"/>
      <c r="Z73" s="66"/>
      <c r="AA73" s="66" t="str">
        <f t="shared" si="49"/>
        <v xml:space="preserve">      Amortization of Contract Reformation Costs</v>
      </c>
      <c r="AB73" s="78">
        <f t="shared" si="54"/>
        <v>0</v>
      </c>
      <c r="AC73" s="79">
        <f t="shared" si="55"/>
        <v>0</v>
      </c>
      <c r="AD73" s="78">
        <f t="shared" si="56"/>
        <v>0</v>
      </c>
      <c r="AE73" s="66"/>
      <c r="AF73" s="78">
        <f t="shared" si="57"/>
        <v>0</v>
      </c>
      <c r="AG73" s="78">
        <f>AG12</f>
        <v>0</v>
      </c>
      <c r="AH73" s="78">
        <f t="shared" si="58"/>
        <v>0</v>
      </c>
      <c r="AI73" s="66"/>
      <c r="AJ73" s="78">
        <f t="shared" si="59"/>
        <v>0</v>
      </c>
      <c r="AK73" s="78">
        <f t="shared" si="60"/>
        <v>0</v>
      </c>
      <c r="AL73" s="66"/>
      <c r="AM73" s="78">
        <f>AM12</f>
        <v>0</v>
      </c>
      <c r="AN73" s="78">
        <f t="shared" si="61"/>
        <v>0</v>
      </c>
      <c r="AO73" s="66"/>
      <c r="AP73" s="78">
        <f>AP12</f>
        <v>0</v>
      </c>
      <c r="AQ73" s="78">
        <f t="shared" si="62"/>
        <v>0</v>
      </c>
      <c r="AR73" s="66"/>
      <c r="AS73" s="66"/>
      <c r="AT73" s="66"/>
      <c r="AU73" s="66"/>
    </row>
    <row r="74" spans="1:47" ht="13.2" x14ac:dyDescent="0.25">
      <c r="A74" s="112" t="s">
        <v>444</v>
      </c>
      <c r="B74" s="66"/>
      <c r="C74" s="66"/>
      <c r="D74" s="78">
        <f t="shared" ref="D74:O74" si="66">D13</f>
        <v>150</v>
      </c>
      <c r="E74" s="78">
        <f t="shared" si="66"/>
        <v>92</v>
      </c>
      <c r="F74" s="78">
        <f t="shared" si="66"/>
        <v>-4693</v>
      </c>
      <c r="G74" s="78">
        <f t="shared" si="66"/>
        <v>802</v>
      </c>
      <c r="H74" s="78">
        <f t="shared" si="66"/>
        <v>259</v>
      </c>
      <c r="I74" s="78">
        <f t="shared" si="66"/>
        <v>6</v>
      </c>
      <c r="J74" s="78">
        <f t="shared" si="66"/>
        <v>256</v>
      </c>
      <c r="K74" s="78">
        <f t="shared" si="66"/>
        <v>100</v>
      </c>
      <c r="L74" s="78">
        <f t="shared" si="66"/>
        <v>747</v>
      </c>
      <c r="M74" s="78">
        <f t="shared" si="66"/>
        <v>3257</v>
      </c>
      <c r="N74" s="78">
        <f t="shared" si="66"/>
        <v>-753</v>
      </c>
      <c r="O74" s="78">
        <f t="shared" si="66"/>
        <v>-60</v>
      </c>
      <c r="P74" s="78">
        <f t="shared" si="51"/>
        <v>163</v>
      </c>
      <c r="Q74" s="79">
        <f t="shared" si="52"/>
        <v>-3128</v>
      </c>
      <c r="R74" s="78">
        <f t="shared" si="53"/>
        <v>3291</v>
      </c>
      <c r="S74" s="66"/>
      <c r="T74" s="78">
        <f t="shared" si="64"/>
        <v>298</v>
      </c>
      <c r="U74" s="78">
        <f t="shared" si="64"/>
        <v>921</v>
      </c>
      <c r="V74" s="78">
        <f t="shared" si="64"/>
        <v>-623</v>
      </c>
      <c r="W74" s="66"/>
      <c r="X74" s="66"/>
      <c r="Y74" s="66"/>
      <c r="Z74" s="66"/>
      <c r="AA74" s="66" t="str">
        <f t="shared" si="49"/>
        <v xml:space="preserve">      Deferred Income Taxes - Both Current and Noncurrent</v>
      </c>
      <c r="AB74" s="78">
        <f t="shared" si="54"/>
        <v>163</v>
      </c>
      <c r="AC74" s="79">
        <f t="shared" si="55"/>
        <v>-2281</v>
      </c>
      <c r="AD74" s="78">
        <f t="shared" si="56"/>
        <v>2444</v>
      </c>
      <c r="AE74" s="66"/>
      <c r="AF74" s="78">
        <f t="shared" si="57"/>
        <v>298</v>
      </c>
      <c r="AG74" s="78">
        <f>AG13</f>
        <v>921</v>
      </c>
      <c r="AH74" s="78">
        <f t="shared" si="58"/>
        <v>-623</v>
      </c>
      <c r="AI74" s="66"/>
      <c r="AJ74" s="78">
        <f t="shared" si="59"/>
        <v>-3202</v>
      </c>
      <c r="AK74" s="78">
        <f t="shared" si="60"/>
        <v>-135</v>
      </c>
      <c r="AL74" s="66"/>
      <c r="AM74" s="78">
        <f>AM13</f>
        <v>4799</v>
      </c>
      <c r="AN74" s="78">
        <f t="shared" si="61"/>
        <v>-4636</v>
      </c>
      <c r="AO74" s="66"/>
      <c r="AP74" s="78">
        <f>AP13</f>
        <v>2243</v>
      </c>
      <c r="AQ74" s="78">
        <f t="shared" si="62"/>
        <v>-4524</v>
      </c>
      <c r="AR74" s="66"/>
      <c r="AS74" s="66"/>
      <c r="AT74" s="66"/>
      <c r="AU74" s="66"/>
    </row>
    <row r="75" spans="1:47" ht="13.2" x14ac:dyDescent="0.25">
      <c r="A75" s="103" t="s">
        <v>486</v>
      </c>
      <c r="B75" s="66"/>
      <c r="C75" s="66"/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9">
        <v>0</v>
      </c>
      <c r="O75" s="79">
        <v>0</v>
      </c>
      <c r="P75" s="78">
        <f t="shared" si="51"/>
        <v>0</v>
      </c>
      <c r="Q75" s="79">
        <f t="shared" si="52"/>
        <v>0</v>
      </c>
      <c r="R75" s="78">
        <f t="shared" si="53"/>
        <v>0</v>
      </c>
      <c r="S75" s="66"/>
      <c r="T75" s="79">
        <v>0</v>
      </c>
      <c r="U75" s="79">
        <v>0</v>
      </c>
      <c r="V75" s="79">
        <v>0</v>
      </c>
      <c r="W75" s="66"/>
      <c r="X75" s="66"/>
      <c r="Y75" s="66"/>
      <c r="Z75" s="66"/>
      <c r="AA75" s="66" t="str">
        <f t="shared" si="49"/>
        <v xml:space="preserve">      Deferred Revenue</v>
      </c>
      <c r="AB75" s="78">
        <f t="shared" si="54"/>
        <v>0</v>
      </c>
      <c r="AC75" s="79">
        <f t="shared" si="55"/>
        <v>0</v>
      </c>
      <c r="AD75" s="78">
        <f t="shared" si="56"/>
        <v>0</v>
      </c>
      <c r="AE75" s="66"/>
      <c r="AF75" s="78">
        <f t="shared" si="57"/>
        <v>0</v>
      </c>
      <c r="AG75" s="79">
        <v>0</v>
      </c>
      <c r="AH75" s="78">
        <f t="shared" si="58"/>
        <v>0</v>
      </c>
      <c r="AI75" s="66"/>
      <c r="AJ75" s="78">
        <f t="shared" si="59"/>
        <v>0</v>
      </c>
      <c r="AK75" s="78">
        <f t="shared" si="60"/>
        <v>0</v>
      </c>
      <c r="AL75" s="66"/>
      <c r="AM75" s="79">
        <v>0</v>
      </c>
      <c r="AN75" s="78">
        <f t="shared" si="61"/>
        <v>0</v>
      </c>
      <c r="AO75" s="66"/>
      <c r="AP75" s="79">
        <v>0</v>
      </c>
      <c r="AQ75" s="78">
        <f t="shared" si="62"/>
        <v>0</v>
      </c>
      <c r="AR75" s="66"/>
      <c r="AS75" s="66"/>
      <c r="AT75" s="66"/>
      <c r="AU75" s="66"/>
    </row>
    <row r="76" spans="1:47" ht="13.2" x14ac:dyDescent="0.25">
      <c r="A76" s="103" t="s">
        <v>487</v>
      </c>
      <c r="B76" s="66"/>
      <c r="C76" s="66"/>
      <c r="D76" s="163">
        <f>D27</f>
        <v>-128</v>
      </c>
      <c r="E76" s="163">
        <f t="shared" ref="E76:O76" si="67">E27</f>
        <v>0</v>
      </c>
      <c r="F76" s="163">
        <f t="shared" si="67"/>
        <v>0</v>
      </c>
      <c r="G76" s="163">
        <f t="shared" si="67"/>
        <v>0</v>
      </c>
      <c r="H76" s="163">
        <f t="shared" si="67"/>
        <v>0</v>
      </c>
      <c r="I76" s="163">
        <f t="shared" si="67"/>
        <v>1</v>
      </c>
      <c r="J76" s="163">
        <f t="shared" si="67"/>
        <v>-7</v>
      </c>
      <c r="K76" s="163">
        <f t="shared" si="67"/>
        <v>0</v>
      </c>
      <c r="L76" s="163">
        <f t="shared" si="67"/>
        <v>0</v>
      </c>
      <c r="M76" s="163">
        <f t="shared" si="67"/>
        <v>0</v>
      </c>
      <c r="N76" s="163">
        <f t="shared" si="67"/>
        <v>0</v>
      </c>
      <c r="O76" s="163">
        <f t="shared" si="67"/>
        <v>0</v>
      </c>
      <c r="P76" s="78">
        <f t="shared" si="51"/>
        <v>-134</v>
      </c>
      <c r="Q76" s="79">
        <f t="shared" si="52"/>
        <v>-134</v>
      </c>
      <c r="R76" s="78">
        <f t="shared" si="53"/>
        <v>0</v>
      </c>
      <c r="S76" s="66"/>
      <c r="T76" s="163">
        <f>T27</f>
        <v>0</v>
      </c>
      <c r="U76" s="163">
        <f>U27</f>
        <v>0</v>
      </c>
      <c r="V76" s="163">
        <f>V27</f>
        <v>0</v>
      </c>
      <c r="W76" s="66"/>
      <c r="X76" s="66"/>
      <c r="Y76" s="66"/>
      <c r="Z76" s="66"/>
      <c r="AA76" s="66" t="str">
        <f t="shared" si="49"/>
        <v xml:space="preserve">      Unrealized (Gain) / Loss on Price Risk Mgmt Activities</v>
      </c>
      <c r="AB76" s="78">
        <f t="shared" si="54"/>
        <v>-134</v>
      </c>
      <c r="AC76" s="79">
        <f t="shared" si="55"/>
        <v>-134</v>
      </c>
      <c r="AD76" s="78">
        <f t="shared" si="56"/>
        <v>0</v>
      </c>
      <c r="AE76" s="66"/>
      <c r="AF76" s="78">
        <f t="shared" si="57"/>
        <v>0</v>
      </c>
      <c r="AG76" s="78">
        <f>AG27</f>
        <v>0</v>
      </c>
      <c r="AH76" s="78">
        <f t="shared" si="58"/>
        <v>0</v>
      </c>
      <c r="AI76" s="66"/>
      <c r="AJ76" s="78">
        <f t="shared" si="59"/>
        <v>-134</v>
      </c>
      <c r="AK76" s="78">
        <f t="shared" si="60"/>
        <v>-134</v>
      </c>
      <c r="AL76" s="66"/>
      <c r="AM76" s="78">
        <f>AM27</f>
        <v>-128</v>
      </c>
      <c r="AN76" s="78">
        <f t="shared" si="61"/>
        <v>-6</v>
      </c>
      <c r="AO76" s="66"/>
      <c r="AP76" s="78">
        <f>AP27</f>
        <v>-128</v>
      </c>
      <c r="AQ76" s="78">
        <f t="shared" si="62"/>
        <v>-6</v>
      </c>
      <c r="AR76" s="66"/>
      <c r="AS76" s="66"/>
      <c r="AT76" s="66"/>
      <c r="AU76" s="66"/>
    </row>
    <row r="77" spans="1:47" ht="13.2" x14ac:dyDescent="0.25">
      <c r="A77" s="103" t="s">
        <v>488</v>
      </c>
      <c r="B77" s="66"/>
      <c r="C77" s="66"/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83">
        <f t="shared" si="51"/>
        <v>0</v>
      </c>
      <c r="Q77" s="101">
        <f t="shared" si="52"/>
        <v>0</v>
      </c>
      <c r="R77" s="83">
        <f t="shared" si="53"/>
        <v>0</v>
      </c>
      <c r="S77" s="66"/>
      <c r="T77" s="101">
        <v>0</v>
      </c>
      <c r="U77" s="101">
        <v>0</v>
      </c>
      <c r="V77" s="101">
        <v>0</v>
      </c>
      <c r="W77" s="66"/>
      <c r="X77" s="66"/>
      <c r="Y77" s="66"/>
      <c r="Z77" s="66"/>
      <c r="AA77" s="66" t="str">
        <f t="shared" si="49"/>
        <v xml:space="preserve">      Oil &amp; Gas Exploration Expenses</v>
      </c>
      <c r="AB77" s="83">
        <f t="shared" si="54"/>
        <v>0</v>
      </c>
      <c r="AC77" s="101">
        <f t="shared" si="55"/>
        <v>0</v>
      </c>
      <c r="AD77" s="83">
        <f t="shared" si="56"/>
        <v>0</v>
      </c>
      <c r="AE77" s="66"/>
      <c r="AF77" s="83">
        <f t="shared" si="57"/>
        <v>0</v>
      </c>
      <c r="AG77" s="101">
        <v>0</v>
      </c>
      <c r="AH77" s="83">
        <f t="shared" si="58"/>
        <v>0</v>
      </c>
      <c r="AI77" s="66"/>
      <c r="AJ77" s="83">
        <f t="shared" si="59"/>
        <v>0</v>
      </c>
      <c r="AK77" s="83">
        <f t="shared" si="60"/>
        <v>0</v>
      </c>
      <c r="AL77" s="66"/>
      <c r="AM77" s="101">
        <v>0</v>
      </c>
      <c r="AN77" s="83">
        <f t="shared" si="61"/>
        <v>0</v>
      </c>
      <c r="AO77" s="66"/>
      <c r="AP77" s="82">
        <v>0</v>
      </c>
      <c r="AQ77" s="83">
        <f t="shared" si="62"/>
        <v>0</v>
      </c>
      <c r="AR77" s="66"/>
      <c r="AS77" s="66"/>
      <c r="AT77" s="66"/>
      <c r="AU77" s="66"/>
    </row>
    <row r="78" spans="1:47" ht="3.9" customHeight="1" x14ac:dyDescent="0.25">
      <c r="A78" s="97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3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</row>
    <row r="79" spans="1:47" ht="13.2" x14ac:dyDescent="0.25">
      <c r="A79" s="103" t="s">
        <v>489</v>
      </c>
      <c r="B79" s="66"/>
      <c r="C79" s="66"/>
      <c r="D79" s="78">
        <f t="shared" ref="D79:R79" si="68">SUM(D71:D77)</f>
        <v>8301</v>
      </c>
      <c r="E79" s="78">
        <f t="shared" si="68"/>
        <v>10219</v>
      </c>
      <c r="F79" s="78">
        <f t="shared" si="68"/>
        <v>279</v>
      </c>
      <c r="G79" s="78">
        <f t="shared" si="68"/>
        <v>10599</v>
      </c>
      <c r="H79" s="78">
        <f t="shared" si="68"/>
        <v>9437</v>
      </c>
      <c r="I79" s="78">
        <f t="shared" si="68"/>
        <v>8013</v>
      </c>
      <c r="J79" s="78">
        <f t="shared" si="68"/>
        <v>8812</v>
      </c>
      <c r="K79" s="78">
        <f t="shared" si="68"/>
        <v>8202</v>
      </c>
      <c r="L79" s="78">
        <f t="shared" si="68"/>
        <v>9005</v>
      </c>
      <c r="M79" s="78">
        <f t="shared" si="68"/>
        <v>11055</v>
      </c>
      <c r="N79" s="78">
        <f t="shared" si="68"/>
        <v>6633</v>
      </c>
      <c r="O79" s="78">
        <f t="shared" si="68"/>
        <v>7867</v>
      </c>
      <c r="P79" s="78">
        <f t="shared" si="68"/>
        <v>98422</v>
      </c>
      <c r="Q79" s="78">
        <f t="shared" si="68"/>
        <v>55660</v>
      </c>
      <c r="R79" s="78">
        <f t="shared" si="68"/>
        <v>42762</v>
      </c>
      <c r="S79" s="66"/>
      <c r="T79" s="78">
        <f>SUM(T71:T77)</f>
        <v>95091</v>
      </c>
      <c r="U79" s="78">
        <f>SUM(U71:U77)</f>
        <v>71652</v>
      </c>
      <c r="V79" s="78">
        <f>SUM(V71:V77)</f>
        <v>23439</v>
      </c>
      <c r="W79" s="66"/>
      <c r="X79" s="66"/>
      <c r="Y79" s="66"/>
      <c r="Z79" s="66"/>
      <c r="AA79" s="66" t="str">
        <f>A79</f>
        <v xml:space="preserve">            Total Cash Flow From Operations</v>
      </c>
      <c r="AB79" s="78">
        <f>SUM(AB71:AB77)</f>
        <v>98422</v>
      </c>
      <c r="AC79" s="78">
        <f>SUM(AC71:AC77)</f>
        <v>72867</v>
      </c>
      <c r="AD79" s="78">
        <f>SUM(AD71:AD77)</f>
        <v>25555</v>
      </c>
      <c r="AE79" s="66"/>
      <c r="AF79" s="78">
        <f>SUM(AF71:AF77)</f>
        <v>95091</v>
      </c>
      <c r="AG79" s="78">
        <f>SUM(AG71:AG77)</f>
        <v>71652</v>
      </c>
      <c r="AH79" s="78">
        <f>SUM(AH71:AH77)</f>
        <v>23439</v>
      </c>
      <c r="AI79" s="66"/>
      <c r="AJ79" s="78">
        <f>SUM(AJ71:AJ77)</f>
        <v>1215</v>
      </c>
      <c r="AK79" s="78">
        <f>SUM(AK71:AK77)</f>
        <v>3331</v>
      </c>
      <c r="AL79" s="66"/>
      <c r="AM79" s="78">
        <f>SUM(AM71:AM77)</f>
        <v>109714</v>
      </c>
      <c r="AN79" s="78">
        <f>SUM(AN71:AN77)</f>
        <v>-11292</v>
      </c>
      <c r="AO79" s="66"/>
      <c r="AP79" s="78">
        <f>SUM(AP71:AP77)</f>
        <v>82861</v>
      </c>
      <c r="AQ79" s="78">
        <f>SUM(AQ71:AQ77)</f>
        <v>-9994</v>
      </c>
      <c r="AR79" s="66"/>
      <c r="AS79" s="66"/>
      <c r="AT79" s="66"/>
      <c r="AU79" s="66"/>
    </row>
    <row r="80" spans="1:47" ht="6" customHeight="1" x14ac:dyDescent="0.25">
      <c r="A80" s="97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</row>
    <row r="81" spans="1:47" ht="13.2" x14ac:dyDescent="0.25">
      <c r="A81" s="103" t="s">
        <v>490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 t="str">
        <f t="shared" ref="AA81:AA90" si="69">A81</f>
        <v>Working Capital Changes</v>
      </c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</row>
    <row r="82" spans="1:47" ht="13.2" x14ac:dyDescent="0.25">
      <c r="A82" s="103" t="s">
        <v>491</v>
      </c>
      <c r="B82" s="66"/>
      <c r="C82" s="66"/>
      <c r="D82" s="79">
        <v>0</v>
      </c>
      <c r="E82" s="79">
        <v>0</v>
      </c>
      <c r="F82" s="79">
        <v>0</v>
      </c>
      <c r="G82" s="79">
        <v>0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  <c r="P82" s="78">
        <f t="shared" ref="P82:P90" si="70">SUM(D82:O82)</f>
        <v>0</v>
      </c>
      <c r="Q82" s="79">
        <f t="shared" ref="Q82:Q90" si="71">SUM(D82:J82)</f>
        <v>0</v>
      </c>
      <c r="R82" s="78">
        <f t="shared" ref="R82:R90" si="72">P82-Q82</f>
        <v>0</v>
      </c>
      <c r="S82" s="66"/>
      <c r="T82" s="79">
        <v>0</v>
      </c>
      <c r="U82" s="79">
        <v>0</v>
      </c>
      <c r="V82" s="79">
        <v>0</v>
      </c>
      <c r="W82" s="66"/>
      <c r="X82" s="66"/>
      <c r="Y82" s="66"/>
      <c r="Z82" s="66"/>
      <c r="AA82" s="66" t="str">
        <f t="shared" si="69"/>
        <v xml:space="preserve">      Accrued Income Taxes</v>
      </c>
      <c r="AB82" s="78">
        <f t="shared" ref="AB82:AB90" si="73">P82</f>
        <v>0</v>
      </c>
      <c r="AC82" s="79">
        <f t="shared" ref="AC82:AC90" si="74">SUM(D82:L82)</f>
        <v>0</v>
      </c>
      <c r="AD82" s="78">
        <f t="shared" ref="AD82:AD90" si="75">AB82-AC82</f>
        <v>0</v>
      </c>
      <c r="AE82" s="66"/>
      <c r="AF82" s="78">
        <f t="shared" ref="AF82:AF90" si="76">T82</f>
        <v>0</v>
      </c>
      <c r="AG82" s="79">
        <v>0</v>
      </c>
      <c r="AH82" s="78">
        <f t="shared" ref="AH82:AH90" si="77">AF82-AG82</f>
        <v>0</v>
      </c>
      <c r="AI82" s="66"/>
      <c r="AJ82" s="78">
        <f t="shared" ref="AJ82:AJ90" si="78">AC82-AG82</f>
        <v>0</v>
      </c>
      <c r="AK82" s="78">
        <f t="shared" ref="AK82:AK90" si="79">AB82-AF82</f>
        <v>0</v>
      </c>
      <c r="AL82" s="66"/>
      <c r="AM82" s="79">
        <v>0</v>
      </c>
      <c r="AN82" s="78">
        <f t="shared" ref="AN82:AN90" si="80">AB82-AM82</f>
        <v>0</v>
      </c>
      <c r="AO82" s="66"/>
      <c r="AP82" s="79">
        <v>0</v>
      </c>
      <c r="AQ82" s="78">
        <f t="shared" ref="AQ82:AQ90" si="81">AC82-AP82</f>
        <v>0</v>
      </c>
      <c r="AR82" s="66"/>
      <c r="AS82" s="66"/>
      <c r="AT82" s="66"/>
      <c r="AU82" s="66"/>
    </row>
    <row r="83" spans="1:47" ht="13.2" x14ac:dyDescent="0.25">
      <c r="A83" s="103" t="s">
        <v>492</v>
      </c>
      <c r="B83" s="66"/>
      <c r="C83" s="66"/>
      <c r="D83" s="79">
        <v>0</v>
      </c>
      <c r="E83" s="79">
        <v>0</v>
      </c>
      <c r="F83" s="79">
        <v>0</v>
      </c>
      <c r="G83" s="79">
        <v>0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  <c r="N83" s="79">
        <v>0</v>
      </c>
      <c r="O83" s="79">
        <v>0</v>
      </c>
      <c r="P83" s="78">
        <f t="shared" si="70"/>
        <v>0</v>
      </c>
      <c r="Q83" s="79">
        <f t="shared" si="71"/>
        <v>0</v>
      </c>
      <c r="R83" s="78">
        <f t="shared" si="72"/>
        <v>0</v>
      </c>
      <c r="S83" s="66"/>
      <c r="T83" s="79">
        <v>0</v>
      </c>
      <c r="U83" s="79">
        <v>0</v>
      </c>
      <c r="V83" s="79">
        <v>0</v>
      </c>
      <c r="W83" s="66"/>
      <c r="X83" s="66"/>
      <c r="Y83" s="66"/>
      <c r="Z83" s="66"/>
      <c r="AA83" s="66" t="str">
        <f t="shared" si="69"/>
        <v xml:space="preserve">      Tax Refunds / Payments</v>
      </c>
      <c r="AB83" s="78">
        <f t="shared" si="73"/>
        <v>0</v>
      </c>
      <c r="AC83" s="79">
        <f t="shared" si="74"/>
        <v>0</v>
      </c>
      <c r="AD83" s="78">
        <f t="shared" si="75"/>
        <v>0</v>
      </c>
      <c r="AE83" s="66"/>
      <c r="AF83" s="78">
        <f t="shared" si="76"/>
        <v>0</v>
      </c>
      <c r="AG83" s="79">
        <v>0</v>
      </c>
      <c r="AH83" s="78">
        <f t="shared" si="77"/>
        <v>0</v>
      </c>
      <c r="AI83" s="66"/>
      <c r="AJ83" s="78">
        <f t="shared" si="78"/>
        <v>0</v>
      </c>
      <c r="AK83" s="78">
        <f t="shared" si="79"/>
        <v>0</v>
      </c>
      <c r="AL83" s="66"/>
      <c r="AM83" s="79">
        <v>0</v>
      </c>
      <c r="AN83" s="78">
        <f t="shared" si="80"/>
        <v>0</v>
      </c>
      <c r="AO83" s="66"/>
      <c r="AP83" s="79">
        <v>0</v>
      </c>
      <c r="AQ83" s="78">
        <f t="shared" si="81"/>
        <v>0</v>
      </c>
      <c r="AR83" s="66"/>
      <c r="AS83" s="66"/>
      <c r="AT83" s="66"/>
      <c r="AU83" s="66"/>
    </row>
    <row r="84" spans="1:47" ht="13.2" x14ac:dyDescent="0.25">
      <c r="A84" s="103" t="s">
        <v>493</v>
      </c>
      <c r="B84" s="66"/>
      <c r="C84" s="66"/>
      <c r="D84" s="78">
        <f t="shared" ref="D84:O84" si="82">SUM(D16:D23)+D24+D25</f>
        <v>2341</v>
      </c>
      <c r="E84" s="78">
        <f t="shared" si="82"/>
        <v>-317</v>
      </c>
      <c r="F84" s="78">
        <f t="shared" si="82"/>
        <v>3107</v>
      </c>
      <c r="G84" s="78">
        <f t="shared" si="82"/>
        <v>-14721</v>
      </c>
      <c r="H84" s="78">
        <f t="shared" si="82"/>
        <v>-2413</v>
      </c>
      <c r="I84" s="78">
        <f t="shared" si="82"/>
        <v>13572</v>
      </c>
      <c r="J84" s="78">
        <f t="shared" si="82"/>
        <v>-11610</v>
      </c>
      <c r="K84" s="78">
        <f t="shared" si="82"/>
        <v>3278</v>
      </c>
      <c r="L84" s="78">
        <f t="shared" si="82"/>
        <v>897</v>
      </c>
      <c r="M84" s="78">
        <f t="shared" si="82"/>
        <v>-1931</v>
      </c>
      <c r="N84" s="78">
        <f t="shared" si="82"/>
        <v>2684</v>
      </c>
      <c r="O84" s="78">
        <f t="shared" si="82"/>
        <v>-1968</v>
      </c>
      <c r="P84" s="78">
        <f t="shared" si="70"/>
        <v>-7081</v>
      </c>
      <c r="Q84" s="79">
        <f t="shared" si="71"/>
        <v>-10041</v>
      </c>
      <c r="R84" s="78">
        <f t="shared" si="72"/>
        <v>2960</v>
      </c>
      <c r="S84" s="66"/>
      <c r="T84" s="78">
        <f>SUM(T16:T23)+T24+T25</f>
        <v>-7196</v>
      </c>
      <c r="U84" s="78">
        <f>SUM(U16:U23)+U24+U25</f>
        <v>-3872</v>
      </c>
      <c r="V84" s="78">
        <f>SUM(V16:V23)+V24+V25</f>
        <v>-3324</v>
      </c>
      <c r="W84" s="66"/>
      <c r="X84" s="66"/>
      <c r="Y84" s="66"/>
      <c r="Z84" s="66"/>
      <c r="AA84" s="66" t="str">
        <f t="shared" si="69"/>
        <v xml:space="preserve">      Others, Net </v>
      </c>
      <c r="AB84" s="78">
        <f t="shared" si="73"/>
        <v>-7081</v>
      </c>
      <c r="AC84" s="79">
        <f t="shared" si="74"/>
        <v>-5866</v>
      </c>
      <c r="AD84" s="78">
        <f t="shared" si="75"/>
        <v>-1215</v>
      </c>
      <c r="AE84" s="66"/>
      <c r="AF84" s="78">
        <f t="shared" si="76"/>
        <v>-7196</v>
      </c>
      <c r="AG84" s="78">
        <f>SUM(AG16:AG23)+AG24+AG25</f>
        <v>-3872</v>
      </c>
      <c r="AH84" s="78">
        <f t="shared" si="77"/>
        <v>-3324</v>
      </c>
      <c r="AI84" s="66"/>
      <c r="AJ84" s="78">
        <f t="shared" si="78"/>
        <v>-1994</v>
      </c>
      <c r="AK84" s="78">
        <f t="shared" si="79"/>
        <v>115</v>
      </c>
      <c r="AL84" s="66"/>
      <c r="AM84" s="78">
        <f>SUM(AM16:AM23)+AM24+AM25</f>
        <v>-11588</v>
      </c>
      <c r="AN84" s="78">
        <f t="shared" si="80"/>
        <v>4507</v>
      </c>
      <c r="AO84" s="66"/>
      <c r="AP84" s="78">
        <f>SUM(AP16:AP23)+AP24+AP25</f>
        <v>-6944</v>
      </c>
      <c r="AQ84" s="78">
        <f t="shared" si="81"/>
        <v>1078</v>
      </c>
      <c r="AR84" s="66"/>
      <c r="AS84" s="66"/>
      <c r="AT84" s="66"/>
      <c r="AU84" s="66"/>
    </row>
    <row r="85" spans="1:47" ht="13.2" x14ac:dyDescent="0.25">
      <c r="A85" s="103" t="s">
        <v>494</v>
      </c>
      <c r="B85" s="66"/>
      <c r="C85" s="66"/>
      <c r="D85" s="78">
        <f t="shared" ref="D85:O85" si="83">D28</f>
        <v>0</v>
      </c>
      <c r="E85" s="78">
        <f t="shared" si="83"/>
        <v>0</v>
      </c>
      <c r="F85" s="78">
        <f t="shared" si="83"/>
        <v>0</v>
      </c>
      <c r="G85" s="78">
        <f t="shared" si="83"/>
        <v>0</v>
      </c>
      <c r="H85" s="78">
        <f t="shared" si="83"/>
        <v>0</v>
      </c>
      <c r="I85" s="78">
        <f t="shared" si="83"/>
        <v>0</v>
      </c>
      <c r="J85" s="78">
        <f t="shared" si="83"/>
        <v>0</v>
      </c>
      <c r="K85" s="78">
        <f t="shared" si="83"/>
        <v>0</v>
      </c>
      <c r="L85" s="78">
        <f t="shared" si="83"/>
        <v>0</v>
      </c>
      <c r="M85" s="78">
        <f t="shared" si="83"/>
        <v>0</v>
      </c>
      <c r="N85" s="78">
        <f t="shared" si="83"/>
        <v>0</v>
      </c>
      <c r="O85" s="78">
        <f t="shared" si="83"/>
        <v>0</v>
      </c>
      <c r="P85" s="78">
        <f t="shared" si="70"/>
        <v>0</v>
      </c>
      <c r="Q85" s="79">
        <f t="shared" si="71"/>
        <v>0</v>
      </c>
      <c r="R85" s="78">
        <f t="shared" si="72"/>
        <v>0</v>
      </c>
      <c r="S85" s="66"/>
      <c r="T85" s="78">
        <f t="shared" ref="T85:V86" si="84">T28</f>
        <v>0</v>
      </c>
      <c r="U85" s="78">
        <f t="shared" si="84"/>
        <v>0</v>
      </c>
      <c r="V85" s="78">
        <f t="shared" si="84"/>
        <v>0</v>
      </c>
      <c r="W85" s="66"/>
      <c r="X85" s="66"/>
      <c r="Y85" s="66"/>
      <c r="Z85" s="66"/>
      <c r="AA85" s="66" t="str">
        <f t="shared" si="69"/>
        <v>Equity Earnings</v>
      </c>
      <c r="AB85" s="78">
        <f t="shared" si="73"/>
        <v>0</v>
      </c>
      <c r="AC85" s="79">
        <f t="shared" si="74"/>
        <v>0</v>
      </c>
      <c r="AD85" s="78">
        <f t="shared" si="75"/>
        <v>0</v>
      </c>
      <c r="AE85" s="66"/>
      <c r="AF85" s="78">
        <f t="shared" si="76"/>
        <v>0</v>
      </c>
      <c r="AG85" s="78">
        <f>AG28</f>
        <v>0</v>
      </c>
      <c r="AH85" s="78">
        <f t="shared" si="77"/>
        <v>0</v>
      </c>
      <c r="AI85" s="66"/>
      <c r="AJ85" s="78">
        <f t="shared" si="78"/>
        <v>0</v>
      </c>
      <c r="AK85" s="78">
        <f t="shared" si="79"/>
        <v>0</v>
      </c>
      <c r="AL85" s="66"/>
      <c r="AM85" s="78">
        <f>AM28</f>
        <v>0</v>
      </c>
      <c r="AN85" s="78">
        <f t="shared" si="80"/>
        <v>0</v>
      </c>
      <c r="AO85" s="66"/>
      <c r="AP85" s="78">
        <f>AP28</f>
        <v>0</v>
      </c>
      <c r="AQ85" s="78">
        <f t="shared" si="81"/>
        <v>0</v>
      </c>
      <c r="AR85" s="66"/>
      <c r="AS85" s="66"/>
      <c r="AT85" s="66"/>
      <c r="AU85" s="66"/>
    </row>
    <row r="86" spans="1:47" ht="13.2" x14ac:dyDescent="0.25">
      <c r="A86" s="103" t="s">
        <v>495</v>
      </c>
      <c r="B86" s="66"/>
      <c r="C86" s="66"/>
      <c r="D86" s="78">
        <f t="shared" ref="D86:O86" si="85">D29</f>
        <v>0</v>
      </c>
      <c r="E86" s="78">
        <f t="shared" si="85"/>
        <v>0</v>
      </c>
      <c r="F86" s="78">
        <f t="shared" si="85"/>
        <v>0</v>
      </c>
      <c r="G86" s="78">
        <f t="shared" si="85"/>
        <v>0</v>
      </c>
      <c r="H86" s="78">
        <f t="shared" si="85"/>
        <v>0</v>
      </c>
      <c r="I86" s="78">
        <f t="shared" si="85"/>
        <v>0</v>
      </c>
      <c r="J86" s="78">
        <f t="shared" si="85"/>
        <v>0</v>
      </c>
      <c r="K86" s="78">
        <f t="shared" si="85"/>
        <v>0</v>
      </c>
      <c r="L86" s="78">
        <f t="shared" si="85"/>
        <v>0</v>
      </c>
      <c r="M86" s="78">
        <f t="shared" si="85"/>
        <v>0</v>
      </c>
      <c r="N86" s="78">
        <f t="shared" si="85"/>
        <v>0</v>
      </c>
      <c r="O86" s="78">
        <f t="shared" si="85"/>
        <v>0</v>
      </c>
      <c r="P86" s="78">
        <f t="shared" si="70"/>
        <v>0</v>
      </c>
      <c r="Q86" s="79">
        <f t="shared" si="71"/>
        <v>0</v>
      </c>
      <c r="R86" s="78">
        <f t="shared" si="72"/>
        <v>0</v>
      </c>
      <c r="S86" s="66"/>
      <c r="T86" s="78">
        <f t="shared" si="84"/>
        <v>0</v>
      </c>
      <c r="U86" s="78">
        <f t="shared" si="84"/>
        <v>0</v>
      </c>
      <c r="V86" s="78">
        <f t="shared" si="84"/>
        <v>0</v>
      </c>
      <c r="W86" s="66"/>
      <c r="X86" s="66"/>
      <c r="Y86" s="66"/>
      <c r="Z86" s="66"/>
      <c r="AA86" s="66" t="str">
        <f t="shared" si="69"/>
        <v>Equity / Partnership Distributions</v>
      </c>
      <c r="AB86" s="78">
        <f t="shared" si="73"/>
        <v>0</v>
      </c>
      <c r="AC86" s="79">
        <f t="shared" si="74"/>
        <v>0</v>
      </c>
      <c r="AD86" s="78">
        <f t="shared" si="75"/>
        <v>0</v>
      </c>
      <c r="AE86" s="66"/>
      <c r="AF86" s="78">
        <f t="shared" si="76"/>
        <v>0</v>
      </c>
      <c r="AG86" s="78">
        <f>AG29</f>
        <v>0</v>
      </c>
      <c r="AH86" s="78">
        <f t="shared" si="77"/>
        <v>0</v>
      </c>
      <c r="AI86" s="66"/>
      <c r="AJ86" s="78">
        <f t="shared" si="78"/>
        <v>0</v>
      </c>
      <c r="AK86" s="78">
        <f t="shared" si="79"/>
        <v>0</v>
      </c>
      <c r="AL86" s="66"/>
      <c r="AM86" s="78">
        <f>AM29</f>
        <v>0</v>
      </c>
      <c r="AN86" s="78">
        <f t="shared" si="80"/>
        <v>0</v>
      </c>
      <c r="AO86" s="66"/>
      <c r="AP86" s="78">
        <f>AP29</f>
        <v>0</v>
      </c>
      <c r="AQ86" s="78">
        <f t="shared" si="81"/>
        <v>0</v>
      </c>
      <c r="AR86" s="66"/>
      <c r="AS86" s="66"/>
      <c r="AT86" s="66"/>
      <c r="AU86" s="66"/>
    </row>
    <row r="87" spans="1:47" ht="13.2" x14ac:dyDescent="0.25">
      <c r="A87" s="103" t="s">
        <v>496</v>
      </c>
      <c r="B87" s="66"/>
      <c r="C87" s="66"/>
      <c r="D87" s="78">
        <f t="shared" ref="D87:O87" si="86">D37</f>
        <v>0</v>
      </c>
      <c r="E87" s="78">
        <f t="shared" si="86"/>
        <v>0</v>
      </c>
      <c r="F87" s="78">
        <f t="shared" si="86"/>
        <v>0</v>
      </c>
      <c r="G87" s="78">
        <f t="shared" si="86"/>
        <v>0</v>
      </c>
      <c r="H87" s="78">
        <f t="shared" si="86"/>
        <v>0</v>
      </c>
      <c r="I87" s="78">
        <f t="shared" si="86"/>
        <v>0</v>
      </c>
      <c r="J87" s="78">
        <f t="shared" si="86"/>
        <v>18</v>
      </c>
      <c r="K87" s="78">
        <f t="shared" si="86"/>
        <v>0</v>
      </c>
      <c r="L87" s="78">
        <f t="shared" si="86"/>
        <v>0</v>
      </c>
      <c r="M87" s="78">
        <f t="shared" si="86"/>
        <v>0</v>
      </c>
      <c r="N87" s="78">
        <f t="shared" si="86"/>
        <v>0</v>
      </c>
      <c r="O87" s="78">
        <f t="shared" si="86"/>
        <v>0</v>
      </c>
      <c r="P87" s="78">
        <f t="shared" si="70"/>
        <v>18</v>
      </c>
      <c r="Q87" s="79">
        <f t="shared" si="71"/>
        <v>18</v>
      </c>
      <c r="R87" s="78">
        <f t="shared" si="72"/>
        <v>0</v>
      </c>
      <c r="S87" s="66"/>
      <c r="T87" s="78">
        <f>T37</f>
        <v>0</v>
      </c>
      <c r="U87" s="78">
        <f>U37</f>
        <v>0</v>
      </c>
      <c r="V87" s="78">
        <f>V37</f>
        <v>0</v>
      </c>
      <c r="W87" s="66"/>
      <c r="X87" s="66"/>
      <c r="Y87" s="66"/>
      <c r="Z87" s="66"/>
      <c r="AA87" s="66" t="str">
        <f t="shared" si="69"/>
        <v>Proceeds from Sale of Investments</v>
      </c>
      <c r="AB87" s="78">
        <f t="shared" si="73"/>
        <v>18</v>
      </c>
      <c r="AC87" s="79">
        <f t="shared" si="74"/>
        <v>18</v>
      </c>
      <c r="AD87" s="78">
        <f t="shared" si="75"/>
        <v>0</v>
      </c>
      <c r="AE87" s="66"/>
      <c r="AF87" s="78">
        <f t="shared" si="76"/>
        <v>0</v>
      </c>
      <c r="AG87" s="78">
        <f>AG37</f>
        <v>0</v>
      </c>
      <c r="AH87" s="78">
        <f t="shared" si="77"/>
        <v>0</v>
      </c>
      <c r="AI87" s="66"/>
      <c r="AJ87" s="78">
        <f t="shared" si="78"/>
        <v>18</v>
      </c>
      <c r="AK87" s="78">
        <f t="shared" si="79"/>
        <v>18</v>
      </c>
      <c r="AL87" s="66"/>
      <c r="AM87" s="78">
        <f>AM37</f>
        <v>0</v>
      </c>
      <c r="AN87" s="78">
        <f t="shared" si="80"/>
        <v>18</v>
      </c>
      <c r="AO87" s="66"/>
      <c r="AP87" s="78">
        <f>AP37</f>
        <v>0</v>
      </c>
      <c r="AQ87" s="78">
        <f t="shared" si="81"/>
        <v>18</v>
      </c>
      <c r="AR87" s="66"/>
      <c r="AS87" s="66"/>
      <c r="AT87" s="66"/>
      <c r="AU87" s="66"/>
    </row>
    <row r="88" spans="1:47" ht="13.2" x14ac:dyDescent="0.25">
      <c r="A88" s="103" t="s">
        <v>497</v>
      </c>
      <c r="B88" s="66"/>
      <c r="C88" s="66"/>
      <c r="D88" s="78">
        <f t="shared" ref="D88:O88" si="87">D38+D39</f>
        <v>-435</v>
      </c>
      <c r="E88" s="78">
        <f t="shared" si="87"/>
        <v>620</v>
      </c>
      <c r="F88" s="78">
        <f t="shared" si="87"/>
        <v>-889</v>
      </c>
      <c r="G88" s="78">
        <f t="shared" si="87"/>
        <v>-2785</v>
      </c>
      <c r="H88" s="78">
        <f t="shared" si="87"/>
        <v>-15951</v>
      </c>
      <c r="I88" s="78">
        <f t="shared" si="87"/>
        <v>-3456</v>
      </c>
      <c r="J88" s="78">
        <f t="shared" si="87"/>
        <v>-1081</v>
      </c>
      <c r="K88" s="78">
        <f t="shared" si="87"/>
        <v>-1900</v>
      </c>
      <c r="L88" s="78">
        <f t="shared" si="87"/>
        <v>-13043</v>
      </c>
      <c r="M88" s="78">
        <f t="shared" si="87"/>
        <v>-5817</v>
      </c>
      <c r="N88" s="78">
        <f t="shared" si="87"/>
        <v>-11852</v>
      </c>
      <c r="O88" s="78">
        <f t="shared" si="87"/>
        <v>-11548</v>
      </c>
      <c r="P88" s="78">
        <f t="shared" si="70"/>
        <v>-68137</v>
      </c>
      <c r="Q88" s="79">
        <f t="shared" si="71"/>
        <v>-23977</v>
      </c>
      <c r="R88" s="78">
        <f t="shared" si="72"/>
        <v>-44160</v>
      </c>
      <c r="S88" s="66"/>
      <c r="T88" s="78">
        <f>T38+T39</f>
        <v>-47600</v>
      </c>
      <c r="U88" s="78">
        <f>U38+U39</f>
        <v>-40100</v>
      </c>
      <c r="V88" s="78">
        <f>V38+V39</f>
        <v>-7500</v>
      </c>
      <c r="W88" s="66"/>
      <c r="X88" s="66"/>
      <c r="Y88" s="66"/>
      <c r="Z88" s="66"/>
      <c r="AA88" s="66" t="str">
        <f t="shared" si="69"/>
        <v>Capital Expenditures (Excluding Interco. Transactions)</v>
      </c>
      <c r="AB88" s="78">
        <f t="shared" si="73"/>
        <v>-68137</v>
      </c>
      <c r="AC88" s="79">
        <f t="shared" si="74"/>
        <v>-38920</v>
      </c>
      <c r="AD88" s="78">
        <f t="shared" si="75"/>
        <v>-29217</v>
      </c>
      <c r="AE88" s="66"/>
      <c r="AF88" s="78">
        <f t="shared" si="76"/>
        <v>-47600</v>
      </c>
      <c r="AG88" s="78">
        <f>AG38+AG39</f>
        <v>-40100</v>
      </c>
      <c r="AH88" s="78">
        <f t="shared" si="77"/>
        <v>-7500</v>
      </c>
      <c r="AI88" s="66"/>
      <c r="AJ88" s="78">
        <f t="shared" si="78"/>
        <v>1180</v>
      </c>
      <c r="AK88" s="78">
        <f t="shared" si="79"/>
        <v>-20537</v>
      </c>
      <c r="AL88" s="66"/>
      <c r="AM88" s="78">
        <f>AM38+AM39</f>
        <v>-88804</v>
      </c>
      <c r="AN88" s="78">
        <f t="shared" si="80"/>
        <v>20667</v>
      </c>
      <c r="AO88" s="66"/>
      <c r="AP88" s="78">
        <f>AP38+AP39</f>
        <v>-53079</v>
      </c>
      <c r="AQ88" s="78">
        <f t="shared" si="81"/>
        <v>14159</v>
      </c>
      <c r="AR88" s="66"/>
      <c r="AS88" s="66"/>
      <c r="AT88" s="66"/>
      <c r="AU88" s="66"/>
    </row>
    <row r="89" spans="1:47" ht="13.2" x14ac:dyDescent="0.25">
      <c r="A89" s="112" t="s">
        <v>498</v>
      </c>
      <c r="B89" s="66"/>
      <c r="C89" s="66"/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  <c r="N89" s="79">
        <v>0</v>
      </c>
      <c r="O89" s="79">
        <v>0</v>
      </c>
      <c r="P89" s="78">
        <f t="shared" si="70"/>
        <v>0</v>
      </c>
      <c r="Q89" s="79">
        <f t="shared" si="71"/>
        <v>0</v>
      </c>
      <c r="R89" s="78">
        <f t="shared" si="72"/>
        <v>0</v>
      </c>
      <c r="S89" s="66"/>
      <c r="T89" s="79">
        <v>0</v>
      </c>
      <c r="U89" s="79">
        <v>0</v>
      </c>
      <c r="V89" s="79">
        <v>0</v>
      </c>
      <c r="W89" s="66"/>
      <c r="X89" s="66"/>
      <c r="Y89" s="66"/>
      <c r="Z89" s="66"/>
      <c r="AA89" s="66" t="str">
        <f t="shared" si="69"/>
        <v>Equity Investments</v>
      </c>
      <c r="AB89" s="78">
        <f t="shared" si="73"/>
        <v>0</v>
      </c>
      <c r="AC89" s="79">
        <f t="shared" si="74"/>
        <v>0</v>
      </c>
      <c r="AD89" s="78">
        <f t="shared" si="75"/>
        <v>0</v>
      </c>
      <c r="AE89" s="66"/>
      <c r="AF89" s="78">
        <f t="shared" si="76"/>
        <v>0</v>
      </c>
      <c r="AG89" s="79">
        <v>0</v>
      </c>
      <c r="AH89" s="78">
        <f t="shared" si="77"/>
        <v>0</v>
      </c>
      <c r="AI89" s="66"/>
      <c r="AJ89" s="78">
        <f t="shared" si="78"/>
        <v>0</v>
      </c>
      <c r="AK89" s="78">
        <f t="shared" si="79"/>
        <v>0</v>
      </c>
      <c r="AL89" s="66"/>
      <c r="AM89" s="79">
        <v>0</v>
      </c>
      <c r="AN89" s="78">
        <f t="shared" si="80"/>
        <v>0</v>
      </c>
      <c r="AO89" s="66"/>
      <c r="AP89" s="79">
        <v>0</v>
      </c>
      <c r="AQ89" s="78">
        <f t="shared" si="81"/>
        <v>0</v>
      </c>
      <c r="AR89" s="66"/>
      <c r="AS89" s="66"/>
      <c r="AT89" s="66"/>
      <c r="AU89" s="66"/>
    </row>
    <row r="90" spans="1:47" ht="13.2" x14ac:dyDescent="0.25">
      <c r="A90" s="103" t="s">
        <v>499</v>
      </c>
      <c r="B90" s="66"/>
      <c r="C90" s="66"/>
      <c r="D90" s="83">
        <f>SUM(D30:D32)+D40+D41</f>
        <v>416</v>
      </c>
      <c r="E90" s="83">
        <f t="shared" ref="E90:O90" si="88">SUM(E30:E32)+E40+E41</f>
        <v>-167</v>
      </c>
      <c r="F90" s="83">
        <f t="shared" si="88"/>
        <v>12177</v>
      </c>
      <c r="G90" s="83">
        <f t="shared" si="88"/>
        <v>921</v>
      </c>
      <c r="H90" s="83">
        <f t="shared" si="88"/>
        <v>-532</v>
      </c>
      <c r="I90" s="83">
        <f t="shared" si="88"/>
        <v>344</v>
      </c>
      <c r="J90" s="83">
        <f t="shared" si="88"/>
        <v>80</v>
      </c>
      <c r="K90" s="83">
        <f t="shared" si="88"/>
        <v>620</v>
      </c>
      <c r="L90" s="83">
        <f t="shared" si="88"/>
        <v>141</v>
      </c>
      <c r="M90" s="83">
        <f t="shared" si="88"/>
        <v>393</v>
      </c>
      <c r="N90" s="83">
        <f t="shared" si="88"/>
        <v>385</v>
      </c>
      <c r="O90" s="83">
        <f t="shared" si="88"/>
        <v>49</v>
      </c>
      <c r="P90" s="83">
        <f t="shared" si="70"/>
        <v>14827</v>
      </c>
      <c r="Q90" s="101">
        <f t="shared" si="71"/>
        <v>13239</v>
      </c>
      <c r="R90" s="83">
        <f t="shared" si="72"/>
        <v>1588</v>
      </c>
      <c r="S90" s="66"/>
      <c r="T90" s="83">
        <f>SUM(T30:T32)+T40+T41</f>
        <v>-5955</v>
      </c>
      <c r="U90" s="83">
        <f>SUM(U30:U32)+U40+U41</f>
        <v>-4080</v>
      </c>
      <c r="V90" s="83">
        <f>SUM(V30:V32)+V40+V41</f>
        <v>-1875</v>
      </c>
      <c r="W90" s="66"/>
      <c r="X90" s="66"/>
      <c r="Y90" s="66"/>
      <c r="Z90" s="66"/>
      <c r="AA90" s="66" t="str">
        <f t="shared" si="69"/>
        <v xml:space="preserve">Others, Net </v>
      </c>
      <c r="AB90" s="83">
        <f t="shared" si="73"/>
        <v>14827</v>
      </c>
      <c r="AC90" s="101">
        <f t="shared" si="74"/>
        <v>14000</v>
      </c>
      <c r="AD90" s="83">
        <f t="shared" si="75"/>
        <v>827</v>
      </c>
      <c r="AE90" s="66"/>
      <c r="AF90" s="83">
        <f t="shared" si="76"/>
        <v>-5955</v>
      </c>
      <c r="AG90" s="83">
        <f>SUM(AG30:AG32)+AG40+AG41</f>
        <v>-4080</v>
      </c>
      <c r="AH90" s="83">
        <f t="shared" si="77"/>
        <v>-1875</v>
      </c>
      <c r="AI90" s="66"/>
      <c r="AJ90" s="83">
        <f t="shared" si="78"/>
        <v>18080</v>
      </c>
      <c r="AK90" s="83">
        <f t="shared" si="79"/>
        <v>20782</v>
      </c>
      <c r="AL90" s="66"/>
      <c r="AM90" s="83">
        <f>SUM(AM30:AM32)+AM40+AM41</f>
        <v>2710</v>
      </c>
      <c r="AN90" s="83">
        <f t="shared" si="80"/>
        <v>12117</v>
      </c>
      <c r="AO90" s="66"/>
      <c r="AP90" s="83">
        <f>SUM(AP30:AP32)+AP40+AP41</f>
        <v>2044</v>
      </c>
      <c r="AQ90" s="83">
        <f t="shared" si="81"/>
        <v>11956</v>
      </c>
      <c r="AR90" s="66"/>
      <c r="AS90" s="66"/>
      <c r="AT90" s="66"/>
      <c r="AU90" s="66"/>
    </row>
    <row r="91" spans="1:47" ht="6" customHeight="1" x14ac:dyDescent="0.25">
      <c r="A91" s="97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</row>
    <row r="92" spans="1:47" ht="13.2" x14ac:dyDescent="0.25">
      <c r="A92" s="109" t="s">
        <v>500</v>
      </c>
      <c r="B92" s="66"/>
      <c r="C92" s="66"/>
      <c r="D92" s="86">
        <f t="shared" ref="D92:R92" si="89">SUM(D79:D90)</f>
        <v>10623</v>
      </c>
      <c r="E92" s="86">
        <f t="shared" si="89"/>
        <v>10355</v>
      </c>
      <c r="F92" s="86">
        <f t="shared" si="89"/>
        <v>14674</v>
      </c>
      <c r="G92" s="86">
        <f t="shared" si="89"/>
        <v>-5986</v>
      </c>
      <c r="H92" s="86">
        <f t="shared" si="89"/>
        <v>-9459</v>
      </c>
      <c r="I92" s="86">
        <f t="shared" si="89"/>
        <v>18473</v>
      </c>
      <c r="J92" s="86">
        <f t="shared" si="89"/>
        <v>-3781</v>
      </c>
      <c r="K92" s="86">
        <f t="shared" si="89"/>
        <v>10200</v>
      </c>
      <c r="L92" s="86">
        <f t="shared" si="89"/>
        <v>-3000</v>
      </c>
      <c r="M92" s="86">
        <f t="shared" si="89"/>
        <v>3700</v>
      </c>
      <c r="N92" s="86">
        <f t="shared" si="89"/>
        <v>-2150</v>
      </c>
      <c r="O92" s="86">
        <f t="shared" si="89"/>
        <v>-5600</v>
      </c>
      <c r="P92" s="86">
        <f t="shared" si="89"/>
        <v>38049</v>
      </c>
      <c r="Q92" s="86">
        <f t="shared" si="89"/>
        <v>34899</v>
      </c>
      <c r="R92" s="86">
        <f t="shared" si="89"/>
        <v>3150</v>
      </c>
      <c r="S92" s="66"/>
      <c r="T92" s="86">
        <f>SUM(T79:T90)</f>
        <v>34340</v>
      </c>
      <c r="U92" s="86">
        <f>SUM(U79:U90)</f>
        <v>23600</v>
      </c>
      <c r="V92" s="86">
        <f>SUM(V79:V90)</f>
        <v>10740</v>
      </c>
      <c r="W92" s="66"/>
      <c r="X92" s="66"/>
      <c r="Y92" s="66"/>
      <c r="Z92" s="66"/>
      <c r="AA92" s="63" t="str">
        <f>A92</f>
        <v>Net Cash Flow</v>
      </c>
      <c r="AB92" s="86">
        <f>SUM(AB79:AB90)</f>
        <v>38049</v>
      </c>
      <c r="AC92" s="86">
        <f>SUM(AC79:AC90)</f>
        <v>42099</v>
      </c>
      <c r="AD92" s="86">
        <f>SUM(AD79:AD90)</f>
        <v>-4050</v>
      </c>
      <c r="AE92" s="66"/>
      <c r="AF92" s="86">
        <f>SUM(AF79:AF90)</f>
        <v>34340</v>
      </c>
      <c r="AG92" s="86">
        <f>SUM(AG79:AG90)</f>
        <v>23600</v>
      </c>
      <c r="AH92" s="86">
        <f>SUM(AH79:AH90)</f>
        <v>10740</v>
      </c>
      <c r="AI92" s="66"/>
      <c r="AJ92" s="86">
        <f>SUM(AJ79:AJ90)</f>
        <v>18499</v>
      </c>
      <c r="AK92" s="86">
        <f>SUM(AK79:AK90)</f>
        <v>3709</v>
      </c>
      <c r="AL92" s="66"/>
      <c r="AM92" s="86">
        <f>SUM(AM79:AM90)</f>
        <v>12032</v>
      </c>
      <c r="AN92" s="86">
        <f>SUM(AN79:AN90)</f>
        <v>26017</v>
      </c>
      <c r="AO92" s="66"/>
      <c r="AP92" s="86">
        <f>SUM(AP79:AP90)</f>
        <v>24882</v>
      </c>
      <c r="AQ92" s="86">
        <f>SUM(AQ79:AQ90)</f>
        <v>17217</v>
      </c>
      <c r="AR92" s="66"/>
      <c r="AS92" s="66"/>
      <c r="AT92" s="66"/>
      <c r="AU92" s="66"/>
    </row>
    <row r="93" spans="1:47" ht="6" customHeight="1" x14ac:dyDescent="0.25">
      <c r="A93" s="97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3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</row>
    <row r="94" spans="1:47" ht="13.2" x14ac:dyDescent="0.25">
      <c r="A94" s="103" t="s">
        <v>501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 t="str">
        <f>A94</f>
        <v>Other Items Affecting Interco. Cash Balance with Corporate</v>
      </c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</row>
    <row r="95" spans="1:47" ht="13.2" x14ac:dyDescent="0.25">
      <c r="A95" s="103" t="s">
        <v>502</v>
      </c>
      <c r="B95" s="66"/>
      <c r="C95" s="66"/>
      <c r="D95" s="78">
        <f ca="1">D49+D50</f>
        <v>0</v>
      </c>
      <c r="E95" s="78">
        <f t="shared" ref="E95:O95" ca="1" si="90">E49+E50</f>
        <v>0</v>
      </c>
      <c r="F95" s="78">
        <f t="shared" ca="1" si="90"/>
        <v>0</v>
      </c>
      <c r="G95" s="78">
        <f t="shared" ca="1" si="90"/>
        <v>0</v>
      </c>
      <c r="H95" s="78">
        <f t="shared" ca="1" si="90"/>
        <v>0</v>
      </c>
      <c r="I95" s="78">
        <f t="shared" ca="1" si="90"/>
        <v>-150000</v>
      </c>
      <c r="J95" s="78">
        <f t="shared" ca="1" si="90"/>
        <v>0</v>
      </c>
      <c r="K95" s="78">
        <f t="shared" ca="1" si="90"/>
        <v>0</v>
      </c>
      <c r="L95" s="78">
        <f t="shared" ca="1" si="90"/>
        <v>0</v>
      </c>
      <c r="M95" s="78">
        <f t="shared" ca="1" si="90"/>
        <v>0</v>
      </c>
      <c r="N95" s="78">
        <f t="shared" ca="1" si="90"/>
        <v>-3850</v>
      </c>
      <c r="O95" s="78">
        <f t="shared" ca="1" si="90"/>
        <v>0</v>
      </c>
      <c r="P95" s="78">
        <f ca="1">SUM(D95:O95)</f>
        <v>-153850</v>
      </c>
      <c r="Q95" s="79">
        <f ca="1">SUM(D95:J95)</f>
        <v>-150000</v>
      </c>
      <c r="R95" s="78">
        <f ca="1">P95-Q95</f>
        <v>-3850</v>
      </c>
      <c r="S95" s="66"/>
      <c r="T95" s="78">
        <f>T49+T50</f>
        <v>-3850</v>
      </c>
      <c r="U95" s="78">
        <f>U49+U50</f>
        <v>0</v>
      </c>
      <c r="V95" s="78">
        <f>V49+V50</f>
        <v>-3850</v>
      </c>
      <c r="W95" s="66"/>
      <c r="X95" s="66"/>
      <c r="Y95" s="66"/>
      <c r="Z95" s="66"/>
      <c r="AA95" s="66" t="str">
        <f>A95</f>
        <v xml:space="preserve">      Third Party Debt Increase / (Decrease)</v>
      </c>
      <c r="AB95" s="78">
        <f ca="1">P95</f>
        <v>-153850</v>
      </c>
      <c r="AC95" s="79">
        <f ca="1">SUM(D95:L95)</f>
        <v>-150000</v>
      </c>
      <c r="AD95" s="78">
        <f ca="1">AB95-AC95</f>
        <v>-3850</v>
      </c>
      <c r="AE95" s="66"/>
      <c r="AF95" s="78">
        <f>T95</f>
        <v>-3850</v>
      </c>
      <c r="AG95" s="78">
        <f>AG49+AG50</f>
        <v>0</v>
      </c>
      <c r="AH95" s="78">
        <f>AF95-AG95</f>
        <v>-3850</v>
      </c>
      <c r="AI95" s="66"/>
      <c r="AJ95" s="78">
        <f ca="1">AC95-AG95</f>
        <v>-150000</v>
      </c>
      <c r="AK95" s="78">
        <f ca="1">AB95-AF95</f>
        <v>-150000</v>
      </c>
      <c r="AL95" s="66"/>
      <c r="AM95" s="78">
        <f>AM49+AM50</f>
        <v>-153850</v>
      </c>
      <c r="AN95" s="78">
        <f ca="1">AB95-AM95</f>
        <v>0</v>
      </c>
      <c r="AO95" s="66"/>
      <c r="AP95" s="78">
        <f>AP49+AP50</f>
        <v>-150000</v>
      </c>
      <c r="AQ95" s="78">
        <f ca="1">AC95-AP95</f>
        <v>0</v>
      </c>
      <c r="AR95" s="66"/>
      <c r="AS95" s="66"/>
      <c r="AT95" s="66"/>
      <c r="AU95" s="66"/>
    </row>
    <row r="96" spans="1:47" ht="13.2" x14ac:dyDescent="0.25">
      <c r="A96" s="103" t="s">
        <v>503</v>
      </c>
      <c r="B96" s="66"/>
      <c r="C96" s="66"/>
      <c r="D96" s="78">
        <f t="shared" ref="D96:O96" si="91">D48</f>
        <v>0</v>
      </c>
      <c r="E96" s="78">
        <f t="shared" si="91"/>
        <v>0</v>
      </c>
      <c r="F96" s="78">
        <f t="shared" si="91"/>
        <v>0</v>
      </c>
      <c r="G96" s="78">
        <f t="shared" si="91"/>
        <v>0</v>
      </c>
      <c r="H96" s="78">
        <f t="shared" si="91"/>
        <v>0</v>
      </c>
      <c r="I96" s="78">
        <f t="shared" si="91"/>
        <v>0</v>
      </c>
      <c r="J96" s="78">
        <f t="shared" si="91"/>
        <v>0</v>
      </c>
      <c r="K96" s="78">
        <f t="shared" si="91"/>
        <v>0</v>
      </c>
      <c r="L96" s="78">
        <f t="shared" si="91"/>
        <v>0</v>
      </c>
      <c r="M96" s="78">
        <f t="shared" si="91"/>
        <v>0</v>
      </c>
      <c r="N96" s="78">
        <f t="shared" si="91"/>
        <v>0</v>
      </c>
      <c r="O96" s="78">
        <f t="shared" si="91"/>
        <v>0</v>
      </c>
      <c r="P96" s="78">
        <f>SUM(D96:O96)</f>
        <v>0</v>
      </c>
      <c r="Q96" s="79">
        <f>SUM(D96:J96)</f>
        <v>0</v>
      </c>
      <c r="R96" s="78">
        <f>P96-Q96</f>
        <v>0</v>
      </c>
      <c r="S96" s="66"/>
      <c r="T96" s="78">
        <f>T48</f>
        <v>0</v>
      </c>
      <c r="U96" s="78">
        <f>U48</f>
        <v>0</v>
      </c>
      <c r="V96" s="78">
        <f>V48</f>
        <v>0</v>
      </c>
      <c r="W96" s="66"/>
      <c r="X96" s="66"/>
      <c r="Y96" s="66"/>
      <c r="Z96" s="66"/>
      <c r="AA96" s="66" t="str">
        <f>A96</f>
        <v xml:space="preserve">      Dividends Paid to Corporate</v>
      </c>
      <c r="AB96" s="78">
        <f>P96</f>
        <v>0</v>
      </c>
      <c r="AC96" s="79">
        <f>SUM(D96:L96)</f>
        <v>0</v>
      </c>
      <c r="AD96" s="78">
        <f>AB96-AC96</f>
        <v>0</v>
      </c>
      <c r="AE96" s="66"/>
      <c r="AF96" s="78">
        <f>T96</f>
        <v>0</v>
      </c>
      <c r="AG96" s="78">
        <f>AG48</f>
        <v>0</v>
      </c>
      <c r="AH96" s="78">
        <f>AF96-AG96</f>
        <v>0</v>
      </c>
      <c r="AI96" s="66"/>
      <c r="AJ96" s="78">
        <f>AC96-AG96</f>
        <v>0</v>
      </c>
      <c r="AK96" s="78">
        <f>AB96-AF96</f>
        <v>0</v>
      </c>
      <c r="AL96" s="66"/>
      <c r="AM96" s="78">
        <f>AM48</f>
        <v>0</v>
      </c>
      <c r="AN96" s="78">
        <f>AB96-AM96</f>
        <v>0</v>
      </c>
      <c r="AO96" s="66"/>
      <c r="AP96" s="78">
        <f>AP48</f>
        <v>0</v>
      </c>
      <c r="AQ96" s="78">
        <f>AC96-AP96</f>
        <v>0</v>
      </c>
      <c r="AR96" s="66"/>
      <c r="AS96" s="66"/>
      <c r="AT96" s="66"/>
      <c r="AU96" s="66"/>
    </row>
    <row r="97" spans="1:47" ht="13.2" x14ac:dyDescent="0.25">
      <c r="A97" s="112" t="s">
        <v>504</v>
      </c>
      <c r="B97" s="66"/>
      <c r="C97" s="66"/>
      <c r="D97" s="78">
        <f t="shared" ref="D97:O97" si="92">D51</f>
        <v>0</v>
      </c>
      <c r="E97" s="78">
        <f t="shared" si="92"/>
        <v>0</v>
      </c>
      <c r="F97" s="78">
        <f t="shared" si="92"/>
        <v>0</v>
      </c>
      <c r="G97" s="78">
        <f t="shared" si="92"/>
        <v>0</v>
      </c>
      <c r="H97" s="78">
        <f t="shared" si="92"/>
        <v>0</v>
      </c>
      <c r="I97" s="78">
        <f t="shared" si="92"/>
        <v>0</v>
      </c>
      <c r="J97" s="78">
        <f t="shared" si="92"/>
        <v>0</v>
      </c>
      <c r="K97" s="78">
        <f t="shared" si="92"/>
        <v>0</v>
      </c>
      <c r="L97" s="78">
        <f t="shared" si="92"/>
        <v>0</v>
      </c>
      <c r="M97" s="78">
        <f t="shared" si="92"/>
        <v>0</v>
      </c>
      <c r="N97" s="78">
        <f t="shared" si="92"/>
        <v>0</v>
      </c>
      <c r="O97" s="78">
        <f t="shared" si="92"/>
        <v>0</v>
      </c>
      <c r="P97" s="78">
        <f>SUM(D97:O97)</f>
        <v>0</v>
      </c>
      <c r="Q97" s="79">
        <f>SUM(D97:J97)</f>
        <v>0</v>
      </c>
      <c r="R97" s="78">
        <f>P97-Q97</f>
        <v>0</v>
      </c>
      <c r="S97" s="66"/>
      <c r="T97" s="78">
        <f>T51</f>
        <v>0</v>
      </c>
      <c r="U97" s="78">
        <f>U51</f>
        <v>0</v>
      </c>
      <c r="V97" s="78">
        <f>V51</f>
        <v>0</v>
      </c>
      <c r="W97" s="66"/>
      <c r="X97" s="66"/>
      <c r="Y97" s="66"/>
      <c r="Z97" s="66"/>
      <c r="AA97" s="66" t="str">
        <f>A97</f>
        <v xml:space="preserve">      Dividends Paid to Outside Parties / Other</v>
      </c>
      <c r="AB97" s="78">
        <f>P97</f>
        <v>0</v>
      </c>
      <c r="AC97" s="79">
        <f>SUM(D97:L97)</f>
        <v>0</v>
      </c>
      <c r="AD97" s="78">
        <f>AB97-AC97</f>
        <v>0</v>
      </c>
      <c r="AE97" s="66"/>
      <c r="AF97" s="78">
        <f>T97</f>
        <v>0</v>
      </c>
      <c r="AG97" s="78">
        <f>AG51</f>
        <v>0</v>
      </c>
      <c r="AH97" s="78">
        <f>AF97-AG97</f>
        <v>0</v>
      </c>
      <c r="AI97" s="66"/>
      <c r="AJ97" s="78">
        <f>AC97-AG97</f>
        <v>0</v>
      </c>
      <c r="AK97" s="78">
        <f>AB97-AF97</f>
        <v>0</v>
      </c>
      <c r="AL97" s="66"/>
      <c r="AM97" s="78">
        <f>AM51</f>
        <v>0</v>
      </c>
      <c r="AN97" s="78">
        <f>AB97-AM97</f>
        <v>0</v>
      </c>
      <c r="AO97" s="66"/>
      <c r="AP97" s="78">
        <f>AP51</f>
        <v>0</v>
      </c>
      <c r="AQ97" s="78">
        <f>AC97-AP97</f>
        <v>0</v>
      </c>
      <c r="AR97" s="66"/>
      <c r="AS97" s="66"/>
      <c r="AT97" s="66"/>
      <c r="AU97" s="66"/>
    </row>
    <row r="98" spans="1:47" ht="13.2" x14ac:dyDescent="0.25">
      <c r="A98" s="103" t="s">
        <v>505</v>
      </c>
      <c r="B98" s="66"/>
      <c r="C98" s="66"/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83">
        <f>SUM(D98:O98)</f>
        <v>0</v>
      </c>
      <c r="Q98" s="101">
        <f>SUM(D98:J98)</f>
        <v>0</v>
      </c>
      <c r="R98" s="83">
        <f>P98-Q98</f>
        <v>0</v>
      </c>
      <c r="S98" s="66"/>
      <c r="T98" s="101">
        <v>0</v>
      </c>
      <c r="U98" s="101">
        <v>0</v>
      </c>
      <c r="V98" s="101">
        <v>0</v>
      </c>
      <c r="W98" s="66"/>
      <c r="X98" s="66"/>
      <c r="Y98" s="66"/>
      <c r="Z98" s="66"/>
      <c r="AA98" s="66" t="str">
        <f>A98</f>
        <v xml:space="preserve">      Restricted / Retained Cash</v>
      </c>
      <c r="AB98" s="83">
        <f>P98</f>
        <v>0</v>
      </c>
      <c r="AC98" s="101">
        <f>SUM(D98:L98)</f>
        <v>0</v>
      </c>
      <c r="AD98" s="83">
        <f>AB98-AC98</f>
        <v>0</v>
      </c>
      <c r="AE98" s="66"/>
      <c r="AF98" s="83">
        <f>T98</f>
        <v>0</v>
      </c>
      <c r="AG98" s="101">
        <v>0</v>
      </c>
      <c r="AH98" s="83">
        <f>AF98-AG98</f>
        <v>0</v>
      </c>
      <c r="AI98" s="66"/>
      <c r="AJ98" s="83">
        <f>AC98-AG98</f>
        <v>0</v>
      </c>
      <c r="AK98" s="83">
        <f>AB98-AF98</f>
        <v>0</v>
      </c>
      <c r="AL98" s="66"/>
      <c r="AM98" s="101">
        <v>0</v>
      </c>
      <c r="AN98" s="83">
        <f>AB98-AM98</f>
        <v>0</v>
      </c>
      <c r="AO98" s="66"/>
      <c r="AP98" s="101">
        <v>0</v>
      </c>
      <c r="AQ98" s="83">
        <f>AC98-AP98</f>
        <v>0</v>
      </c>
      <c r="AR98" s="66"/>
      <c r="AS98" s="66"/>
      <c r="AT98" s="66"/>
      <c r="AU98" s="66"/>
    </row>
    <row r="99" spans="1:47" ht="6" customHeight="1" x14ac:dyDescent="0.25">
      <c r="A99" s="97"/>
      <c r="B99" s="66"/>
      <c r="C99" s="66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66"/>
      <c r="T99" s="78"/>
      <c r="U99" s="78"/>
      <c r="V99" s="78"/>
      <c r="W99" s="66"/>
      <c r="X99" s="66"/>
      <c r="Y99" s="66"/>
      <c r="Z99" s="66"/>
      <c r="AA99" s="63"/>
      <c r="AB99" s="78"/>
      <c r="AC99" s="78"/>
      <c r="AD99" s="78"/>
      <c r="AE99" s="66"/>
      <c r="AF99" s="78"/>
      <c r="AG99" s="78"/>
      <c r="AH99" s="78"/>
      <c r="AI99" s="66"/>
      <c r="AJ99" s="78"/>
      <c r="AK99" s="78"/>
      <c r="AL99" s="66"/>
      <c r="AM99" s="78"/>
      <c r="AN99" s="78"/>
      <c r="AO99" s="66"/>
      <c r="AP99" s="78"/>
      <c r="AQ99" s="78"/>
      <c r="AR99" s="66"/>
      <c r="AS99" s="66"/>
      <c r="AT99" s="66"/>
      <c r="AU99" s="66"/>
    </row>
    <row r="100" spans="1:47" ht="13.2" x14ac:dyDescent="0.25">
      <c r="A100" s="109" t="s">
        <v>506</v>
      </c>
      <c r="B100" s="66"/>
      <c r="C100" s="66"/>
      <c r="D100" s="86">
        <f t="shared" ref="D100:R100" ca="1" si="93">SUM(D92:D98)</f>
        <v>10623</v>
      </c>
      <c r="E100" s="86">
        <f t="shared" ca="1" si="93"/>
        <v>10355</v>
      </c>
      <c r="F100" s="86">
        <f t="shared" ca="1" si="93"/>
        <v>14674</v>
      </c>
      <c r="G100" s="86">
        <f t="shared" ca="1" si="93"/>
        <v>-5986</v>
      </c>
      <c r="H100" s="86">
        <f t="shared" ca="1" si="93"/>
        <v>-9459</v>
      </c>
      <c r="I100" s="86">
        <f t="shared" ca="1" si="93"/>
        <v>-131527</v>
      </c>
      <c r="J100" s="86">
        <f t="shared" ca="1" si="93"/>
        <v>-3781</v>
      </c>
      <c r="K100" s="86">
        <f t="shared" ca="1" si="93"/>
        <v>10200</v>
      </c>
      <c r="L100" s="86">
        <f t="shared" ca="1" si="93"/>
        <v>-3000</v>
      </c>
      <c r="M100" s="86">
        <f t="shared" ca="1" si="93"/>
        <v>3700</v>
      </c>
      <c r="N100" s="86">
        <f t="shared" ca="1" si="93"/>
        <v>-6000</v>
      </c>
      <c r="O100" s="86">
        <f t="shared" ca="1" si="93"/>
        <v>-5600</v>
      </c>
      <c r="P100" s="86">
        <f t="shared" ca="1" si="93"/>
        <v>-115801</v>
      </c>
      <c r="Q100" s="86">
        <f t="shared" ca="1" si="93"/>
        <v>-115101</v>
      </c>
      <c r="R100" s="86">
        <f t="shared" ca="1" si="93"/>
        <v>-700</v>
      </c>
      <c r="S100" s="66"/>
      <c r="T100" s="86">
        <f>SUM(T92:T98)</f>
        <v>30490</v>
      </c>
      <c r="U100" s="86">
        <f>SUM(U92:U98)</f>
        <v>23600</v>
      </c>
      <c r="V100" s="86">
        <f>SUM(V92:V98)</f>
        <v>6890</v>
      </c>
      <c r="W100" s="66"/>
      <c r="X100" s="66"/>
      <c r="Y100" s="66"/>
      <c r="Z100" s="66"/>
      <c r="AA100" s="63" t="str">
        <f>A100</f>
        <v xml:space="preserve">Increase / (Decrease) in Cash Balance with Corporate </v>
      </c>
      <c r="AB100" s="86">
        <f ca="1">SUM(AB92:AB98)</f>
        <v>-115801</v>
      </c>
      <c r="AC100" s="86">
        <f ca="1">SUM(AC92:AC98)</f>
        <v>-107901</v>
      </c>
      <c r="AD100" s="86">
        <f ca="1">SUM(AD92:AD98)</f>
        <v>-7900</v>
      </c>
      <c r="AE100" s="66"/>
      <c r="AF100" s="86">
        <f>SUM(AF92:AF98)</f>
        <v>30490</v>
      </c>
      <c r="AG100" s="86">
        <f>SUM(AG92:AG98)</f>
        <v>23600</v>
      </c>
      <c r="AH100" s="86">
        <f>SUM(AH92:AH98)</f>
        <v>6890</v>
      </c>
      <c r="AI100" s="66"/>
      <c r="AJ100" s="86">
        <f ca="1">SUM(AJ92:AJ98)</f>
        <v>-131501</v>
      </c>
      <c r="AK100" s="86">
        <f ca="1">SUM(AK92:AK98)</f>
        <v>-146291</v>
      </c>
      <c r="AL100" s="66"/>
      <c r="AM100" s="86">
        <f>SUM(AM92:AM98)</f>
        <v>-141818</v>
      </c>
      <c r="AN100" s="86">
        <f ca="1">SUM(AN92:AN98)</f>
        <v>26017</v>
      </c>
      <c r="AO100" s="66"/>
      <c r="AP100" s="86">
        <f>SUM(AP92:AP98)</f>
        <v>-125118</v>
      </c>
      <c r="AQ100" s="86">
        <f ca="1">SUM(AQ92:AQ98)</f>
        <v>17217</v>
      </c>
      <c r="AR100" s="66"/>
      <c r="AS100" s="66"/>
      <c r="AT100" s="66"/>
      <c r="AU100" s="66"/>
    </row>
    <row r="101" spans="1:47" ht="6" customHeight="1" x14ac:dyDescent="0.25">
      <c r="A101" s="97"/>
      <c r="B101" s="66"/>
      <c r="C101" s="66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66"/>
      <c r="T101" s="78"/>
      <c r="U101" s="78"/>
      <c r="V101" s="78"/>
      <c r="W101" s="66"/>
      <c r="X101" s="66"/>
      <c r="Y101" s="66"/>
      <c r="Z101" s="66"/>
      <c r="AA101" s="63"/>
      <c r="AB101" s="78"/>
      <c r="AC101" s="78"/>
      <c r="AD101" s="78"/>
      <c r="AE101" s="66"/>
      <c r="AF101" s="78"/>
      <c r="AG101" s="78"/>
      <c r="AH101" s="78"/>
      <c r="AI101" s="66"/>
      <c r="AJ101" s="78"/>
      <c r="AK101" s="78"/>
      <c r="AL101" s="66"/>
      <c r="AM101" s="78"/>
      <c r="AN101" s="78"/>
      <c r="AO101" s="66"/>
      <c r="AP101" s="78"/>
      <c r="AQ101" s="78"/>
      <c r="AR101" s="66"/>
      <c r="AS101" s="66"/>
      <c r="AT101" s="66"/>
      <c r="AU101" s="66"/>
    </row>
    <row r="102" spans="1:47" ht="13.2" x14ac:dyDescent="0.25">
      <c r="A102" s="103" t="s">
        <v>507</v>
      </c>
      <c r="B102" s="66"/>
      <c r="C102" s="66"/>
      <c r="D102" s="83">
        <f t="shared" ref="D102:O102" si="94">D57</f>
        <v>0</v>
      </c>
      <c r="E102" s="83">
        <f t="shared" si="94"/>
        <v>0</v>
      </c>
      <c r="F102" s="83">
        <f t="shared" si="94"/>
        <v>0</v>
      </c>
      <c r="G102" s="83">
        <f t="shared" si="94"/>
        <v>0</v>
      </c>
      <c r="H102" s="83">
        <f t="shared" si="94"/>
        <v>0</v>
      </c>
      <c r="I102" s="83">
        <f t="shared" si="94"/>
        <v>150000</v>
      </c>
      <c r="J102" s="83">
        <f t="shared" si="94"/>
        <v>0</v>
      </c>
      <c r="K102" s="83">
        <f t="shared" si="94"/>
        <v>0</v>
      </c>
      <c r="L102" s="83">
        <f t="shared" si="94"/>
        <v>0</v>
      </c>
      <c r="M102" s="83">
        <f t="shared" si="94"/>
        <v>0</v>
      </c>
      <c r="N102" s="83">
        <f t="shared" si="94"/>
        <v>3850</v>
      </c>
      <c r="O102" s="83">
        <f t="shared" si="94"/>
        <v>0</v>
      </c>
      <c r="P102" s="83">
        <f>SUM(D102:O102)</f>
        <v>153850</v>
      </c>
      <c r="Q102" s="101">
        <f>SUM(D102:J102)</f>
        <v>150000</v>
      </c>
      <c r="R102" s="83">
        <f>P102-Q102</f>
        <v>3850</v>
      </c>
      <c r="S102" s="66"/>
      <c r="T102" s="83">
        <f>T57</f>
        <v>3850</v>
      </c>
      <c r="U102" s="83">
        <f>U57</f>
        <v>0</v>
      </c>
      <c r="V102" s="83">
        <f>V57</f>
        <v>3850</v>
      </c>
      <c r="W102" s="66"/>
      <c r="X102" s="66"/>
      <c r="Y102" s="66"/>
      <c r="Z102" s="66"/>
      <c r="AA102" s="66" t="str">
        <f>A102</f>
        <v>Change in Other Obligations</v>
      </c>
      <c r="AB102" s="83">
        <f>P102</f>
        <v>153850</v>
      </c>
      <c r="AC102" s="101">
        <f>SUM(D102:L102)</f>
        <v>150000</v>
      </c>
      <c r="AD102" s="83">
        <f>AB102-AC102</f>
        <v>3850</v>
      </c>
      <c r="AE102" s="66"/>
      <c r="AF102" s="83">
        <f>T102</f>
        <v>3850</v>
      </c>
      <c r="AG102" s="83">
        <f>AG57</f>
        <v>0</v>
      </c>
      <c r="AH102" s="83">
        <f>AF102-AG102</f>
        <v>3850</v>
      </c>
      <c r="AI102" s="66"/>
      <c r="AJ102" s="83">
        <f>AC102-AG102</f>
        <v>150000</v>
      </c>
      <c r="AK102" s="83">
        <f>AB102-AF102</f>
        <v>150000</v>
      </c>
      <c r="AL102" s="66"/>
      <c r="AM102" s="83">
        <f>AM57</f>
        <v>153850</v>
      </c>
      <c r="AN102" s="83">
        <f>AB102-AM102</f>
        <v>0</v>
      </c>
      <c r="AO102" s="66"/>
      <c r="AP102" s="83">
        <f>AP57</f>
        <v>150000</v>
      </c>
      <c r="AQ102" s="83">
        <f>AC102-AP102</f>
        <v>0</v>
      </c>
      <c r="AR102" s="66"/>
      <c r="AS102" s="66"/>
      <c r="AT102" s="66"/>
      <c r="AU102" s="66"/>
    </row>
    <row r="103" spans="1:47" ht="6" customHeight="1" x14ac:dyDescent="0.25">
      <c r="A103" s="97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3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</row>
    <row r="104" spans="1:47" ht="13.2" x14ac:dyDescent="0.25">
      <c r="A104" s="109" t="s">
        <v>508</v>
      </c>
      <c r="B104" s="66"/>
      <c r="C104" s="66"/>
      <c r="D104" s="85">
        <f t="shared" ref="D104:R104" ca="1" si="95">SUM(D100:D102)</f>
        <v>10623</v>
      </c>
      <c r="E104" s="85">
        <f t="shared" ca="1" si="95"/>
        <v>10355</v>
      </c>
      <c r="F104" s="85">
        <f t="shared" ca="1" si="95"/>
        <v>14674</v>
      </c>
      <c r="G104" s="85">
        <f t="shared" ca="1" si="95"/>
        <v>-5986</v>
      </c>
      <c r="H104" s="85">
        <f t="shared" ca="1" si="95"/>
        <v>-9459</v>
      </c>
      <c r="I104" s="85">
        <f t="shared" ca="1" si="95"/>
        <v>18473</v>
      </c>
      <c r="J104" s="85">
        <f t="shared" ca="1" si="95"/>
        <v>-3781</v>
      </c>
      <c r="K104" s="85">
        <f t="shared" ca="1" si="95"/>
        <v>10200</v>
      </c>
      <c r="L104" s="85">
        <f t="shared" ca="1" si="95"/>
        <v>-3000</v>
      </c>
      <c r="M104" s="85">
        <f t="shared" ca="1" si="95"/>
        <v>3700</v>
      </c>
      <c r="N104" s="85">
        <f t="shared" ca="1" si="95"/>
        <v>-2150</v>
      </c>
      <c r="O104" s="85">
        <f t="shared" ca="1" si="95"/>
        <v>-5600</v>
      </c>
      <c r="P104" s="85">
        <f t="shared" ca="1" si="95"/>
        <v>38049</v>
      </c>
      <c r="Q104" s="85">
        <f t="shared" ca="1" si="95"/>
        <v>34899</v>
      </c>
      <c r="R104" s="85">
        <f t="shared" ca="1" si="95"/>
        <v>3150</v>
      </c>
      <c r="S104" s="66"/>
      <c r="T104" s="85">
        <f>SUM(T100:T102)</f>
        <v>34340</v>
      </c>
      <c r="U104" s="85">
        <f>SUM(U100:U102)</f>
        <v>23600</v>
      </c>
      <c r="V104" s="85">
        <f>SUM(V100:V102)</f>
        <v>10740</v>
      </c>
      <c r="W104" s="66"/>
      <c r="X104" s="66"/>
      <c r="Y104" s="66"/>
      <c r="Z104" s="66"/>
      <c r="AA104" s="63" t="str">
        <f>A104</f>
        <v>Increase / (Decrease) in Total Obligations</v>
      </c>
      <c r="AB104" s="85">
        <f ca="1">SUM(AB100:AB102)</f>
        <v>38049</v>
      </c>
      <c r="AC104" s="85">
        <f ca="1">SUM(AC100:AC102)</f>
        <v>42099</v>
      </c>
      <c r="AD104" s="85">
        <f ca="1">SUM(AD100:AD102)</f>
        <v>-4050</v>
      </c>
      <c r="AE104" s="66"/>
      <c r="AF104" s="85">
        <f>SUM(AF100:AF102)</f>
        <v>34340</v>
      </c>
      <c r="AG104" s="85">
        <f>SUM(AG100:AG102)</f>
        <v>23600</v>
      </c>
      <c r="AH104" s="85">
        <f>SUM(AH100:AH102)</f>
        <v>10740</v>
      </c>
      <c r="AI104" s="66"/>
      <c r="AJ104" s="85">
        <f ca="1">SUM(AJ100:AJ102)</f>
        <v>18499</v>
      </c>
      <c r="AK104" s="85">
        <f ca="1">SUM(AK100:AK102)</f>
        <v>3709</v>
      </c>
      <c r="AL104" s="66"/>
      <c r="AM104" s="85">
        <f>SUM(AM100:AM102)</f>
        <v>12032</v>
      </c>
      <c r="AN104" s="85">
        <f ca="1">SUM(AN100:AN102)</f>
        <v>26017</v>
      </c>
      <c r="AO104" s="66"/>
      <c r="AP104" s="85">
        <f>SUM(AP100:AP102)</f>
        <v>24882</v>
      </c>
      <c r="AQ104" s="85">
        <f ca="1">SUM(AQ100:AQ102)</f>
        <v>17217</v>
      </c>
      <c r="AR104" s="66"/>
      <c r="AS104" s="66"/>
      <c r="AT104" s="66"/>
      <c r="AU104" s="66"/>
    </row>
    <row r="105" spans="1:47" ht="13.2" x14ac:dyDescent="0.25">
      <c r="A105" s="97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3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</row>
    <row r="106" spans="1:47" ht="13.2" x14ac:dyDescent="0.25">
      <c r="A106" s="97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3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</row>
    <row r="107" spans="1:47" ht="13.2" x14ac:dyDescent="0.25">
      <c r="A107" s="103" t="s">
        <v>342</v>
      </c>
      <c r="B107" s="66"/>
      <c r="C107" s="66"/>
      <c r="D107" s="78">
        <f t="shared" ref="D107:R107" ca="1" si="96">D59-D104</f>
        <v>0</v>
      </c>
      <c r="E107" s="78">
        <f t="shared" ca="1" si="96"/>
        <v>0</v>
      </c>
      <c r="F107" s="78">
        <f t="shared" ca="1" si="96"/>
        <v>0</v>
      </c>
      <c r="G107" s="78">
        <f t="shared" ca="1" si="96"/>
        <v>0</v>
      </c>
      <c r="H107" s="78">
        <f t="shared" ca="1" si="96"/>
        <v>0</v>
      </c>
      <c r="I107" s="78">
        <f t="shared" ca="1" si="96"/>
        <v>0</v>
      </c>
      <c r="J107" s="78">
        <f t="shared" ca="1" si="96"/>
        <v>0</v>
      </c>
      <c r="K107" s="78">
        <f t="shared" ca="1" si="96"/>
        <v>0</v>
      </c>
      <c r="L107" s="78">
        <f t="shared" ca="1" si="96"/>
        <v>0</v>
      </c>
      <c r="M107" s="78">
        <f t="shared" ca="1" si="96"/>
        <v>0</v>
      </c>
      <c r="N107" s="78">
        <f t="shared" ca="1" si="96"/>
        <v>0</v>
      </c>
      <c r="O107" s="78">
        <f t="shared" ca="1" si="96"/>
        <v>0</v>
      </c>
      <c r="P107" s="78">
        <f t="shared" ca="1" si="96"/>
        <v>0</v>
      </c>
      <c r="Q107" s="78">
        <f t="shared" ca="1" si="96"/>
        <v>0</v>
      </c>
      <c r="R107" s="78">
        <f t="shared" ca="1" si="96"/>
        <v>0</v>
      </c>
      <c r="S107" s="66"/>
      <c r="T107" s="78">
        <f>T59-T104</f>
        <v>0</v>
      </c>
      <c r="U107" s="78">
        <f>U59-U104</f>
        <v>0</v>
      </c>
      <c r="V107" s="78">
        <f>V59-V104</f>
        <v>0</v>
      </c>
      <c r="W107" s="66"/>
      <c r="X107" s="66"/>
      <c r="Y107" s="66"/>
      <c r="Z107" s="66"/>
      <c r="AA107" s="66" t="str">
        <f>A107</f>
        <v xml:space="preserve">      CHECK #</v>
      </c>
      <c r="AB107" s="78">
        <f ca="1">AB59-AB104</f>
        <v>0</v>
      </c>
      <c r="AC107" s="78">
        <f ca="1">AC59-AC104</f>
        <v>0</v>
      </c>
      <c r="AD107" s="78">
        <f ca="1">AD59-AD104</f>
        <v>0</v>
      </c>
      <c r="AE107" s="66"/>
      <c r="AF107" s="78">
        <f>AF59-AF104</f>
        <v>0</v>
      </c>
      <c r="AG107" s="78">
        <f>AG59-AG104</f>
        <v>0</v>
      </c>
      <c r="AH107" s="78">
        <f>AH59-AH104</f>
        <v>0</v>
      </c>
      <c r="AI107" s="66"/>
      <c r="AJ107" s="78">
        <f ca="1">AJ59-AJ104</f>
        <v>0</v>
      </c>
      <c r="AK107" s="78">
        <f ca="1">AK59-AK104</f>
        <v>0</v>
      </c>
      <c r="AL107" s="66"/>
      <c r="AM107" s="78">
        <f>AM59-AM104</f>
        <v>0</v>
      </c>
      <c r="AN107" s="78">
        <f ca="1">AN59-AN104</f>
        <v>0</v>
      </c>
      <c r="AO107" s="66"/>
      <c r="AP107" s="78">
        <f>AP59-AP104</f>
        <v>0</v>
      </c>
      <c r="AQ107" s="78">
        <f ca="1">AQ59-AQ104</f>
        <v>0</v>
      </c>
      <c r="AR107" s="66"/>
      <c r="AS107" s="66"/>
      <c r="AT107" s="66"/>
      <c r="AU107" s="66"/>
    </row>
    <row r="108" spans="1:47" ht="13.2" x14ac:dyDescent="0.25">
      <c r="A108" s="97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3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</row>
    <row r="109" spans="1:47" ht="13.2" x14ac:dyDescent="0.25">
      <c r="A109" s="97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3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</row>
    <row r="110" spans="1:47" ht="13.2" x14ac:dyDescent="0.25">
      <c r="A110" s="103" t="s">
        <v>490</v>
      </c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 t="str">
        <f>A110</f>
        <v>Working Capital Changes</v>
      </c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</row>
    <row r="111" spans="1:47" ht="13.2" x14ac:dyDescent="0.25">
      <c r="A111" s="103" t="s">
        <v>493</v>
      </c>
      <c r="B111" s="66"/>
      <c r="C111" s="66"/>
      <c r="D111" s="83">
        <f t="shared" ref="D111:R111" si="97">SUM(D82:D84)</f>
        <v>2341</v>
      </c>
      <c r="E111" s="83">
        <f t="shared" si="97"/>
        <v>-317</v>
      </c>
      <c r="F111" s="83">
        <f t="shared" si="97"/>
        <v>3107</v>
      </c>
      <c r="G111" s="83">
        <f t="shared" si="97"/>
        <v>-14721</v>
      </c>
      <c r="H111" s="83">
        <f t="shared" si="97"/>
        <v>-2413</v>
      </c>
      <c r="I111" s="83">
        <f t="shared" si="97"/>
        <v>13572</v>
      </c>
      <c r="J111" s="83">
        <f t="shared" si="97"/>
        <v>-11610</v>
      </c>
      <c r="K111" s="83">
        <f t="shared" si="97"/>
        <v>3278</v>
      </c>
      <c r="L111" s="83">
        <f t="shared" si="97"/>
        <v>897</v>
      </c>
      <c r="M111" s="83">
        <f t="shared" si="97"/>
        <v>-1931</v>
      </c>
      <c r="N111" s="83">
        <f t="shared" si="97"/>
        <v>2684</v>
      </c>
      <c r="O111" s="83">
        <f t="shared" si="97"/>
        <v>-1968</v>
      </c>
      <c r="P111" s="83">
        <f t="shared" si="97"/>
        <v>-7081</v>
      </c>
      <c r="Q111" s="83">
        <f t="shared" si="97"/>
        <v>-10041</v>
      </c>
      <c r="R111" s="83">
        <f t="shared" si="97"/>
        <v>2960</v>
      </c>
      <c r="S111" s="66"/>
      <c r="T111" s="83">
        <f>SUM(T82:T84)</f>
        <v>-7196</v>
      </c>
      <c r="U111" s="83">
        <f>SUM(U82:U84)</f>
        <v>-3872</v>
      </c>
      <c r="V111" s="83">
        <f>SUM(V82:V84)</f>
        <v>-3324</v>
      </c>
      <c r="W111" s="66"/>
      <c r="X111" s="66"/>
      <c r="Y111" s="66"/>
      <c r="Z111" s="66"/>
      <c r="AA111" s="66" t="str">
        <f>A111</f>
        <v xml:space="preserve">      Others, Net </v>
      </c>
      <c r="AB111" s="83">
        <f>SUM(AB82:AB84)</f>
        <v>-7081</v>
      </c>
      <c r="AC111" s="83">
        <f>SUM(AC82:AC84)</f>
        <v>-5866</v>
      </c>
      <c r="AD111" s="83">
        <f>SUM(AD82:AD84)</f>
        <v>-1215</v>
      </c>
      <c r="AE111" s="66"/>
      <c r="AF111" s="83">
        <f>SUM(AF82:AF84)</f>
        <v>-7196</v>
      </c>
      <c r="AG111" s="83">
        <f>SUM(AG82:AG84)</f>
        <v>-3872</v>
      </c>
      <c r="AH111" s="83">
        <f>SUM(AH82:AH84)</f>
        <v>-3324</v>
      </c>
      <c r="AI111" s="66"/>
      <c r="AJ111" s="83">
        <f>SUM(AJ82:AJ84)</f>
        <v>-1994</v>
      </c>
      <c r="AK111" s="83">
        <f>SUM(AK82:AK84)</f>
        <v>115</v>
      </c>
      <c r="AL111" s="66"/>
      <c r="AM111" s="83">
        <f>SUM(AM82:AM84)</f>
        <v>-11588</v>
      </c>
      <c r="AN111" s="83">
        <f>SUM(AN82:AN84)</f>
        <v>4507</v>
      </c>
      <c r="AO111" s="66"/>
      <c r="AP111" s="83">
        <f>SUM(AP82:AP84)</f>
        <v>-6944</v>
      </c>
      <c r="AQ111" s="83">
        <f>SUM(AQ82:AQ84)</f>
        <v>1078</v>
      </c>
      <c r="AR111" s="66"/>
      <c r="AS111" s="66"/>
      <c r="AT111" s="66"/>
      <c r="AU111" s="66"/>
    </row>
    <row r="112" spans="1:47" ht="3.9" customHeight="1" x14ac:dyDescent="0.25">
      <c r="A112" s="97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</row>
    <row r="113" spans="1:47" ht="13.2" x14ac:dyDescent="0.25">
      <c r="A113" s="103" t="s">
        <v>509</v>
      </c>
      <c r="B113" s="66"/>
      <c r="C113" s="66"/>
      <c r="D113" s="83">
        <f t="shared" ref="D113:R113" si="98">SUM(D111:D111)</f>
        <v>2341</v>
      </c>
      <c r="E113" s="83">
        <f t="shared" si="98"/>
        <v>-317</v>
      </c>
      <c r="F113" s="83">
        <f t="shared" si="98"/>
        <v>3107</v>
      </c>
      <c r="G113" s="83">
        <f t="shared" si="98"/>
        <v>-14721</v>
      </c>
      <c r="H113" s="83">
        <f t="shared" si="98"/>
        <v>-2413</v>
      </c>
      <c r="I113" s="83">
        <f t="shared" si="98"/>
        <v>13572</v>
      </c>
      <c r="J113" s="83">
        <f t="shared" si="98"/>
        <v>-11610</v>
      </c>
      <c r="K113" s="83">
        <f t="shared" si="98"/>
        <v>3278</v>
      </c>
      <c r="L113" s="83">
        <f t="shared" si="98"/>
        <v>897</v>
      </c>
      <c r="M113" s="83">
        <f t="shared" si="98"/>
        <v>-1931</v>
      </c>
      <c r="N113" s="83">
        <f t="shared" si="98"/>
        <v>2684</v>
      </c>
      <c r="O113" s="83">
        <f t="shared" si="98"/>
        <v>-1968</v>
      </c>
      <c r="P113" s="83">
        <f t="shared" si="98"/>
        <v>-7081</v>
      </c>
      <c r="Q113" s="83">
        <f t="shared" si="98"/>
        <v>-10041</v>
      </c>
      <c r="R113" s="83">
        <f t="shared" si="98"/>
        <v>2960</v>
      </c>
      <c r="S113" s="66"/>
      <c r="T113" s="83">
        <f>SUM(T111:T111)</f>
        <v>-7196</v>
      </c>
      <c r="U113" s="83">
        <f>SUM(U111:U111)</f>
        <v>-3872</v>
      </c>
      <c r="V113" s="83">
        <f>SUM(V111:V111)</f>
        <v>-3324</v>
      </c>
      <c r="W113" s="66"/>
      <c r="X113" s="66"/>
      <c r="Y113" s="66"/>
      <c r="Z113" s="66"/>
      <c r="AA113" s="66" t="str">
        <f>A113</f>
        <v xml:space="preserve">         Total Working Capital Changes</v>
      </c>
      <c r="AB113" s="83">
        <f>SUM(AB111:AB111)</f>
        <v>-7081</v>
      </c>
      <c r="AC113" s="83">
        <f>SUM(AC111:AC111)</f>
        <v>-5866</v>
      </c>
      <c r="AD113" s="83">
        <f>SUM(AD111:AD111)</f>
        <v>-1215</v>
      </c>
      <c r="AE113" s="66"/>
      <c r="AF113" s="83">
        <f>SUM(AF111:AF111)</f>
        <v>-7196</v>
      </c>
      <c r="AG113" s="83">
        <f>SUM(AG111:AG111)</f>
        <v>-3872</v>
      </c>
      <c r="AH113" s="83">
        <f>SUM(AH111:AH111)</f>
        <v>-3324</v>
      </c>
      <c r="AI113" s="66"/>
      <c r="AJ113" s="83">
        <f>SUM(AJ111:AJ111)</f>
        <v>-1994</v>
      </c>
      <c r="AK113" s="83">
        <f>SUM(AK111:AK111)</f>
        <v>115</v>
      </c>
      <c r="AL113" s="66"/>
      <c r="AM113" s="83">
        <f>SUM(AM111:AM111)</f>
        <v>-11588</v>
      </c>
      <c r="AN113" s="83">
        <f>SUM(AN111:AN111)</f>
        <v>4507</v>
      </c>
      <c r="AO113" s="66"/>
      <c r="AP113" s="83">
        <f>SUM(AP111:AP111)</f>
        <v>-6944</v>
      </c>
      <c r="AQ113" s="83">
        <f>SUM(AQ111:AQ111)</f>
        <v>1078</v>
      </c>
      <c r="AR113" s="66"/>
      <c r="AS113" s="66"/>
      <c r="AT113" s="66"/>
      <c r="AU113" s="66"/>
    </row>
    <row r="114" spans="1:47" ht="13.2" x14ac:dyDescent="0.25">
      <c r="A114" s="97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3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</row>
    <row r="115" spans="1:47" ht="13.2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3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</row>
    <row r="116" spans="1:47" ht="8.1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3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</row>
    <row r="117" spans="1:47" ht="12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3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</row>
    <row r="118" spans="1:47" ht="12.75" customHeight="1" x14ac:dyDescent="0.25">
      <c r="A118" s="107" t="str">
        <f ca="1">A1</f>
        <v>P:\Finance\2001CE\[TW3rdCECF.xls]BACKUP</v>
      </c>
      <c r="B118" s="66"/>
      <c r="C118" s="66"/>
      <c r="D118" s="66"/>
      <c r="E118" s="66"/>
      <c r="F118" s="66"/>
      <c r="G118" s="66"/>
      <c r="H118" s="66"/>
      <c r="I118" s="183" t="str">
        <f>I1</f>
        <v>TRANSWESTERN PIPELINE GROUP (Including Co. 92)</v>
      </c>
      <c r="J118" s="184"/>
      <c r="K118" s="184"/>
      <c r="L118" s="184"/>
      <c r="M118" s="66"/>
      <c r="N118" s="66"/>
      <c r="O118" s="66"/>
      <c r="P118" s="66"/>
      <c r="Q118" s="66"/>
      <c r="R118" s="66"/>
      <c r="S118" s="66"/>
      <c r="T118" s="66"/>
      <c r="U118" s="66"/>
      <c r="V118" s="65">
        <f ca="1">NOW()</f>
        <v>37197.646944328706</v>
      </c>
      <c r="W118" s="66"/>
      <c r="X118" s="66"/>
      <c r="Y118" s="66"/>
      <c r="Z118" s="66"/>
      <c r="AA118" s="67" t="str">
        <f ca="1">A1</f>
        <v>P:\Finance\2001CE\[TW3rdCECF.xls]BACKUP</v>
      </c>
      <c r="AB118" s="66"/>
      <c r="AC118" s="66"/>
      <c r="AD118" s="183" t="str">
        <f>I1</f>
        <v>TRANSWESTERN PIPELINE GROUP (Including Co. 92)</v>
      </c>
      <c r="AE118" s="184"/>
      <c r="AF118" s="184"/>
      <c r="AG118" s="184"/>
      <c r="AH118" s="66"/>
      <c r="AI118" s="66"/>
      <c r="AJ118" s="66"/>
      <c r="AK118" s="66"/>
      <c r="AL118" s="66"/>
      <c r="AM118" s="66"/>
      <c r="AN118" s="66"/>
      <c r="AO118" s="66"/>
      <c r="AP118" s="66"/>
      <c r="AQ118" s="65">
        <f ca="1">NOW()</f>
        <v>37197.646944328706</v>
      </c>
      <c r="AR118" s="66"/>
      <c r="AS118" s="66"/>
      <c r="AT118" s="66"/>
      <c r="AU118" s="66"/>
    </row>
    <row r="119" spans="1:47" ht="12.75" customHeight="1" x14ac:dyDescent="0.25">
      <c r="A119" s="62" t="s">
        <v>510</v>
      </c>
      <c r="B119" s="66"/>
      <c r="C119" s="66"/>
      <c r="D119" s="66"/>
      <c r="E119" s="66"/>
      <c r="F119" s="66"/>
      <c r="G119" s="66"/>
      <c r="H119" s="66"/>
      <c r="I119" s="181" t="s">
        <v>511</v>
      </c>
      <c r="J119" s="184"/>
      <c r="K119" s="184"/>
      <c r="L119" s="184"/>
      <c r="M119" s="66"/>
      <c r="N119" s="66"/>
      <c r="O119" s="66"/>
      <c r="P119" s="66"/>
      <c r="Q119" s="66"/>
      <c r="R119" s="66"/>
      <c r="S119" s="66"/>
      <c r="T119" s="66"/>
      <c r="U119" s="66"/>
      <c r="V119" s="70">
        <f ca="1">NOW()</f>
        <v>37197.646944328706</v>
      </c>
      <c r="W119" s="66"/>
      <c r="X119" s="66"/>
      <c r="Y119" s="66"/>
      <c r="Z119" s="66"/>
      <c r="AA119" s="62" t="s">
        <v>512</v>
      </c>
      <c r="AB119" s="66"/>
      <c r="AC119" s="66"/>
      <c r="AD119" s="183" t="str">
        <f>I119</f>
        <v>FUNDS FLOW STATEMENT</v>
      </c>
      <c r="AE119" s="184"/>
      <c r="AF119" s="184"/>
      <c r="AG119" s="184"/>
      <c r="AH119" s="66"/>
      <c r="AI119" s="66"/>
      <c r="AJ119" s="66"/>
      <c r="AK119" s="66"/>
      <c r="AL119" s="66"/>
      <c r="AM119" s="66"/>
      <c r="AN119" s="66"/>
      <c r="AO119" s="66"/>
      <c r="AP119" s="66"/>
      <c r="AQ119" s="70">
        <f ca="1">NOW()</f>
        <v>37197.646944328706</v>
      </c>
      <c r="AR119" s="66"/>
      <c r="AS119" s="66"/>
      <c r="AT119" s="66"/>
      <c r="AU119" s="66"/>
    </row>
    <row r="120" spans="1:47" ht="12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183" t="str">
        <f>I3</f>
        <v>2001 ACTUAL / ESTIMATE</v>
      </c>
      <c r="J120" s="184"/>
      <c r="K120" s="184"/>
      <c r="L120" s="184"/>
      <c r="M120" s="66"/>
      <c r="N120" s="66"/>
      <c r="O120" s="66"/>
      <c r="P120" s="66"/>
      <c r="Q120" s="66"/>
      <c r="R120" s="66"/>
      <c r="S120" s="66"/>
      <c r="T120" s="66"/>
      <c r="U120" s="66"/>
      <c r="V120"/>
      <c r="W120" s="66"/>
      <c r="X120" s="66"/>
      <c r="Y120" s="66"/>
      <c r="Z120" s="66"/>
      <c r="AA120" s="63"/>
      <c r="AB120" s="66"/>
      <c r="AC120" s="66"/>
      <c r="AD120" s="183" t="str">
        <f>I3</f>
        <v>2001 ACTUAL / ESTIMATE</v>
      </c>
      <c r="AE120" s="184"/>
      <c r="AF120" s="184"/>
      <c r="AG120" s="184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</row>
    <row r="121" spans="1:47" ht="12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183" t="str">
        <f>I4</f>
        <v>(Thousands of Dollars)</v>
      </c>
      <c r="J121" s="184"/>
      <c r="K121" s="184"/>
      <c r="L121" s="184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3"/>
      <c r="AB121" s="66"/>
      <c r="AC121" s="66"/>
      <c r="AD121" s="183" t="str">
        <f>I4</f>
        <v>(Thousands of Dollars)</v>
      </c>
      <c r="AE121" s="184"/>
      <c r="AF121" s="184"/>
      <c r="AG121" s="184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</row>
    <row r="122" spans="1:47" ht="12.75" customHeight="1" x14ac:dyDescent="0.25">
      <c r="A122" s="66"/>
      <c r="B122" s="66"/>
      <c r="C122" s="66"/>
      <c r="D122" s="111">
        <f t="shared" ref="D122:H124" si="99">D5</f>
        <v>0</v>
      </c>
      <c r="E122" s="111">
        <f t="shared" si="99"/>
        <v>0</v>
      </c>
      <c r="F122" s="111">
        <f t="shared" si="99"/>
        <v>0</v>
      </c>
      <c r="G122" s="111">
        <f t="shared" si="99"/>
        <v>0</v>
      </c>
      <c r="H122" s="111">
        <f t="shared" si="99"/>
        <v>0</v>
      </c>
      <c r="I122" s="111">
        <f>I5</f>
        <v>0</v>
      </c>
      <c r="J122" s="111">
        <f t="shared" ref="J122:O124" si="100">J5</f>
        <v>0</v>
      </c>
      <c r="K122" s="111" t="str">
        <f t="shared" si="100"/>
        <v>PRE</v>
      </c>
      <c r="L122" s="111">
        <f t="shared" si="100"/>
        <v>0</v>
      </c>
      <c r="M122" s="111">
        <f t="shared" si="100"/>
        <v>0</v>
      </c>
      <c r="N122" s="111">
        <f t="shared" si="100"/>
        <v>0</v>
      </c>
      <c r="O122" s="111">
        <f t="shared" si="100"/>
        <v>0</v>
      </c>
      <c r="P122" s="66"/>
      <c r="Q122" s="66"/>
      <c r="R122" s="66"/>
      <c r="S122" s="66"/>
      <c r="T122" s="111">
        <f>T5</f>
        <v>0</v>
      </c>
      <c r="U122" s="66"/>
      <c r="V122" s="111">
        <f>V5</f>
        <v>0</v>
      </c>
      <c r="W122" s="66"/>
      <c r="X122" s="66"/>
      <c r="Y122" s="66"/>
      <c r="Z122" s="66"/>
      <c r="AA122" s="63"/>
      <c r="AB122" s="66"/>
      <c r="AC122" s="66"/>
      <c r="AD122" s="66"/>
      <c r="AE122" s="66"/>
      <c r="AF122" s="111">
        <f>AF5</f>
        <v>0</v>
      </c>
      <c r="AG122" s="66"/>
      <c r="AH122" s="111">
        <f>AH5</f>
        <v>0</v>
      </c>
      <c r="AI122" s="66"/>
      <c r="AJ122" s="66"/>
      <c r="AK122" s="111">
        <f>AK5</f>
        <v>0</v>
      </c>
      <c r="AL122" s="66"/>
      <c r="AM122" s="66"/>
      <c r="AN122" s="66"/>
      <c r="AO122" s="66"/>
      <c r="AP122" s="191"/>
      <c r="AQ122" s="184"/>
      <c r="AR122" s="66"/>
      <c r="AS122" s="66"/>
      <c r="AT122" s="66"/>
      <c r="AU122" s="66"/>
    </row>
    <row r="123" spans="1:47" ht="12.75" customHeight="1" x14ac:dyDescent="0.25">
      <c r="A123" s="66"/>
      <c r="B123" s="66"/>
      <c r="C123" s="66"/>
      <c r="D123" s="111" t="str">
        <f t="shared" si="99"/>
        <v>ACT.</v>
      </c>
      <c r="E123" s="111" t="str">
        <f t="shared" si="99"/>
        <v>ACT.</v>
      </c>
      <c r="F123" s="111" t="str">
        <f t="shared" si="99"/>
        <v>ACT.</v>
      </c>
      <c r="G123" s="111" t="str">
        <f t="shared" si="99"/>
        <v>ACT.</v>
      </c>
      <c r="H123" s="111" t="str">
        <f t="shared" si="99"/>
        <v>ACT.</v>
      </c>
      <c r="I123" s="111" t="str">
        <f>I6</f>
        <v>ACT.</v>
      </c>
      <c r="J123" s="111" t="str">
        <f t="shared" si="100"/>
        <v>ACT.</v>
      </c>
      <c r="K123" s="111" t="str">
        <f t="shared" si="100"/>
        <v>ACT.</v>
      </c>
      <c r="L123" s="111" t="str">
        <f t="shared" si="100"/>
        <v>3rd CE</v>
      </c>
      <c r="M123" s="111" t="str">
        <f t="shared" si="100"/>
        <v>3rd CE</v>
      </c>
      <c r="N123" s="111" t="str">
        <f t="shared" si="100"/>
        <v>3rd CE</v>
      </c>
      <c r="O123" s="111" t="str">
        <f t="shared" si="100"/>
        <v>3rd CE</v>
      </c>
      <c r="P123" s="111" t="str">
        <f t="shared" ref="P123:R124" si="101">P6</f>
        <v>TOTAL</v>
      </c>
      <c r="Q123" s="111" t="str">
        <f t="shared" si="101"/>
        <v>JULY</v>
      </c>
      <c r="R123" s="111" t="str">
        <f t="shared" si="101"/>
        <v>ESTIMATED</v>
      </c>
      <c r="S123" s="66"/>
      <c r="T123" s="111" t="str">
        <f>T6</f>
        <v>PLAN</v>
      </c>
      <c r="U123" s="111" t="str">
        <f>U6</f>
        <v>SEPT.</v>
      </c>
      <c r="V123" s="111" t="str">
        <f>V6</f>
        <v>PLAN</v>
      </c>
      <c r="W123" s="66"/>
      <c r="X123" s="66"/>
      <c r="Y123" s="66"/>
      <c r="Z123" s="66"/>
      <c r="AA123" s="63"/>
      <c r="AB123" s="111" t="str">
        <f t="shared" ref="AB123:AD124" si="102">AB6</f>
        <v>TOTAL</v>
      </c>
      <c r="AC123" s="111" t="str">
        <f t="shared" si="102"/>
        <v>SEPT.</v>
      </c>
      <c r="AD123" s="111" t="str">
        <f t="shared" si="102"/>
        <v>ESTIMATED</v>
      </c>
      <c r="AE123" s="66"/>
      <c r="AF123" s="111" t="str">
        <f>AF6</f>
        <v>PLAN</v>
      </c>
      <c r="AG123" s="111" t="str">
        <f>AG6</f>
        <v>SEPT.</v>
      </c>
      <c r="AH123" s="111" t="str">
        <f>AH6</f>
        <v>PLAN</v>
      </c>
      <c r="AI123" s="66"/>
      <c r="AJ123" s="121" t="str">
        <f>AJ6</f>
        <v>ACT./EST. vs. PLAN</v>
      </c>
      <c r="AK123" s="121"/>
      <c r="AL123" s="111"/>
      <c r="AM123" s="121" t="str">
        <f>AM6</f>
        <v>2nd C.E.</v>
      </c>
      <c r="AN123" s="121"/>
      <c r="AO123" s="66"/>
      <c r="AP123" s="121" t="str">
        <f>AP6</f>
        <v>Sept. YTD</v>
      </c>
      <c r="AQ123" s="121"/>
      <c r="AR123" s="66"/>
      <c r="AS123" s="66"/>
      <c r="AT123" s="66"/>
      <c r="AU123" s="66"/>
    </row>
    <row r="124" spans="1:47" ht="12.75" customHeight="1" x14ac:dyDescent="0.25">
      <c r="A124" s="66"/>
      <c r="B124" s="66"/>
      <c r="C124" s="66"/>
      <c r="D124" s="76" t="str">
        <f t="shared" si="99"/>
        <v>JAN</v>
      </c>
      <c r="E124" s="76" t="str">
        <f t="shared" si="99"/>
        <v>FEB</v>
      </c>
      <c r="F124" s="76" t="str">
        <f t="shared" si="99"/>
        <v>MAR</v>
      </c>
      <c r="G124" s="76" t="str">
        <f t="shared" si="99"/>
        <v>APR</v>
      </c>
      <c r="H124" s="76" t="str">
        <f t="shared" si="99"/>
        <v>MAY</v>
      </c>
      <c r="I124" s="76" t="str">
        <f>I7</f>
        <v>JUN</v>
      </c>
      <c r="J124" s="76" t="str">
        <f t="shared" si="100"/>
        <v>JUL</v>
      </c>
      <c r="K124" s="76" t="str">
        <f t="shared" si="100"/>
        <v>AUG</v>
      </c>
      <c r="L124" s="76" t="str">
        <f t="shared" si="100"/>
        <v>SEP</v>
      </c>
      <c r="M124" s="76" t="str">
        <f t="shared" si="100"/>
        <v>OCT</v>
      </c>
      <c r="N124" s="76" t="str">
        <f t="shared" si="100"/>
        <v>NOV</v>
      </c>
      <c r="O124" s="76" t="str">
        <f t="shared" si="100"/>
        <v>DEC</v>
      </c>
      <c r="P124" s="76">
        <f t="shared" si="101"/>
        <v>2001</v>
      </c>
      <c r="Q124" s="76" t="str">
        <f t="shared" si="101"/>
        <v>Y-T-D</v>
      </c>
      <c r="R124" s="76" t="str">
        <f t="shared" si="101"/>
        <v>R.M.</v>
      </c>
      <c r="S124" s="66"/>
      <c r="T124" s="76">
        <f>T7</f>
        <v>2001</v>
      </c>
      <c r="U124" s="76" t="str">
        <f>U7</f>
        <v>Y-T-D</v>
      </c>
      <c r="V124" s="76" t="str">
        <f>V7</f>
        <v>R.M.</v>
      </c>
      <c r="W124" s="66"/>
      <c r="X124" s="66"/>
      <c r="Y124" s="66"/>
      <c r="Z124" s="66"/>
      <c r="AA124" s="63"/>
      <c r="AB124" s="76">
        <f t="shared" si="102"/>
        <v>2001</v>
      </c>
      <c r="AC124" s="76" t="str">
        <f t="shared" si="102"/>
        <v>Y-T-D</v>
      </c>
      <c r="AD124" s="76" t="str">
        <f t="shared" si="102"/>
        <v>R.M.</v>
      </c>
      <c r="AE124" s="66"/>
      <c r="AF124" s="76">
        <f>AF7</f>
        <v>2001</v>
      </c>
      <c r="AG124" s="76" t="str">
        <f>AG7</f>
        <v>Y-T-D</v>
      </c>
      <c r="AH124" s="76" t="str">
        <f>AH7</f>
        <v>R.M.</v>
      </c>
      <c r="AI124" s="66"/>
      <c r="AJ124" s="76" t="str">
        <f>AJ7</f>
        <v>Y-T-D</v>
      </c>
      <c r="AK124" s="76" t="str">
        <f>AK7</f>
        <v>ANNUAL</v>
      </c>
      <c r="AL124" s="76"/>
      <c r="AM124" s="76" t="str">
        <f>AM7</f>
        <v>ANNUAL</v>
      </c>
      <c r="AN124" s="76" t="str">
        <f>AN7</f>
        <v>Variance</v>
      </c>
      <c r="AO124" s="66"/>
      <c r="AP124" s="76" t="str">
        <f>AP7</f>
        <v>2nd C.E.</v>
      </c>
      <c r="AQ124" s="76" t="str">
        <f>AQ7</f>
        <v>Variance</v>
      </c>
      <c r="AR124" s="66"/>
      <c r="AS124" s="66"/>
      <c r="AT124" s="66"/>
      <c r="AU124" s="66"/>
    </row>
    <row r="125" spans="1:47" ht="12.75" customHeight="1" x14ac:dyDescent="0.25">
      <c r="A125" s="108" t="str">
        <f>A8</f>
        <v>CASH FLOW FROM OPERATING ACTIVITIES</v>
      </c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3" t="str">
        <f t="shared" ref="AA125:AA130" si="103">A125</f>
        <v>CASH FLOW FROM OPERATING ACTIVITIES</v>
      </c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</row>
    <row r="126" spans="1:47" ht="12.75" customHeight="1" x14ac:dyDescent="0.25">
      <c r="A126" s="66" t="str">
        <f>A9</f>
        <v xml:space="preserve">   Net Income </v>
      </c>
      <c r="B126" s="66"/>
      <c r="C126" s="66"/>
      <c r="D126" s="114">
        <f t="shared" ref="D126:R126" si="104">D9</f>
        <v>6658</v>
      </c>
      <c r="E126" s="114">
        <f t="shared" si="104"/>
        <v>8540</v>
      </c>
      <c r="F126" s="114">
        <f t="shared" si="104"/>
        <v>3341</v>
      </c>
      <c r="G126" s="114">
        <f t="shared" si="104"/>
        <v>8154</v>
      </c>
      <c r="H126" s="114">
        <f t="shared" si="104"/>
        <v>7578</v>
      </c>
      <c r="I126" s="114">
        <f t="shared" si="104"/>
        <v>6296</v>
      </c>
      <c r="J126" s="114">
        <f t="shared" si="104"/>
        <v>6915</v>
      </c>
      <c r="K126" s="114">
        <f t="shared" si="104"/>
        <v>6452</v>
      </c>
      <c r="L126" s="114">
        <f t="shared" si="104"/>
        <v>6558</v>
      </c>
      <c r="M126" s="114">
        <f t="shared" si="104"/>
        <v>5998</v>
      </c>
      <c r="N126" s="114">
        <f t="shared" si="104"/>
        <v>5486</v>
      </c>
      <c r="O126" s="114">
        <f t="shared" si="104"/>
        <v>5977</v>
      </c>
      <c r="P126" s="114">
        <f t="shared" si="104"/>
        <v>77953</v>
      </c>
      <c r="Q126" s="114">
        <f t="shared" si="104"/>
        <v>47482</v>
      </c>
      <c r="R126" s="114">
        <f t="shared" si="104"/>
        <v>30471</v>
      </c>
      <c r="S126" s="66"/>
      <c r="T126" s="114">
        <f>T9</f>
        <v>72797</v>
      </c>
      <c r="U126" s="114">
        <f>U9</f>
        <v>54234</v>
      </c>
      <c r="V126" s="114">
        <f>V9</f>
        <v>18563</v>
      </c>
      <c r="W126" s="66"/>
      <c r="X126" s="66"/>
      <c r="Y126" s="66"/>
      <c r="Z126" s="66"/>
      <c r="AA126" s="122" t="str">
        <f t="shared" si="103"/>
        <v xml:space="preserve">   Net Income </v>
      </c>
      <c r="AB126" s="114">
        <f>P126</f>
        <v>77953</v>
      </c>
      <c r="AC126" s="114">
        <f>AC9</f>
        <v>60492</v>
      </c>
      <c r="AD126" s="78">
        <f>AB126-AC126</f>
        <v>17461</v>
      </c>
      <c r="AE126" s="66"/>
      <c r="AF126" s="78">
        <f>T126</f>
        <v>72797</v>
      </c>
      <c r="AG126" s="114">
        <f>AG9</f>
        <v>54234</v>
      </c>
      <c r="AH126" s="78">
        <f>AF126-AG126</f>
        <v>18563</v>
      </c>
      <c r="AI126" s="66"/>
      <c r="AJ126" s="78">
        <f>AC126-AG126</f>
        <v>6258</v>
      </c>
      <c r="AK126" s="78">
        <f>AB126-AF126</f>
        <v>5156</v>
      </c>
      <c r="AL126" s="66"/>
      <c r="AM126" s="114">
        <f>AM9</f>
        <v>84501</v>
      </c>
      <c r="AN126" s="78">
        <f>AB126-AM126</f>
        <v>-6548</v>
      </c>
      <c r="AO126" s="66"/>
      <c r="AP126" s="114">
        <f>AP9</f>
        <v>65754</v>
      </c>
      <c r="AQ126" s="78">
        <f>AC126-AP126</f>
        <v>-5262</v>
      </c>
      <c r="AR126" s="66"/>
      <c r="AS126" s="66"/>
      <c r="AT126" s="66"/>
      <c r="AU126" s="66"/>
    </row>
    <row r="127" spans="1:47" ht="12.75" customHeight="1" x14ac:dyDescent="0.25">
      <c r="A127" s="112" t="s">
        <v>513</v>
      </c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122" t="str">
        <f t="shared" si="103"/>
        <v xml:space="preserve">   Items not affecting Cash:</v>
      </c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</row>
    <row r="128" spans="1:47" ht="12.75" customHeight="1" x14ac:dyDescent="0.25">
      <c r="A128" s="66" t="str">
        <f>A11</f>
        <v xml:space="preserve">      Depreciation and Amortization</v>
      </c>
      <c r="B128" s="66"/>
      <c r="C128" s="66"/>
      <c r="D128" s="114">
        <f t="shared" ref="D128:R128" si="105">D11</f>
        <v>1621</v>
      </c>
      <c r="E128" s="114">
        <f t="shared" si="105"/>
        <v>1587</v>
      </c>
      <c r="F128" s="114">
        <f t="shared" si="105"/>
        <v>1631</v>
      </c>
      <c r="G128" s="114">
        <f t="shared" si="105"/>
        <v>1643</v>
      </c>
      <c r="H128" s="114">
        <f t="shared" si="105"/>
        <v>1600</v>
      </c>
      <c r="I128" s="114">
        <f t="shared" si="105"/>
        <v>1710</v>
      </c>
      <c r="J128" s="114">
        <f t="shared" si="105"/>
        <v>1648</v>
      </c>
      <c r="K128" s="114">
        <f t="shared" si="105"/>
        <v>1650</v>
      </c>
      <c r="L128" s="114">
        <f t="shared" si="105"/>
        <v>1700</v>
      </c>
      <c r="M128" s="114">
        <f t="shared" si="105"/>
        <v>1800</v>
      </c>
      <c r="N128" s="114">
        <f t="shared" si="105"/>
        <v>1900</v>
      </c>
      <c r="O128" s="114">
        <f t="shared" si="105"/>
        <v>1950</v>
      </c>
      <c r="P128" s="114">
        <f t="shared" si="105"/>
        <v>20440</v>
      </c>
      <c r="Q128" s="114">
        <f t="shared" si="105"/>
        <v>11440</v>
      </c>
      <c r="R128" s="114">
        <f t="shared" si="105"/>
        <v>9000</v>
      </c>
      <c r="S128" s="66"/>
      <c r="T128" s="114">
        <f>T11</f>
        <v>21996</v>
      </c>
      <c r="U128" s="114">
        <f>U11</f>
        <v>16497</v>
      </c>
      <c r="V128" s="114">
        <f>V11</f>
        <v>5499</v>
      </c>
      <c r="W128" s="66"/>
      <c r="X128" s="66"/>
      <c r="Y128" s="66"/>
      <c r="Z128" s="66"/>
      <c r="AA128" s="122" t="str">
        <f t="shared" si="103"/>
        <v xml:space="preserve">      Depreciation and Amortization</v>
      </c>
      <c r="AB128" s="114">
        <f>P128</f>
        <v>20440</v>
      </c>
      <c r="AC128" s="114">
        <f>AC11</f>
        <v>14790</v>
      </c>
      <c r="AD128" s="78">
        <f>AB128-AC128</f>
        <v>5650</v>
      </c>
      <c r="AE128" s="66"/>
      <c r="AF128" s="78">
        <f>T128</f>
        <v>21996</v>
      </c>
      <c r="AG128" s="114">
        <f>AG11</f>
        <v>16497</v>
      </c>
      <c r="AH128" s="78">
        <f>AF128-AG128</f>
        <v>5499</v>
      </c>
      <c r="AI128" s="66"/>
      <c r="AJ128" s="78">
        <f>AC128-AG128</f>
        <v>-1707</v>
      </c>
      <c r="AK128" s="78">
        <f>AB128-AF128</f>
        <v>-1556</v>
      </c>
      <c r="AL128" s="66"/>
      <c r="AM128" s="114">
        <f>AM11</f>
        <v>20542</v>
      </c>
      <c r="AN128" s="78">
        <f>AB128-AM128</f>
        <v>-102</v>
      </c>
      <c r="AO128" s="66"/>
      <c r="AP128" s="114">
        <f>AP11</f>
        <v>14992</v>
      </c>
      <c r="AQ128" s="78">
        <f>AC128-AP128</f>
        <v>-202</v>
      </c>
      <c r="AR128" s="66"/>
      <c r="AS128" s="66"/>
      <c r="AT128" s="66"/>
      <c r="AU128" s="66"/>
    </row>
    <row r="129" spans="1:47" ht="12.75" customHeight="1" x14ac:dyDescent="0.25">
      <c r="A129" s="112" t="s">
        <v>514</v>
      </c>
      <c r="B129" s="66"/>
      <c r="C129" s="66"/>
      <c r="D129" s="114">
        <f>D13</f>
        <v>150</v>
      </c>
      <c r="E129" s="114">
        <f t="shared" ref="E129:V129" si="106">E13</f>
        <v>92</v>
      </c>
      <c r="F129" s="114">
        <f t="shared" si="106"/>
        <v>-4693</v>
      </c>
      <c r="G129" s="114">
        <f t="shared" si="106"/>
        <v>802</v>
      </c>
      <c r="H129" s="114">
        <f t="shared" si="106"/>
        <v>259</v>
      </c>
      <c r="I129" s="114">
        <f t="shared" si="106"/>
        <v>6</v>
      </c>
      <c r="J129" s="114">
        <f t="shared" si="106"/>
        <v>256</v>
      </c>
      <c r="K129" s="114">
        <f t="shared" si="106"/>
        <v>100</v>
      </c>
      <c r="L129" s="114">
        <f t="shared" si="106"/>
        <v>747</v>
      </c>
      <c r="M129" s="114">
        <f t="shared" si="106"/>
        <v>3257</v>
      </c>
      <c r="N129" s="114">
        <f t="shared" si="106"/>
        <v>-753</v>
      </c>
      <c r="O129" s="114">
        <f t="shared" si="106"/>
        <v>-60</v>
      </c>
      <c r="P129" s="114">
        <f t="shared" si="106"/>
        <v>163</v>
      </c>
      <c r="Q129" s="114">
        <f t="shared" si="106"/>
        <v>-3128</v>
      </c>
      <c r="R129" s="114">
        <f t="shared" si="106"/>
        <v>3291</v>
      </c>
      <c r="S129" s="66"/>
      <c r="T129" s="114">
        <f t="shared" si="106"/>
        <v>298</v>
      </c>
      <c r="U129" s="114">
        <f t="shared" si="106"/>
        <v>921</v>
      </c>
      <c r="V129" s="114">
        <f t="shared" si="106"/>
        <v>-623</v>
      </c>
      <c r="W129" s="66"/>
      <c r="X129" s="66"/>
      <c r="Y129" s="66"/>
      <c r="Z129" s="66"/>
      <c r="AA129" s="122" t="str">
        <f t="shared" si="103"/>
        <v xml:space="preserve">      Deferred Income Taxes</v>
      </c>
      <c r="AB129" s="114">
        <f>P129</f>
        <v>163</v>
      </c>
      <c r="AC129" s="114">
        <f>AC13</f>
        <v>-2281</v>
      </c>
      <c r="AD129" s="78">
        <f>AB129-AC129</f>
        <v>2444</v>
      </c>
      <c r="AE129" s="66"/>
      <c r="AF129" s="78">
        <f>T129</f>
        <v>298</v>
      </c>
      <c r="AG129" s="114">
        <f>AG13</f>
        <v>921</v>
      </c>
      <c r="AH129" s="78">
        <f>AF129-AG129</f>
        <v>-623</v>
      </c>
      <c r="AI129" s="66"/>
      <c r="AJ129" s="78">
        <f>AC129-AG129</f>
        <v>-3202</v>
      </c>
      <c r="AK129" s="78">
        <f>AB129-AF129</f>
        <v>-135</v>
      </c>
      <c r="AL129" s="66"/>
      <c r="AM129" s="114">
        <f>AM13</f>
        <v>4799</v>
      </c>
      <c r="AN129" s="78">
        <f>AB129-AM129</f>
        <v>-4636</v>
      </c>
      <c r="AO129" s="66"/>
      <c r="AP129" s="114">
        <f>AP13</f>
        <v>2243</v>
      </c>
      <c r="AQ129" s="78">
        <f>AC129-AP129</f>
        <v>-4524</v>
      </c>
      <c r="AR129" s="66"/>
      <c r="AS129" s="66"/>
      <c r="AT129" s="66"/>
      <c r="AU129" s="66"/>
    </row>
    <row r="130" spans="1:47" ht="12.75" customHeight="1" x14ac:dyDescent="0.25">
      <c r="A130" s="112" t="s">
        <v>515</v>
      </c>
      <c r="B130" s="66"/>
      <c r="C130" s="66"/>
      <c r="D130" s="116">
        <f t="shared" ref="D130:R130" si="107">D30</f>
        <v>0</v>
      </c>
      <c r="E130" s="116">
        <f t="shared" si="107"/>
        <v>0</v>
      </c>
      <c r="F130" s="116">
        <f t="shared" si="107"/>
        <v>106</v>
      </c>
      <c r="G130" s="116">
        <f t="shared" si="107"/>
        <v>0</v>
      </c>
      <c r="H130" s="116">
        <f t="shared" si="107"/>
        <v>0</v>
      </c>
      <c r="I130" s="116">
        <f t="shared" si="107"/>
        <v>0</v>
      </c>
      <c r="J130" s="116">
        <f t="shared" si="107"/>
        <v>-18</v>
      </c>
      <c r="K130" s="116">
        <f t="shared" si="107"/>
        <v>0</v>
      </c>
      <c r="L130" s="116">
        <f t="shared" si="107"/>
        <v>0</v>
      </c>
      <c r="M130" s="116">
        <f t="shared" si="107"/>
        <v>0</v>
      </c>
      <c r="N130" s="116">
        <f t="shared" si="107"/>
        <v>0</v>
      </c>
      <c r="O130" s="116">
        <f t="shared" si="107"/>
        <v>0</v>
      </c>
      <c r="P130" s="116">
        <f t="shared" si="107"/>
        <v>88</v>
      </c>
      <c r="Q130" s="116">
        <f t="shared" si="107"/>
        <v>88</v>
      </c>
      <c r="R130" s="116">
        <f t="shared" si="107"/>
        <v>0</v>
      </c>
      <c r="S130" s="66"/>
      <c r="T130" s="116">
        <f>T30</f>
        <v>0</v>
      </c>
      <c r="U130" s="116">
        <f>U30</f>
        <v>0</v>
      </c>
      <c r="V130" s="116">
        <f>V30</f>
        <v>0</v>
      </c>
      <c r="W130" s="66"/>
      <c r="X130" s="66"/>
      <c r="Y130" s="66"/>
      <c r="Z130" s="66"/>
      <c r="AA130" s="122" t="str">
        <f t="shared" si="103"/>
        <v xml:space="preserve">      Net (Gain) / Loss on Sale of Assets</v>
      </c>
      <c r="AB130" s="116">
        <f>P130</f>
        <v>88</v>
      </c>
      <c r="AC130" s="116">
        <f>AC30</f>
        <v>88</v>
      </c>
      <c r="AD130" s="83">
        <f>AB130-AC130</f>
        <v>0</v>
      </c>
      <c r="AE130" s="66"/>
      <c r="AF130" s="83">
        <f>T130</f>
        <v>0</v>
      </c>
      <c r="AG130" s="116">
        <f>AG30</f>
        <v>0</v>
      </c>
      <c r="AH130" s="83">
        <f>AF130-AG130</f>
        <v>0</v>
      </c>
      <c r="AI130" s="66"/>
      <c r="AJ130" s="83">
        <f>AC130-AG130</f>
        <v>88</v>
      </c>
      <c r="AK130" s="83">
        <f>AB130-AF130</f>
        <v>88</v>
      </c>
      <c r="AL130" s="66"/>
      <c r="AM130" s="116">
        <f>AM30</f>
        <v>106</v>
      </c>
      <c r="AN130" s="83">
        <f>AB130-AM130</f>
        <v>-18</v>
      </c>
      <c r="AO130" s="66"/>
      <c r="AP130" s="116">
        <f>AP30</f>
        <v>106</v>
      </c>
      <c r="AQ130" s="83">
        <f>AC130-AP130</f>
        <v>-18</v>
      </c>
      <c r="AR130" s="66"/>
      <c r="AS130" s="66"/>
      <c r="AT130" s="66"/>
      <c r="AU130" s="66"/>
    </row>
    <row r="131" spans="1:47" ht="3.9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3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</row>
    <row r="132" spans="1:47" ht="12.75" customHeight="1" x14ac:dyDescent="0.25">
      <c r="A132" s="115" t="str">
        <f>A79</f>
        <v xml:space="preserve">            Total Cash Flow From Operations</v>
      </c>
      <c r="B132" s="66"/>
      <c r="C132" s="66"/>
      <c r="D132" s="114">
        <f>SUM(D126:D130)</f>
        <v>8429</v>
      </c>
      <c r="E132" s="114">
        <f>SUM(E126:E130)</f>
        <v>10219</v>
      </c>
      <c r="F132" s="114">
        <f t="shared" ref="F132:V132" si="108">SUM(F126:F130)</f>
        <v>385</v>
      </c>
      <c r="G132" s="114">
        <f t="shared" si="108"/>
        <v>10599</v>
      </c>
      <c r="H132" s="114">
        <f t="shared" si="108"/>
        <v>9437</v>
      </c>
      <c r="I132" s="114">
        <f t="shared" si="108"/>
        <v>8012</v>
      </c>
      <c r="J132" s="114">
        <f t="shared" si="108"/>
        <v>8801</v>
      </c>
      <c r="K132" s="114">
        <f t="shared" si="108"/>
        <v>8202</v>
      </c>
      <c r="L132" s="114">
        <f t="shared" si="108"/>
        <v>9005</v>
      </c>
      <c r="M132" s="114">
        <f t="shared" si="108"/>
        <v>11055</v>
      </c>
      <c r="N132" s="114">
        <f t="shared" si="108"/>
        <v>6633</v>
      </c>
      <c r="O132" s="114">
        <f t="shared" si="108"/>
        <v>7867</v>
      </c>
      <c r="P132" s="114">
        <f t="shared" si="108"/>
        <v>98644</v>
      </c>
      <c r="Q132" s="114">
        <f t="shared" si="108"/>
        <v>55882</v>
      </c>
      <c r="R132" s="114">
        <f t="shared" si="108"/>
        <v>42762</v>
      </c>
      <c r="S132" s="66"/>
      <c r="T132" s="114">
        <f t="shared" si="108"/>
        <v>95091</v>
      </c>
      <c r="U132" s="114">
        <f t="shared" si="108"/>
        <v>71652</v>
      </c>
      <c r="V132" s="114">
        <f t="shared" si="108"/>
        <v>23439</v>
      </c>
      <c r="W132" s="66"/>
      <c r="X132" s="66"/>
      <c r="Y132" s="66"/>
      <c r="Z132" s="66"/>
      <c r="AA132" s="122" t="str">
        <f>A132</f>
        <v xml:space="preserve">            Total Cash Flow From Operations</v>
      </c>
      <c r="AB132" s="114">
        <f>SUM(AB126:AB130)</f>
        <v>98644</v>
      </c>
      <c r="AC132" s="114">
        <f t="shared" ref="AC132:AQ132" si="109">SUM(AC126:AC130)</f>
        <v>73089</v>
      </c>
      <c r="AD132" s="114">
        <f t="shared" si="109"/>
        <v>25555</v>
      </c>
      <c r="AE132" s="114"/>
      <c r="AF132" s="114">
        <f t="shared" si="109"/>
        <v>95091</v>
      </c>
      <c r="AG132" s="114">
        <f t="shared" si="109"/>
        <v>71652</v>
      </c>
      <c r="AH132" s="114">
        <f t="shared" si="109"/>
        <v>23439</v>
      </c>
      <c r="AI132" s="66"/>
      <c r="AJ132" s="114">
        <f t="shared" si="109"/>
        <v>1437</v>
      </c>
      <c r="AK132" s="114">
        <f t="shared" si="109"/>
        <v>3553</v>
      </c>
      <c r="AL132" s="66"/>
      <c r="AM132" s="114">
        <f t="shared" si="109"/>
        <v>109948</v>
      </c>
      <c r="AN132" s="114">
        <f t="shared" si="109"/>
        <v>-11304</v>
      </c>
      <c r="AO132" s="66"/>
      <c r="AP132" s="114">
        <f t="shared" si="109"/>
        <v>83095</v>
      </c>
      <c r="AQ132" s="114">
        <f t="shared" si="109"/>
        <v>-10006</v>
      </c>
      <c r="AR132" s="66"/>
      <c r="AS132" s="66"/>
      <c r="AT132" s="66"/>
      <c r="AU132" s="66"/>
    </row>
    <row r="133" spans="1:47" ht="3.9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3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</row>
    <row r="134" spans="1:47" ht="12.75" customHeight="1" x14ac:dyDescent="0.25">
      <c r="A134" s="117" t="str">
        <f>A31</f>
        <v xml:space="preserve">   Other Regulatory Assets / Liabilities</v>
      </c>
      <c r="B134" s="66"/>
      <c r="C134" s="66"/>
      <c r="D134" s="114">
        <f>D31</f>
        <v>463</v>
      </c>
      <c r="E134" s="114">
        <f t="shared" ref="E134:V134" si="110">E31</f>
        <v>429</v>
      </c>
      <c r="F134" s="114">
        <f t="shared" si="110"/>
        <v>469</v>
      </c>
      <c r="G134" s="114">
        <f t="shared" si="110"/>
        <v>469</v>
      </c>
      <c r="H134" s="114">
        <f t="shared" si="110"/>
        <v>469</v>
      </c>
      <c r="I134" s="114">
        <f t="shared" si="110"/>
        <v>467</v>
      </c>
      <c r="J134" s="114">
        <f t="shared" si="110"/>
        <v>428</v>
      </c>
      <c r="K134" s="114">
        <f t="shared" si="110"/>
        <v>452</v>
      </c>
      <c r="L134" s="114">
        <f t="shared" si="110"/>
        <v>461</v>
      </c>
      <c r="M134" s="114">
        <f t="shared" si="110"/>
        <v>468</v>
      </c>
      <c r="N134" s="114">
        <f t="shared" si="110"/>
        <v>462</v>
      </c>
      <c r="O134" s="114">
        <f t="shared" si="110"/>
        <v>-36</v>
      </c>
      <c r="P134" s="114">
        <f t="shared" si="110"/>
        <v>5001</v>
      </c>
      <c r="Q134" s="114">
        <f t="shared" si="110"/>
        <v>3194</v>
      </c>
      <c r="R134" s="114">
        <f t="shared" si="110"/>
        <v>1807</v>
      </c>
      <c r="S134" s="66"/>
      <c r="T134" s="114">
        <f t="shared" si="110"/>
        <v>4981</v>
      </c>
      <c r="U134" s="114">
        <f t="shared" si="110"/>
        <v>4108</v>
      </c>
      <c r="V134" s="114">
        <f t="shared" si="110"/>
        <v>873</v>
      </c>
      <c r="W134" s="66"/>
      <c r="X134" s="66"/>
      <c r="Y134" s="66"/>
      <c r="Z134" s="66"/>
      <c r="AA134" s="122" t="str">
        <f>A134</f>
        <v xml:space="preserve">   Other Regulatory Assets / Liabilities</v>
      </c>
      <c r="AB134" s="114">
        <f>P134</f>
        <v>5001</v>
      </c>
      <c r="AC134" s="114">
        <f>AC31</f>
        <v>4107</v>
      </c>
      <c r="AD134" s="78">
        <f>AB134-AC134</f>
        <v>894</v>
      </c>
      <c r="AE134" s="66"/>
      <c r="AF134" s="78">
        <f>T134</f>
        <v>4981</v>
      </c>
      <c r="AG134" s="114">
        <f>AG31</f>
        <v>4108</v>
      </c>
      <c r="AH134" s="78">
        <f>AF134-AG134</f>
        <v>873</v>
      </c>
      <c r="AI134" s="66"/>
      <c r="AJ134" s="78">
        <f>AC134-AG134</f>
        <v>-1</v>
      </c>
      <c r="AK134" s="78">
        <f>AB134-AF134</f>
        <v>20</v>
      </c>
      <c r="AL134" s="66"/>
      <c r="AM134" s="114">
        <f>AM31</f>
        <v>5050</v>
      </c>
      <c r="AN134" s="78">
        <f>AB134-AM134</f>
        <v>-49</v>
      </c>
      <c r="AO134" s="66"/>
      <c r="AP134" s="114">
        <f>AP31</f>
        <v>4156</v>
      </c>
      <c r="AQ134" s="78">
        <f>AC134-AP134</f>
        <v>-49</v>
      </c>
      <c r="AR134" s="66"/>
      <c r="AS134" s="66"/>
      <c r="AT134" s="66"/>
      <c r="AU134" s="66"/>
    </row>
    <row r="135" spans="1:47" ht="12.75" customHeight="1" x14ac:dyDescent="0.25">
      <c r="A135" s="117" t="str">
        <f>A27</f>
        <v xml:space="preserve">   Price Risk Management Activities (Net)</v>
      </c>
      <c r="B135" s="66"/>
      <c r="C135" s="66"/>
      <c r="D135" s="114">
        <f t="shared" ref="D135:R136" si="111">D27</f>
        <v>-128</v>
      </c>
      <c r="E135" s="114">
        <f t="shared" si="111"/>
        <v>0</v>
      </c>
      <c r="F135" s="114">
        <f t="shared" si="111"/>
        <v>0</v>
      </c>
      <c r="G135" s="114">
        <f t="shared" si="111"/>
        <v>0</v>
      </c>
      <c r="H135" s="114">
        <f t="shared" si="111"/>
        <v>0</v>
      </c>
      <c r="I135" s="114">
        <f t="shared" si="111"/>
        <v>1</v>
      </c>
      <c r="J135" s="114">
        <f t="shared" si="111"/>
        <v>-7</v>
      </c>
      <c r="K135" s="114">
        <f t="shared" si="111"/>
        <v>0</v>
      </c>
      <c r="L135" s="114">
        <f t="shared" si="111"/>
        <v>0</v>
      </c>
      <c r="M135" s="114">
        <f t="shared" si="111"/>
        <v>0</v>
      </c>
      <c r="N135" s="114">
        <f t="shared" si="111"/>
        <v>0</v>
      </c>
      <c r="O135" s="114">
        <f t="shared" si="111"/>
        <v>0</v>
      </c>
      <c r="P135" s="114">
        <f t="shared" si="111"/>
        <v>-134</v>
      </c>
      <c r="Q135" s="114">
        <f t="shared" si="111"/>
        <v>-134</v>
      </c>
      <c r="R135" s="114">
        <f t="shared" si="111"/>
        <v>0</v>
      </c>
      <c r="S135" s="66"/>
      <c r="T135" s="114">
        <f t="shared" ref="T135:V137" si="112">T27</f>
        <v>0</v>
      </c>
      <c r="U135" s="114">
        <f t="shared" si="112"/>
        <v>0</v>
      </c>
      <c r="V135" s="114">
        <f t="shared" si="112"/>
        <v>0</v>
      </c>
      <c r="W135" s="66"/>
      <c r="X135" s="66"/>
      <c r="Y135" s="66"/>
      <c r="Z135" s="66"/>
      <c r="AA135" s="122" t="str">
        <f>A135</f>
        <v xml:space="preserve">   Price Risk Management Activities (Net)</v>
      </c>
      <c r="AB135" s="114">
        <f>P135</f>
        <v>-134</v>
      </c>
      <c r="AC135" s="114">
        <f>AC27</f>
        <v>-134</v>
      </c>
      <c r="AD135" s="78">
        <f>AB135-AC135</f>
        <v>0</v>
      </c>
      <c r="AE135" s="66"/>
      <c r="AF135" s="78">
        <f>T135</f>
        <v>0</v>
      </c>
      <c r="AG135" s="114">
        <f>AG27</f>
        <v>0</v>
      </c>
      <c r="AH135" s="78">
        <f>AF135-AG135</f>
        <v>0</v>
      </c>
      <c r="AI135" s="66"/>
      <c r="AJ135" s="78">
        <f>AC135-AG135</f>
        <v>-134</v>
      </c>
      <c r="AK135" s="78">
        <f>AB135-AF135</f>
        <v>-134</v>
      </c>
      <c r="AL135" s="66"/>
      <c r="AM135" s="114">
        <f>AM27</f>
        <v>-128</v>
      </c>
      <c r="AN135" s="78">
        <f>AB135-AM135</f>
        <v>-6</v>
      </c>
      <c r="AO135" s="66"/>
      <c r="AP135" s="114">
        <f>AP27</f>
        <v>-128</v>
      </c>
      <c r="AQ135" s="78">
        <f>AC135-AP135</f>
        <v>-6</v>
      </c>
      <c r="AR135" s="66"/>
      <c r="AS135" s="66"/>
      <c r="AT135" s="66"/>
      <c r="AU135" s="66"/>
    </row>
    <row r="136" spans="1:47" ht="12.75" customHeight="1" x14ac:dyDescent="0.25">
      <c r="A136" s="117" t="str">
        <f>A28</f>
        <v xml:space="preserve">   Equity Earnings</v>
      </c>
      <c r="B136" s="66"/>
      <c r="C136" s="66"/>
      <c r="D136" s="114">
        <f t="shared" si="111"/>
        <v>0</v>
      </c>
      <c r="E136" s="114">
        <f t="shared" si="111"/>
        <v>0</v>
      </c>
      <c r="F136" s="114">
        <f t="shared" si="111"/>
        <v>0</v>
      </c>
      <c r="G136" s="114">
        <f t="shared" si="111"/>
        <v>0</v>
      </c>
      <c r="H136" s="114">
        <f t="shared" si="111"/>
        <v>0</v>
      </c>
      <c r="I136" s="114">
        <f t="shared" si="111"/>
        <v>0</v>
      </c>
      <c r="J136" s="114">
        <f t="shared" si="111"/>
        <v>0</v>
      </c>
      <c r="K136" s="114">
        <f t="shared" si="111"/>
        <v>0</v>
      </c>
      <c r="L136" s="114">
        <f t="shared" si="111"/>
        <v>0</v>
      </c>
      <c r="M136" s="114">
        <f t="shared" si="111"/>
        <v>0</v>
      </c>
      <c r="N136" s="114">
        <f t="shared" si="111"/>
        <v>0</v>
      </c>
      <c r="O136" s="114">
        <f t="shared" si="111"/>
        <v>0</v>
      </c>
      <c r="P136" s="114">
        <f t="shared" si="111"/>
        <v>0</v>
      </c>
      <c r="Q136" s="114">
        <f t="shared" si="111"/>
        <v>0</v>
      </c>
      <c r="R136" s="114">
        <f t="shared" si="111"/>
        <v>0</v>
      </c>
      <c r="S136" s="66"/>
      <c r="T136" s="114">
        <f t="shared" si="112"/>
        <v>0</v>
      </c>
      <c r="U136" s="114">
        <f t="shared" si="112"/>
        <v>0</v>
      </c>
      <c r="V136" s="114">
        <f t="shared" si="112"/>
        <v>0</v>
      </c>
      <c r="W136" s="66"/>
      <c r="X136" s="66"/>
      <c r="Y136" s="66"/>
      <c r="Z136" s="66"/>
      <c r="AA136" s="122" t="str">
        <f>A136</f>
        <v xml:space="preserve">   Equity Earnings</v>
      </c>
      <c r="AB136" s="114">
        <f>P136</f>
        <v>0</v>
      </c>
      <c r="AC136" s="114">
        <f>AC28</f>
        <v>0</v>
      </c>
      <c r="AD136" s="78">
        <f>AB136-AC136</f>
        <v>0</v>
      </c>
      <c r="AE136" s="66"/>
      <c r="AF136" s="78">
        <f>T136</f>
        <v>0</v>
      </c>
      <c r="AG136" s="114">
        <f>AG28</f>
        <v>0</v>
      </c>
      <c r="AH136" s="78">
        <f>AF136-AG136</f>
        <v>0</v>
      </c>
      <c r="AI136" s="66"/>
      <c r="AJ136" s="78">
        <f>AC136-AG136</f>
        <v>0</v>
      </c>
      <c r="AK136" s="78">
        <f>AB136-AF136</f>
        <v>0</v>
      </c>
      <c r="AL136" s="66"/>
      <c r="AM136" s="114">
        <f>AM28</f>
        <v>0</v>
      </c>
      <c r="AN136" s="78">
        <f>AB136-AM136</f>
        <v>0</v>
      </c>
      <c r="AO136" s="66"/>
      <c r="AP136" s="114">
        <f>AP28</f>
        <v>0</v>
      </c>
      <c r="AQ136" s="78">
        <f>AC136-AP136</f>
        <v>0</v>
      </c>
      <c r="AR136" s="66"/>
      <c r="AS136" s="66"/>
      <c r="AT136" s="66"/>
      <c r="AU136" s="66"/>
    </row>
    <row r="137" spans="1:47" ht="12.75" customHeight="1" x14ac:dyDescent="0.25">
      <c r="A137" s="117" t="str">
        <f>A29</f>
        <v xml:space="preserve">   Equity / Partnership Distributions</v>
      </c>
      <c r="B137" s="66"/>
      <c r="C137" s="66"/>
      <c r="D137" s="114">
        <f t="shared" ref="D137:R137" si="113">D29</f>
        <v>0</v>
      </c>
      <c r="E137" s="114">
        <f t="shared" si="113"/>
        <v>0</v>
      </c>
      <c r="F137" s="114">
        <f t="shared" si="113"/>
        <v>0</v>
      </c>
      <c r="G137" s="114">
        <f t="shared" si="113"/>
        <v>0</v>
      </c>
      <c r="H137" s="114">
        <f t="shared" si="113"/>
        <v>0</v>
      </c>
      <c r="I137" s="114">
        <f t="shared" si="113"/>
        <v>0</v>
      </c>
      <c r="J137" s="114">
        <f t="shared" si="113"/>
        <v>0</v>
      </c>
      <c r="K137" s="114">
        <f t="shared" si="113"/>
        <v>0</v>
      </c>
      <c r="L137" s="114">
        <f t="shared" si="113"/>
        <v>0</v>
      </c>
      <c r="M137" s="114">
        <f t="shared" si="113"/>
        <v>0</v>
      </c>
      <c r="N137" s="114">
        <f t="shared" si="113"/>
        <v>0</v>
      </c>
      <c r="O137" s="114">
        <f t="shared" si="113"/>
        <v>0</v>
      </c>
      <c r="P137" s="114">
        <f t="shared" si="113"/>
        <v>0</v>
      </c>
      <c r="Q137" s="114">
        <f t="shared" si="113"/>
        <v>0</v>
      </c>
      <c r="R137" s="114">
        <f t="shared" si="113"/>
        <v>0</v>
      </c>
      <c r="S137" s="66"/>
      <c r="T137" s="114">
        <f t="shared" si="112"/>
        <v>0</v>
      </c>
      <c r="U137" s="114">
        <f t="shared" si="112"/>
        <v>0</v>
      </c>
      <c r="V137" s="114">
        <f t="shared" si="112"/>
        <v>0</v>
      </c>
      <c r="W137" s="66"/>
      <c r="X137" s="66"/>
      <c r="Y137" s="66"/>
      <c r="Z137" s="66"/>
      <c r="AA137" s="122" t="str">
        <f>A137</f>
        <v xml:space="preserve">   Equity / Partnership Distributions</v>
      </c>
      <c r="AB137" s="114">
        <f>P137</f>
        <v>0</v>
      </c>
      <c r="AC137" s="114">
        <f>AC29</f>
        <v>0</v>
      </c>
      <c r="AD137" s="78">
        <f>AB137-AC137</f>
        <v>0</v>
      </c>
      <c r="AE137" s="66"/>
      <c r="AF137" s="78">
        <f>T137</f>
        <v>0</v>
      </c>
      <c r="AG137" s="114">
        <f>AG29</f>
        <v>0</v>
      </c>
      <c r="AH137" s="78">
        <f>AF137-AG137</f>
        <v>0</v>
      </c>
      <c r="AI137" s="66"/>
      <c r="AJ137" s="78">
        <f>AC137-AG137</f>
        <v>0</v>
      </c>
      <c r="AK137" s="78">
        <f>AB137-AF137</f>
        <v>0</v>
      </c>
      <c r="AL137" s="66"/>
      <c r="AM137" s="114">
        <f>AM29</f>
        <v>0</v>
      </c>
      <c r="AN137" s="78">
        <f>AB137-AM137</f>
        <v>0</v>
      </c>
      <c r="AO137" s="66"/>
      <c r="AP137" s="114">
        <f>AP29</f>
        <v>0</v>
      </c>
      <c r="AQ137" s="78">
        <f>AC137-AP137</f>
        <v>0</v>
      </c>
      <c r="AR137" s="66"/>
      <c r="AS137" s="66"/>
      <c r="AT137" s="66"/>
      <c r="AU137" s="66"/>
    </row>
    <row r="138" spans="1:47" ht="12.75" customHeight="1" x14ac:dyDescent="0.25">
      <c r="A138" s="117" t="str">
        <f>A32</f>
        <v xml:space="preserve">   Other (Incl. All Capital Costs &amp; Current Reserve Activity)</v>
      </c>
      <c r="B138" s="66"/>
      <c r="C138" s="66"/>
      <c r="D138" s="116">
        <f t="shared" ref="D138:R138" si="114">D12+D32</f>
        <v>-33</v>
      </c>
      <c r="E138" s="116">
        <f t="shared" si="114"/>
        <v>-577</v>
      </c>
      <c r="F138" s="116">
        <f t="shared" si="114"/>
        <v>11526</v>
      </c>
      <c r="G138" s="116">
        <f t="shared" si="114"/>
        <v>395</v>
      </c>
      <c r="H138" s="116">
        <f t="shared" si="114"/>
        <v>-931</v>
      </c>
      <c r="I138" s="116">
        <f t="shared" si="114"/>
        <v>-152</v>
      </c>
      <c r="J138" s="116">
        <f t="shared" si="114"/>
        <v>-285</v>
      </c>
      <c r="K138" s="116">
        <f t="shared" si="114"/>
        <v>168</v>
      </c>
      <c r="L138" s="116">
        <f t="shared" si="114"/>
        <v>-320</v>
      </c>
      <c r="M138" s="116">
        <f t="shared" si="114"/>
        <v>-75</v>
      </c>
      <c r="N138" s="116">
        <f t="shared" si="114"/>
        <v>-77</v>
      </c>
      <c r="O138" s="116">
        <f t="shared" si="114"/>
        <v>85</v>
      </c>
      <c r="P138" s="116">
        <f t="shared" si="114"/>
        <v>9724</v>
      </c>
      <c r="Q138" s="116">
        <f t="shared" si="114"/>
        <v>9943</v>
      </c>
      <c r="R138" s="116">
        <f t="shared" si="114"/>
        <v>-219</v>
      </c>
      <c r="S138" s="84"/>
      <c r="T138" s="116">
        <f>T12+T32</f>
        <v>-10936</v>
      </c>
      <c r="U138" s="116">
        <f>U12+U32</f>
        <v>-8188</v>
      </c>
      <c r="V138" s="116">
        <f>V12+V32</f>
        <v>-2748</v>
      </c>
      <c r="W138" s="66"/>
      <c r="X138" s="66"/>
      <c r="Y138" s="66"/>
      <c r="Z138" s="66"/>
      <c r="AA138" s="122" t="str">
        <f>A138</f>
        <v xml:space="preserve">   Other (Incl. All Capital Costs &amp; Current Reserve Activity)</v>
      </c>
      <c r="AB138" s="116">
        <f>P138</f>
        <v>9724</v>
      </c>
      <c r="AC138" s="116">
        <f>AC12+AC32</f>
        <v>9791</v>
      </c>
      <c r="AD138" s="83">
        <f>AB138-AC138</f>
        <v>-67</v>
      </c>
      <c r="AE138" s="84"/>
      <c r="AF138" s="83">
        <f>T138</f>
        <v>-10936</v>
      </c>
      <c r="AG138" s="116">
        <f>AG12+AG32</f>
        <v>-8188</v>
      </c>
      <c r="AH138" s="83">
        <f>AF138-AG138</f>
        <v>-2748</v>
      </c>
      <c r="AI138" s="66"/>
      <c r="AJ138" s="83">
        <f>AC138-AG138</f>
        <v>17979</v>
      </c>
      <c r="AK138" s="83">
        <f>AB138-AF138</f>
        <v>20660</v>
      </c>
      <c r="AL138" s="66"/>
      <c r="AM138" s="116">
        <f>AM12+AM32</f>
        <v>-2503</v>
      </c>
      <c r="AN138" s="83">
        <f>AB138-AM138</f>
        <v>12227</v>
      </c>
      <c r="AO138" s="66"/>
      <c r="AP138" s="116">
        <f>AP12+AP32</f>
        <v>-2275</v>
      </c>
      <c r="AQ138" s="83">
        <f>AC138-AP138</f>
        <v>12066</v>
      </c>
      <c r="AR138" s="66"/>
      <c r="AS138" s="66"/>
      <c r="AT138" s="66"/>
      <c r="AU138" s="66"/>
    </row>
    <row r="139" spans="1:47" ht="3.9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3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</row>
    <row r="140" spans="1:47" ht="12.75" customHeight="1" x14ac:dyDescent="0.25">
      <c r="A140" s="118" t="s">
        <v>516</v>
      </c>
      <c r="B140" s="66"/>
      <c r="C140" s="66"/>
      <c r="D140" s="218">
        <f>SUM(D132:D138)</f>
        <v>8731</v>
      </c>
      <c r="E140" s="218">
        <f t="shared" ref="E140:T140" si="115">SUM(E132:E138)</f>
        <v>10071</v>
      </c>
      <c r="F140" s="218">
        <f t="shared" si="115"/>
        <v>12380</v>
      </c>
      <c r="G140" s="218">
        <f t="shared" si="115"/>
        <v>11463</v>
      </c>
      <c r="H140" s="218">
        <f t="shared" si="115"/>
        <v>8975</v>
      </c>
      <c r="I140" s="218">
        <f t="shared" si="115"/>
        <v>8328</v>
      </c>
      <c r="J140" s="218">
        <f t="shared" si="115"/>
        <v>8937</v>
      </c>
      <c r="K140" s="218">
        <f t="shared" si="115"/>
        <v>8822</v>
      </c>
      <c r="L140" s="218">
        <f t="shared" si="115"/>
        <v>9146</v>
      </c>
      <c r="M140" s="218">
        <f t="shared" si="115"/>
        <v>11448</v>
      </c>
      <c r="N140" s="218">
        <f t="shared" si="115"/>
        <v>7018</v>
      </c>
      <c r="O140" s="218">
        <f t="shared" si="115"/>
        <v>7916</v>
      </c>
      <c r="P140" s="218">
        <f t="shared" si="115"/>
        <v>113235</v>
      </c>
      <c r="Q140" s="218">
        <f t="shared" si="115"/>
        <v>68885</v>
      </c>
      <c r="R140" s="218">
        <f t="shared" si="115"/>
        <v>44350</v>
      </c>
      <c r="S140" s="134"/>
      <c r="T140" s="218">
        <f t="shared" si="115"/>
        <v>89136</v>
      </c>
      <c r="U140" s="218">
        <f>SUM(U132:U138)</f>
        <v>67572</v>
      </c>
      <c r="V140" s="218">
        <f>SUM(V132:V138)</f>
        <v>21564</v>
      </c>
      <c r="W140" s="66"/>
      <c r="X140" s="66"/>
      <c r="Y140" s="66"/>
      <c r="Z140" s="66"/>
      <c r="AA140" s="63" t="str">
        <f>A140</f>
        <v xml:space="preserve">            Total Funds Flow From Operations</v>
      </c>
      <c r="AB140" s="218">
        <f>SUM(AB132:AB138)</f>
        <v>113235</v>
      </c>
      <c r="AC140" s="218">
        <f>SUM(AC132:AC138)</f>
        <v>86853</v>
      </c>
      <c r="AD140" s="218">
        <f>SUM(AD132:AD138)</f>
        <v>26382</v>
      </c>
      <c r="AE140" s="218"/>
      <c r="AF140" s="218">
        <f>SUM(AF132:AF138)</f>
        <v>89136</v>
      </c>
      <c r="AG140" s="218">
        <f>SUM(AG132:AG138)</f>
        <v>67572</v>
      </c>
      <c r="AH140" s="218">
        <f>SUM(AH132:AH138)</f>
        <v>21564</v>
      </c>
      <c r="AI140" s="66"/>
      <c r="AJ140" s="218">
        <f>SUM(AJ132:AJ138)</f>
        <v>19281</v>
      </c>
      <c r="AK140" s="218">
        <f>SUM(AK132:AK138)</f>
        <v>24099</v>
      </c>
      <c r="AL140" s="66"/>
      <c r="AM140" s="218">
        <f>SUM(AM132:AM138)</f>
        <v>112367</v>
      </c>
      <c r="AN140" s="218">
        <f>SUM(AN132:AN138)</f>
        <v>868</v>
      </c>
      <c r="AO140" s="66"/>
      <c r="AP140" s="218">
        <f>SUM(AP132:AP138)</f>
        <v>84848</v>
      </c>
      <c r="AQ140" s="218">
        <f>SUM(AQ132:AQ138)</f>
        <v>2005</v>
      </c>
      <c r="AR140" s="66"/>
      <c r="AS140" s="66"/>
      <c r="AT140" s="66"/>
      <c r="AU140" s="66"/>
    </row>
    <row r="141" spans="1:47" ht="3.9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3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</row>
    <row r="142" spans="1:47" ht="12.75" customHeight="1" x14ac:dyDescent="0.25">
      <c r="A142" s="66" t="str">
        <f>A15</f>
        <v xml:space="preserve">   Working Capital Changes:</v>
      </c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122" t="str">
        <f t="shared" ref="AA142:AA149" si="116">A142</f>
        <v xml:space="preserve">   Working Capital Changes:</v>
      </c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</row>
    <row r="143" spans="1:47" ht="12.75" customHeight="1" x14ac:dyDescent="0.25">
      <c r="A143" s="112" t="s">
        <v>517</v>
      </c>
      <c r="B143" s="66"/>
      <c r="C143" s="66"/>
      <c r="D143" s="114">
        <f t="shared" ref="D143:R143" si="117">D16+D20</f>
        <v>-1171</v>
      </c>
      <c r="E143" s="114">
        <f t="shared" si="117"/>
        <v>967</v>
      </c>
      <c r="F143" s="114">
        <f t="shared" si="117"/>
        <v>-14227</v>
      </c>
      <c r="G143" s="114">
        <f t="shared" si="117"/>
        <v>2655</v>
      </c>
      <c r="H143" s="114">
        <f t="shared" si="117"/>
        <v>-3421</v>
      </c>
      <c r="I143" s="114">
        <f t="shared" si="117"/>
        <v>11284</v>
      </c>
      <c r="J143" s="114">
        <f t="shared" si="117"/>
        <v>-10837</v>
      </c>
      <c r="K143" s="114">
        <f t="shared" si="117"/>
        <v>-21</v>
      </c>
      <c r="L143" s="114">
        <f t="shared" si="117"/>
        <v>-2933</v>
      </c>
      <c r="M143" s="114">
        <f t="shared" si="117"/>
        <v>33</v>
      </c>
      <c r="N143" s="114">
        <f t="shared" si="117"/>
        <v>849</v>
      </c>
      <c r="O143" s="114">
        <f t="shared" si="117"/>
        <v>-595</v>
      </c>
      <c r="P143" s="114">
        <f t="shared" si="117"/>
        <v>-17417</v>
      </c>
      <c r="Q143" s="114">
        <f t="shared" si="117"/>
        <v>-14750</v>
      </c>
      <c r="R143" s="114">
        <f t="shared" si="117"/>
        <v>-2667</v>
      </c>
      <c r="S143" s="66"/>
      <c r="T143" s="114">
        <f>T16+T20</f>
        <v>829</v>
      </c>
      <c r="U143" s="114">
        <f>U16+U20</f>
        <v>482</v>
      </c>
      <c r="V143" s="114">
        <f>V16+V20</f>
        <v>347</v>
      </c>
      <c r="W143" s="66"/>
      <c r="X143" s="66"/>
      <c r="Y143" s="66"/>
      <c r="Z143" s="66"/>
      <c r="AA143" s="122" t="str">
        <f t="shared" si="116"/>
        <v xml:space="preserve">      Accounts Receivable (Including Exchange Gas Rec.)</v>
      </c>
      <c r="AB143" s="114">
        <f t="shared" ref="AB143:AB149" si="118">P143</f>
        <v>-17417</v>
      </c>
      <c r="AC143" s="114">
        <f>AC16+AC20</f>
        <v>-17704</v>
      </c>
      <c r="AD143" s="78">
        <f t="shared" ref="AD143:AD149" si="119">AB143-AC143</f>
        <v>287</v>
      </c>
      <c r="AE143" s="66"/>
      <c r="AF143" s="78">
        <f t="shared" ref="AF143:AF149" si="120">T143</f>
        <v>829</v>
      </c>
      <c r="AG143" s="114">
        <f>AG16+AG20</f>
        <v>482</v>
      </c>
      <c r="AH143" s="78">
        <f t="shared" ref="AH143:AH149" si="121">AF143-AG143</f>
        <v>347</v>
      </c>
      <c r="AI143" s="66"/>
      <c r="AJ143" s="78">
        <f t="shared" ref="AJ143:AJ149" si="122">AC143-AG143</f>
        <v>-18186</v>
      </c>
      <c r="AK143" s="78">
        <f t="shared" ref="AK143:AK149" si="123">AB143-AF143</f>
        <v>-18246</v>
      </c>
      <c r="AL143" s="66"/>
      <c r="AM143" s="114">
        <f>AM16+AM20</f>
        <v>-6180</v>
      </c>
      <c r="AN143" s="78">
        <f t="shared" ref="AN143:AN149" si="124">AB143-AM143</f>
        <v>-11237</v>
      </c>
      <c r="AO143" s="66"/>
      <c r="AP143" s="114">
        <f>AP16+AP20</f>
        <v>-5544</v>
      </c>
      <c r="AQ143" s="78">
        <f t="shared" ref="AQ143:AQ149" si="125">AC143-AP143</f>
        <v>-12160</v>
      </c>
      <c r="AR143" s="66"/>
      <c r="AS143" s="66"/>
      <c r="AT143" s="66"/>
      <c r="AU143" s="66"/>
    </row>
    <row r="144" spans="1:47" ht="12.75" customHeight="1" x14ac:dyDescent="0.25">
      <c r="A144" s="112" t="s">
        <v>518</v>
      </c>
      <c r="B144" s="66"/>
      <c r="C144" s="66"/>
      <c r="D144" s="114">
        <f t="shared" ref="D144:R144" si="126">D18+D19+D21</f>
        <v>3673</v>
      </c>
      <c r="E144" s="114">
        <f t="shared" si="126"/>
        <v>-2849</v>
      </c>
      <c r="F144" s="114">
        <f t="shared" si="126"/>
        <v>13285</v>
      </c>
      <c r="G144" s="114">
        <f t="shared" si="126"/>
        <v>-9795</v>
      </c>
      <c r="H144" s="114">
        <f t="shared" si="126"/>
        <v>485</v>
      </c>
      <c r="I144" s="114">
        <f t="shared" si="126"/>
        <v>2893</v>
      </c>
      <c r="J144" s="114">
        <f t="shared" si="126"/>
        <v>-1696</v>
      </c>
      <c r="K144" s="114">
        <f t="shared" si="126"/>
        <v>2571</v>
      </c>
      <c r="L144" s="114">
        <f t="shared" si="126"/>
        <v>4194</v>
      </c>
      <c r="M144" s="114">
        <f t="shared" si="126"/>
        <v>311</v>
      </c>
      <c r="N144" s="114">
        <f t="shared" si="126"/>
        <v>1692</v>
      </c>
      <c r="O144" s="114">
        <f t="shared" si="126"/>
        <v>-1034</v>
      </c>
      <c r="P144" s="114">
        <f t="shared" si="126"/>
        <v>13730</v>
      </c>
      <c r="Q144" s="114">
        <f t="shared" si="126"/>
        <v>5996</v>
      </c>
      <c r="R144" s="114">
        <f t="shared" si="126"/>
        <v>7734</v>
      </c>
      <c r="S144" s="66"/>
      <c r="T144" s="114">
        <f>T18+T19+T21</f>
        <v>-8475</v>
      </c>
      <c r="U144" s="114">
        <f>U18+U19+U21</f>
        <v>-9645</v>
      </c>
      <c r="V144" s="114">
        <f>V18+V19+V21</f>
        <v>1170</v>
      </c>
      <c r="W144" s="66"/>
      <c r="X144" s="66"/>
      <c r="Y144" s="66"/>
      <c r="Z144" s="66"/>
      <c r="AA144" s="122" t="str">
        <f t="shared" si="116"/>
        <v xml:space="preserve">      Accounts Payable &amp; Other (Including Exchange Gas Pay.)</v>
      </c>
      <c r="AB144" s="114">
        <f t="shared" si="118"/>
        <v>13730</v>
      </c>
      <c r="AC144" s="114">
        <f>AC18+AC19+AC21</f>
        <v>12761</v>
      </c>
      <c r="AD144" s="78">
        <f t="shared" si="119"/>
        <v>969</v>
      </c>
      <c r="AE144" s="66"/>
      <c r="AF144" s="78">
        <f t="shared" si="120"/>
        <v>-8475</v>
      </c>
      <c r="AG144" s="114">
        <f>AG18+AG19+AG21</f>
        <v>-9645</v>
      </c>
      <c r="AH144" s="78">
        <f t="shared" si="121"/>
        <v>1170</v>
      </c>
      <c r="AI144" s="66"/>
      <c r="AJ144" s="78">
        <f t="shared" si="122"/>
        <v>22406</v>
      </c>
      <c r="AK144" s="78">
        <f t="shared" si="123"/>
        <v>22205</v>
      </c>
      <c r="AL144" s="66"/>
      <c r="AM144" s="114">
        <f>AM18+AM19+AM21</f>
        <v>-2132</v>
      </c>
      <c r="AN144" s="78">
        <f t="shared" si="124"/>
        <v>15862</v>
      </c>
      <c r="AO144" s="66"/>
      <c r="AP144" s="114">
        <f>AP18+AP19+AP21</f>
        <v>-622</v>
      </c>
      <c r="AQ144" s="78">
        <f t="shared" si="125"/>
        <v>13383</v>
      </c>
      <c r="AR144" s="66"/>
      <c r="AS144" s="66"/>
      <c r="AT144" s="66"/>
      <c r="AU144" s="66"/>
    </row>
    <row r="145" spans="1:47" ht="12.75" customHeight="1" x14ac:dyDescent="0.25">
      <c r="A145" s="66" t="str">
        <f>A23</f>
        <v xml:space="preserve">      Accrued Interest - Third Party</v>
      </c>
      <c r="B145" s="66"/>
      <c r="C145" s="66"/>
      <c r="D145" s="114">
        <f t="shared" ref="D145:R145" si="127">D23</f>
        <v>1043</v>
      </c>
      <c r="E145" s="114">
        <f t="shared" si="127"/>
        <v>1044</v>
      </c>
      <c r="F145" s="114">
        <f t="shared" si="127"/>
        <v>1043</v>
      </c>
      <c r="G145" s="114">
        <f t="shared" si="127"/>
        <v>-4775</v>
      </c>
      <c r="H145" s="114">
        <f t="shared" si="127"/>
        <v>86</v>
      </c>
      <c r="I145" s="114">
        <f t="shared" si="127"/>
        <v>-1216</v>
      </c>
      <c r="J145" s="114">
        <f t="shared" si="127"/>
        <v>118</v>
      </c>
      <c r="K145" s="114">
        <f t="shared" si="127"/>
        <v>118</v>
      </c>
      <c r="L145" s="114">
        <f t="shared" si="127"/>
        <v>119</v>
      </c>
      <c r="M145" s="114">
        <f t="shared" si="127"/>
        <v>118</v>
      </c>
      <c r="N145" s="114">
        <f t="shared" si="127"/>
        <v>-591</v>
      </c>
      <c r="O145" s="114">
        <f t="shared" si="127"/>
        <v>89</v>
      </c>
      <c r="P145" s="114">
        <f t="shared" si="127"/>
        <v>-2804</v>
      </c>
      <c r="Q145" s="114">
        <f t="shared" si="127"/>
        <v>-2657</v>
      </c>
      <c r="R145" s="114">
        <f t="shared" si="127"/>
        <v>-147</v>
      </c>
      <c r="S145" s="66"/>
      <c r="T145" s="114">
        <f>T23</f>
        <v>50</v>
      </c>
      <c r="U145" s="114">
        <f>U23</f>
        <v>3159</v>
      </c>
      <c r="V145" s="114">
        <f>V23</f>
        <v>-3109</v>
      </c>
      <c r="W145" s="66"/>
      <c r="X145" s="66"/>
      <c r="Y145" s="66"/>
      <c r="Z145" s="66"/>
      <c r="AA145" s="122" t="str">
        <f t="shared" si="116"/>
        <v xml:space="preserve">      Accrued Interest - Third Party</v>
      </c>
      <c r="AB145" s="114">
        <f t="shared" si="118"/>
        <v>-2804</v>
      </c>
      <c r="AC145" s="114">
        <f>AC23</f>
        <v>-2420</v>
      </c>
      <c r="AD145" s="78">
        <f t="shared" si="119"/>
        <v>-384</v>
      </c>
      <c r="AE145" s="66"/>
      <c r="AF145" s="78">
        <f t="shared" si="120"/>
        <v>50</v>
      </c>
      <c r="AG145" s="114">
        <f>AG23</f>
        <v>3159</v>
      </c>
      <c r="AH145" s="78">
        <f t="shared" si="121"/>
        <v>-3109</v>
      </c>
      <c r="AI145" s="66"/>
      <c r="AJ145" s="78">
        <f t="shared" si="122"/>
        <v>-5579</v>
      </c>
      <c r="AK145" s="78">
        <f t="shared" si="123"/>
        <v>-2854</v>
      </c>
      <c r="AL145" s="66"/>
      <c r="AM145" s="114">
        <f>AM23</f>
        <v>-2804</v>
      </c>
      <c r="AN145" s="78">
        <f t="shared" si="124"/>
        <v>0</v>
      </c>
      <c r="AO145" s="66"/>
      <c r="AP145" s="114">
        <f>AP23</f>
        <v>-2420</v>
      </c>
      <c r="AQ145" s="78">
        <f t="shared" si="125"/>
        <v>0</v>
      </c>
      <c r="AR145" s="66"/>
      <c r="AS145" s="66"/>
      <c r="AT145" s="66"/>
      <c r="AU145" s="66"/>
    </row>
    <row r="146" spans="1:47" ht="12.75" customHeight="1" x14ac:dyDescent="0.25">
      <c r="A146" s="97" t="s">
        <v>491</v>
      </c>
      <c r="B146" s="66"/>
      <c r="C146" s="66"/>
      <c r="D146" s="79">
        <v>0</v>
      </c>
      <c r="E146" s="79">
        <v>0</v>
      </c>
      <c r="F146" s="79">
        <v>0</v>
      </c>
      <c r="G146" s="79">
        <v>0</v>
      </c>
      <c r="H146" s="79">
        <v>0</v>
      </c>
      <c r="I146" s="79">
        <v>0</v>
      </c>
      <c r="J146" s="79">
        <v>0</v>
      </c>
      <c r="K146" s="79">
        <v>0</v>
      </c>
      <c r="L146" s="79">
        <v>0</v>
      </c>
      <c r="M146" s="79">
        <v>0</v>
      </c>
      <c r="N146" s="79">
        <v>0</v>
      </c>
      <c r="O146" s="79">
        <v>0</v>
      </c>
      <c r="P146" s="78">
        <f>SUM(D146:O146)</f>
        <v>0</v>
      </c>
      <c r="Q146" s="79">
        <f>SUM(D146:J146)</f>
        <v>0</v>
      </c>
      <c r="R146" s="78">
        <f>P146-Q146</f>
        <v>0</v>
      </c>
      <c r="S146" s="66"/>
      <c r="T146" s="79">
        <v>0</v>
      </c>
      <c r="U146" s="79">
        <v>0</v>
      </c>
      <c r="V146" s="79">
        <v>0</v>
      </c>
      <c r="W146" s="66"/>
      <c r="X146" s="66"/>
      <c r="Y146" s="66"/>
      <c r="Z146" s="66"/>
      <c r="AA146" s="122" t="str">
        <f t="shared" si="116"/>
        <v xml:space="preserve">      Accrued Income Taxes</v>
      </c>
      <c r="AB146" s="114">
        <f t="shared" si="118"/>
        <v>0</v>
      </c>
      <c r="AC146" s="79">
        <f>SUM(D146:L146)</f>
        <v>0</v>
      </c>
      <c r="AD146" s="78">
        <f t="shared" si="119"/>
        <v>0</v>
      </c>
      <c r="AE146" s="66"/>
      <c r="AF146" s="78">
        <f t="shared" si="120"/>
        <v>0</v>
      </c>
      <c r="AG146" s="79">
        <v>0</v>
      </c>
      <c r="AH146" s="78">
        <f t="shared" si="121"/>
        <v>0</v>
      </c>
      <c r="AI146" s="66"/>
      <c r="AJ146" s="78">
        <f t="shared" si="122"/>
        <v>0</v>
      </c>
      <c r="AK146" s="78">
        <f t="shared" si="123"/>
        <v>0</v>
      </c>
      <c r="AL146" s="66"/>
      <c r="AM146" s="79">
        <v>0</v>
      </c>
      <c r="AN146" s="78">
        <f t="shared" si="124"/>
        <v>0</v>
      </c>
      <c r="AO146" s="66"/>
      <c r="AP146" s="79">
        <v>0</v>
      </c>
      <c r="AQ146" s="78">
        <f t="shared" si="125"/>
        <v>0</v>
      </c>
      <c r="AR146" s="66"/>
      <c r="AS146" s="66"/>
      <c r="AT146" s="66"/>
      <c r="AU146" s="66"/>
    </row>
    <row r="147" spans="1:47" ht="12.75" customHeight="1" x14ac:dyDescent="0.25">
      <c r="A147" s="66" t="str">
        <f>A24</f>
        <v xml:space="preserve">      Accrued Taxes, Other Than Income</v>
      </c>
      <c r="B147" s="66"/>
      <c r="C147" s="66"/>
      <c r="D147" s="114">
        <f t="shared" ref="D147:R147" si="128">D24</f>
        <v>-732</v>
      </c>
      <c r="E147" s="114">
        <f t="shared" si="128"/>
        <v>1060</v>
      </c>
      <c r="F147" s="114">
        <f t="shared" si="128"/>
        <v>1049</v>
      </c>
      <c r="G147" s="114">
        <f t="shared" si="128"/>
        <v>-2482</v>
      </c>
      <c r="H147" s="114">
        <f t="shared" si="128"/>
        <v>74</v>
      </c>
      <c r="I147" s="114">
        <f t="shared" si="128"/>
        <v>574</v>
      </c>
      <c r="J147" s="114">
        <f t="shared" si="128"/>
        <v>761</v>
      </c>
      <c r="K147" s="114">
        <f t="shared" si="128"/>
        <v>610</v>
      </c>
      <c r="L147" s="114">
        <f t="shared" si="128"/>
        <v>825</v>
      </c>
      <c r="M147" s="114">
        <f t="shared" si="128"/>
        <v>-2502</v>
      </c>
      <c r="N147" s="114">
        <f t="shared" si="128"/>
        <v>625</v>
      </c>
      <c r="O147" s="114">
        <f t="shared" si="128"/>
        <v>-381</v>
      </c>
      <c r="P147" s="114">
        <f t="shared" si="128"/>
        <v>-519</v>
      </c>
      <c r="Q147" s="114">
        <f t="shared" si="128"/>
        <v>304</v>
      </c>
      <c r="R147" s="114">
        <f t="shared" si="128"/>
        <v>-823</v>
      </c>
      <c r="S147" s="66"/>
      <c r="T147" s="114">
        <f>T24</f>
        <v>422</v>
      </c>
      <c r="U147" s="114">
        <f>U24</f>
        <v>2602</v>
      </c>
      <c r="V147" s="114">
        <f>V24</f>
        <v>-2180</v>
      </c>
      <c r="W147" s="66"/>
      <c r="X147" s="66"/>
      <c r="Y147" s="66"/>
      <c r="Z147" s="66"/>
      <c r="AA147" s="122" t="str">
        <f t="shared" si="116"/>
        <v xml:space="preserve">      Accrued Taxes, Other Than Income</v>
      </c>
      <c r="AB147" s="114">
        <f t="shared" si="118"/>
        <v>-519</v>
      </c>
      <c r="AC147" s="114">
        <f>AC24</f>
        <v>1739</v>
      </c>
      <c r="AD147" s="78">
        <f t="shared" si="119"/>
        <v>-2258</v>
      </c>
      <c r="AE147" s="66"/>
      <c r="AF147" s="78">
        <f t="shared" si="120"/>
        <v>422</v>
      </c>
      <c r="AG147" s="114">
        <f>AG24</f>
        <v>2602</v>
      </c>
      <c r="AH147" s="78">
        <f t="shared" si="121"/>
        <v>-2180</v>
      </c>
      <c r="AI147" s="66"/>
      <c r="AJ147" s="78">
        <f t="shared" si="122"/>
        <v>-863</v>
      </c>
      <c r="AK147" s="78">
        <f t="shared" si="123"/>
        <v>-941</v>
      </c>
      <c r="AL147" s="66"/>
      <c r="AM147" s="114">
        <f>AM24</f>
        <v>-441</v>
      </c>
      <c r="AN147" s="78">
        <f t="shared" si="124"/>
        <v>-78</v>
      </c>
      <c r="AO147" s="66"/>
      <c r="AP147" s="114">
        <f>AP24</f>
        <v>1817</v>
      </c>
      <c r="AQ147" s="78">
        <f t="shared" si="125"/>
        <v>-78</v>
      </c>
      <c r="AR147" s="66"/>
      <c r="AS147" s="66"/>
      <c r="AT147" s="66"/>
      <c r="AU147" s="66"/>
    </row>
    <row r="148" spans="1:47" ht="12.75" customHeight="1" x14ac:dyDescent="0.25">
      <c r="A148" s="112" t="s">
        <v>492</v>
      </c>
      <c r="B148" s="66"/>
      <c r="C148" s="66"/>
      <c r="D148" s="79">
        <v>0</v>
      </c>
      <c r="E148" s="79">
        <v>0</v>
      </c>
      <c r="F148" s="79">
        <v>0</v>
      </c>
      <c r="G148" s="79">
        <v>0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  <c r="N148" s="79">
        <v>0</v>
      </c>
      <c r="O148" s="79">
        <v>0</v>
      </c>
      <c r="P148" s="78">
        <f>SUM(D148:O148)</f>
        <v>0</v>
      </c>
      <c r="Q148" s="79">
        <f>SUM(D148:J148)</f>
        <v>0</v>
      </c>
      <c r="R148" s="78">
        <f>P148-Q148</f>
        <v>0</v>
      </c>
      <c r="S148" s="66"/>
      <c r="T148" s="79">
        <v>0</v>
      </c>
      <c r="U148" s="79">
        <v>0</v>
      </c>
      <c r="V148" s="79">
        <v>0</v>
      </c>
      <c r="W148" s="66"/>
      <c r="X148" s="66"/>
      <c r="Y148" s="66"/>
      <c r="Z148" s="66"/>
      <c r="AA148" s="122" t="str">
        <f t="shared" si="116"/>
        <v xml:space="preserve">      Tax Refunds / Payments</v>
      </c>
      <c r="AB148" s="114">
        <f t="shared" si="118"/>
        <v>0</v>
      </c>
      <c r="AC148" s="79">
        <f>SUM(D148:L148)</f>
        <v>0</v>
      </c>
      <c r="AD148" s="78">
        <f t="shared" si="119"/>
        <v>0</v>
      </c>
      <c r="AE148" s="66"/>
      <c r="AF148" s="78">
        <f t="shared" si="120"/>
        <v>0</v>
      </c>
      <c r="AG148" s="79">
        <v>0</v>
      </c>
      <c r="AH148" s="78">
        <f t="shared" si="121"/>
        <v>0</v>
      </c>
      <c r="AI148" s="66"/>
      <c r="AJ148" s="78">
        <f t="shared" si="122"/>
        <v>0</v>
      </c>
      <c r="AK148" s="78">
        <f t="shared" si="123"/>
        <v>0</v>
      </c>
      <c r="AL148" s="66"/>
      <c r="AM148" s="79">
        <v>0</v>
      </c>
      <c r="AN148" s="78">
        <f t="shared" si="124"/>
        <v>0</v>
      </c>
      <c r="AO148" s="66"/>
      <c r="AP148" s="79">
        <v>0</v>
      </c>
      <c r="AQ148" s="78">
        <f t="shared" si="125"/>
        <v>0</v>
      </c>
      <c r="AR148" s="66"/>
      <c r="AS148" s="66"/>
      <c r="AT148" s="66"/>
      <c r="AU148" s="66"/>
    </row>
    <row r="149" spans="1:47" ht="12.75" customHeight="1" x14ac:dyDescent="0.25">
      <c r="A149" s="112" t="s">
        <v>519</v>
      </c>
      <c r="B149" s="66"/>
      <c r="C149" s="66"/>
      <c r="D149" s="116">
        <f t="shared" ref="D149:R149" si="129">D17+D22+D25</f>
        <v>-472</v>
      </c>
      <c r="E149" s="116">
        <f t="shared" si="129"/>
        <v>-539</v>
      </c>
      <c r="F149" s="116">
        <f t="shared" si="129"/>
        <v>1957</v>
      </c>
      <c r="G149" s="116">
        <f t="shared" si="129"/>
        <v>-324</v>
      </c>
      <c r="H149" s="116">
        <f t="shared" si="129"/>
        <v>363</v>
      </c>
      <c r="I149" s="116">
        <f t="shared" si="129"/>
        <v>37</v>
      </c>
      <c r="J149" s="116">
        <f t="shared" si="129"/>
        <v>44</v>
      </c>
      <c r="K149" s="116">
        <f t="shared" si="129"/>
        <v>0</v>
      </c>
      <c r="L149" s="116">
        <f t="shared" si="129"/>
        <v>-1308</v>
      </c>
      <c r="M149" s="116">
        <f t="shared" si="129"/>
        <v>109</v>
      </c>
      <c r="N149" s="116">
        <f t="shared" si="129"/>
        <v>109</v>
      </c>
      <c r="O149" s="116">
        <f t="shared" si="129"/>
        <v>-47</v>
      </c>
      <c r="P149" s="116">
        <f t="shared" si="129"/>
        <v>-71</v>
      </c>
      <c r="Q149" s="116">
        <f t="shared" si="129"/>
        <v>1066</v>
      </c>
      <c r="R149" s="116">
        <f t="shared" si="129"/>
        <v>-1137</v>
      </c>
      <c r="S149" s="66"/>
      <c r="T149" s="116">
        <f>T17+T22+T25</f>
        <v>-22</v>
      </c>
      <c r="U149" s="116">
        <f>U17+U22+U25</f>
        <v>-470</v>
      </c>
      <c r="V149" s="116">
        <f>V17+V22+V25</f>
        <v>448</v>
      </c>
      <c r="W149" s="66"/>
      <c r="X149" s="66"/>
      <c r="Y149" s="66"/>
      <c r="Z149" s="66"/>
      <c r="AA149" s="122" t="str">
        <f t="shared" si="116"/>
        <v xml:space="preserve">      Other (Including Inventory and Prepayments)</v>
      </c>
      <c r="AB149" s="116">
        <f t="shared" si="118"/>
        <v>-71</v>
      </c>
      <c r="AC149" s="116">
        <f>AC17+AC22+AC25</f>
        <v>-242</v>
      </c>
      <c r="AD149" s="83">
        <f t="shared" si="119"/>
        <v>171</v>
      </c>
      <c r="AE149" s="84"/>
      <c r="AF149" s="83">
        <f t="shared" si="120"/>
        <v>-22</v>
      </c>
      <c r="AG149" s="116">
        <f>AG17+AG22+AG25</f>
        <v>-470</v>
      </c>
      <c r="AH149" s="83">
        <f t="shared" si="121"/>
        <v>448</v>
      </c>
      <c r="AI149" s="66"/>
      <c r="AJ149" s="83">
        <f t="shared" si="122"/>
        <v>228</v>
      </c>
      <c r="AK149" s="83">
        <f t="shared" si="123"/>
        <v>-49</v>
      </c>
      <c r="AL149" s="66"/>
      <c r="AM149" s="116">
        <f>AM17+AM22+AM25</f>
        <v>-31</v>
      </c>
      <c r="AN149" s="83">
        <f t="shared" si="124"/>
        <v>-40</v>
      </c>
      <c r="AO149" s="66"/>
      <c r="AP149" s="116">
        <f>AP17+AP22+AP25</f>
        <v>-175</v>
      </c>
      <c r="AQ149" s="83">
        <f t="shared" si="125"/>
        <v>-67</v>
      </c>
      <c r="AR149" s="66"/>
      <c r="AS149" s="66"/>
      <c r="AT149" s="66"/>
      <c r="AU149" s="66"/>
    </row>
    <row r="150" spans="1:47" ht="3.9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3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</row>
    <row r="151" spans="1:47" ht="12.75" customHeight="1" x14ac:dyDescent="0.25">
      <c r="A151" s="112" t="s">
        <v>520</v>
      </c>
      <c r="B151" s="66"/>
      <c r="C151" s="66"/>
      <c r="D151" s="116">
        <f>SUM(D143:D149)</f>
        <v>2341</v>
      </c>
      <c r="E151" s="116">
        <f t="shared" ref="E151:T151" si="130">SUM(E143:E149)</f>
        <v>-317</v>
      </c>
      <c r="F151" s="116">
        <f t="shared" si="130"/>
        <v>3107</v>
      </c>
      <c r="G151" s="116">
        <f t="shared" si="130"/>
        <v>-14721</v>
      </c>
      <c r="H151" s="116">
        <f t="shared" si="130"/>
        <v>-2413</v>
      </c>
      <c r="I151" s="116">
        <f t="shared" si="130"/>
        <v>13572</v>
      </c>
      <c r="J151" s="116">
        <f t="shared" si="130"/>
        <v>-11610</v>
      </c>
      <c r="K151" s="116">
        <f t="shared" si="130"/>
        <v>3278</v>
      </c>
      <c r="L151" s="116">
        <f t="shared" si="130"/>
        <v>897</v>
      </c>
      <c r="M151" s="116">
        <f t="shared" si="130"/>
        <v>-1931</v>
      </c>
      <c r="N151" s="116">
        <f t="shared" si="130"/>
        <v>2684</v>
      </c>
      <c r="O151" s="116">
        <f t="shared" si="130"/>
        <v>-1968</v>
      </c>
      <c r="P151" s="116">
        <f t="shared" si="130"/>
        <v>-7081</v>
      </c>
      <c r="Q151" s="116">
        <f t="shared" si="130"/>
        <v>-10041</v>
      </c>
      <c r="R151" s="116">
        <f t="shared" si="130"/>
        <v>2960</v>
      </c>
      <c r="S151" s="66"/>
      <c r="T151" s="116">
        <f t="shared" si="130"/>
        <v>-7196</v>
      </c>
      <c r="U151" s="116">
        <f>SUM(U143:U149)</f>
        <v>-3872</v>
      </c>
      <c r="V151" s="116">
        <f>SUM(V143:V149)</f>
        <v>-3324</v>
      </c>
      <c r="W151" s="66"/>
      <c r="X151" s="66"/>
      <c r="Y151" s="66"/>
      <c r="Z151" s="66"/>
      <c r="AA151" s="122" t="str">
        <f>A151</f>
        <v xml:space="preserve">            Total Working Capital Changes</v>
      </c>
      <c r="AB151" s="116">
        <f>SUM(AB143:AB149)</f>
        <v>-7081</v>
      </c>
      <c r="AC151" s="116">
        <f>SUM(AC143:AC149)</f>
        <v>-5866</v>
      </c>
      <c r="AD151" s="116">
        <f>SUM(AD143:AD149)</f>
        <v>-1215</v>
      </c>
      <c r="AE151" s="66"/>
      <c r="AF151" s="116">
        <f>SUM(AF143:AF149)</f>
        <v>-7196</v>
      </c>
      <c r="AG151" s="116">
        <f>SUM(AG143:AG149)</f>
        <v>-3872</v>
      </c>
      <c r="AH151" s="116">
        <f>SUM(AH143:AH149)</f>
        <v>-3324</v>
      </c>
      <c r="AI151" s="66"/>
      <c r="AJ151" s="116">
        <f>SUM(AJ143:AJ149)</f>
        <v>-1994</v>
      </c>
      <c r="AK151" s="116">
        <f>SUM(AK143:AK149)</f>
        <v>115</v>
      </c>
      <c r="AL151" s="66"/>
      <c r="AM151" s="116">
        <f>SUM(AM143:AM149)</f>
        <v>-11588</v>
      </c>
      <c r="AN151" s="116">
        <f>SUM(AN143:AN149)</f>
        <v>4507</v>
      </c>
      <c r="AO151" s="66"/>
      <c r="AP151" s="116">
        <f>SUM(AP143:AP149)</f>
        <v>-6944</v>
      </c>
      <c r="AQ151" s="116">
        <f>SUM(AQ143:AQ149)</f>
        <v>1078</v>
      </c>
      <c r="AR151" s="66"/>
      <c r="AS151" s="66"/>
      <c r="AT151" s="66"/>
      <c r="AU151" s="66"/>
    </row>
    <row r="152" spans="1:47" ht="6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3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</row>
    <row r="153" spans="1:47" ht="12.75" customHeight="1" x14ac:dyDescent="0.25">
      <c r="A153" s="119" t="s">
        <v>521</v>
      </c>
      <c r="B153" s="66"/>
      <c r="C153" s="66"/>
      <c r="D153" s="114">
        <f t="shared" ref="D153:R153" si="131">D140+D151</f>
        <v>11072</v>
      </c>
      <c r="E153" s="114">
        <f t="shared" si="131"/>
        <v>9754</v>
      </c>
      <c r="F153" s="114">
        <f t="shared" si="131"/>
        <v>15487</v>
      </c>
      <c r="G153" s="114">
        <f t="shared" si="131"/>
        <v>-3258</v>
      </c>
      <c r="H153" s="114">
        <f t="shared" si="131"/>
        <v>6562</v>
      </c>
      <c r="I153" s="114">
        <f t="shared" si="131"/>
        <v>21900</v>
      </c>
      <c r="J153" s="114">
        <f t="shared" si="131"/>
        <v>-2673</v>
      </c>
      <c r="K153" s="114">
        <f t="shared" si="131"/>
        <v>12100</v>
      </c>
      <c r="L153" s="114">
        <f t="shared" si="131"/>
        <v>10043</v>
      </c>
      <c r="M153" s="114">
        <f t="shared" si="131"/>
        <v>9517</v>
      </c>
      <c r="N153" s="114">
        <f t="shared" si="131"/>
        <v>9702</v>
      </c>
      <c r="O153" s="114">
        <f t="shared" si="131"/>
        <v>5948</v>
      </c>
      <c r="P153" s="114">
        <f t="shared" si="131"/>
        <v>106154</v>
      </c>
      <c r="Q153" s="114">
        <f t="shared" si="131"/>
        <v>58844</v>
      </c>
      <c r="R153" s="114">
        <f t="shared" si="131"/>
        <v>47310</v>
      </c>
      <c r="S153" s="66"/>
      <c r="T153" s="114">
        <f>T140+T151</f>
        <v>81940</v>
      </c>
      <c r="U153" s="114">
        <f>U140+U151</f>
        <v>63700</v>
      </c>
      <c r="V153" s="114">
        <f>V140+V151</f>
        <v>18240</v>
      </c>
      <c r="W153" s="66"/>
      <c r="X153" s="66"/>
      <c r="Y153" s="66"/>
      <c r="Z153" s="66"/>
      <c r="AA153" s="108" t="str">
        <f>A153</f>
        <v>TOTAL CASH FLOW FROM OPERATING ACTIVITIES</v>
      </c>
      <c r="AB153" s="114">
        <f>AB140+AB151</f>
        <v>106154</v>
      </c>
      <c r="AC153" s="114">
        <f>AC140+AC151</f>
        <v>80987</v>
      </c>
      <c r="AD153" s="114">
        <f>AD140+AD151</f>
        <v>25167</v>
      </c>
      <c r="AE153" s="66"/>
      <c r="AF153" s="114">
        <f>AF140+AF151</f>
        <v>81940</v>
      </c>
      <c r="AG153" s="114">
        <f>AG140+AG151</f>
        <v>63700</v>
      </c>
      <c r="AH153" s="114">
        <f>AH140+AH151</f>
        <v>18240</v>
      </c>
      <c r="AI153" s="66"/>
      <c r="AJ153" s="114">
        <f>AJ140+AJ151</f>
        <v>17287</v>
      </c>
      <c r="AK153" s="114">
        <f>AK140+AK151</f>
        <v>24214</v>
      </c>
      <c r="AL153" s="66"/>
      <c r="AM153" s="114">
        <f>AM140+AM151</f>
        <v>100779</v>
      </c>
      <c r="AN153" s="114">
        <f>AN140+AN151</f>
        <v>5375</v>
      </c>
      <c r="AO153" s="66"/>
      <c r="AP153" s="114">
        <f>AP140+AP151</f>
        <v>77904</v>
      </c>
      <c r="AQ153" s="114">
        <f>AQ140+AQ151</f>
        <v>3083</v>
      </c>
      <c r="AR153" s="66"/>
      <c r="AS153" s="66"/>
      <c r="AT153" s="66"/>
      <c r="AU153" s="66"/>
    </row>
    <row r="154" spans="1:47" ht="6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3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</row>
    <row r="155" spans="1:47" ht="12.75" customHeight="1" x14ac:dyDescent="0.25">
      <c r="A155" s="66" t="str">
        <f t="shared" ref="A155:A160" si="132">A36</f>
        <v>CASH FLOW FROM INVESTING ACTIVITIES</v>
      </c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122" t="str">
        <f t="shared" ref="AA155:AA160" si="133">A155</f>
        <v>CASH FLOW FROM INVESTING ACTIVITIES</v>
      </c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</row>
    <row r="156" spans="1:47" ht="12.75" customHeight="1" x14ac:dyDescent="0.25">
      <c r="A156" s="66" t="str">
        <f t="shared" si="132"/>
        <v xml:space="preserve">   Proceeds from Sale of Investments</v>
      </c>
      <c r="B156" s="66"/>
      <c r="C156" s="66"/>
      <c r="D156" s="114">
        <f t="shared" ref="D156:R156" si="134">D37</f>
        <v>0</v>
      </c>
      <c r="E156" s="114">
        <f t="shared" si="134"/>
        <v>0</v>
      </c>
      <c r="F156" s="114">
        <f t="shared" si="134"/>
        <v>0</v>
      </c>
      <c r="G156" s="114">
        <f t="shared" si="134"/>
        <v>0</v>
      </c>
      <c r="H156" s="114">
        <f t="shared" si="134"/>
        <v>0</v>
      </c>
      <c r="I156" s="114">
        <f t="shared" si="134"/>
        <v>0</v>
      </c>
      <c r="J156" s="114">
        <f t="shared" si="134"/>
        <v>18</v>
      </c>
      <c r="K156" s="114">
        <f t="shared" si="134"/>
        <v>0</v>
      </c>
      <c r="L156" s="114">
        <f t="shared" si="134"/>
        <v>0</v>
      </c>
      <c r="M156" s="114">
        <f t="shared" si="134"/>
        <v>0</v>
      </c>
      <c r="N156" s="114">
        <f t="shared" si="134"/>
        <v>0</v>
      </c>
      <c r="O156" s="114">
        <f t="shared" si="134"/>
        <v>0</v>
      </c>
      <c r="P156" s="114">
        <f t="shared" si="134"/>
        <v>18</v>
      </c>
      <c r="Q156" s="114">
        <f t="shared" si="134"/>
        <v>18</v>
      </c>
      <c r="R156" s="114">
        <f t="shared" si="134"/>
        <v>0</v>
      </c>
      <c r="S156" s="66"/>
      <c r="T156" s="114">
        <f t="shared" ref="T156:V160" si="135">T37</f>
        <v>0</v>
      </c>
      <c r="U156" s="114">
        <f t="shared" si="135"/>
        <v>0</v>
      </c>
      <c r="V156" s="114">
        <f t="shared" si="135"/>
        <v>0</v>
      </c>
      <c r="W156" s="66"/>
      <c r="X156" s="66"/>
      <c r="Y156" s="66"/>
      <c r="Z156" s="66"/>
      <c r="AA156" s="122" t="str">
        <f t="shared" si="133"/>
        <v xml:space="preserve">   Proceeds from Sale of Investments</v>
      </c>
      <c r="AB156" s="114">
        <f>P156</f>
        <v>18</v>
      </c>
      <c r="AC156" s="114">
        <f>AC37</f>
        <v>18</v>
      </c>
      <c r="AD156" s="78">
        <f>AB156-AC156</f>
        <v>0</v>
      </c>
      <c r="AE156" s="66"/>
      <c r="AF156" s="78">
        <f>T156</f>
        <v>0</v>
      </c>
      <c r="AG156" s="114">
        <f>AG37</f>
        <v>0</v>
      </c>
      <c r="AH156" s="78">
        <f>AF156-AG156</f>
        <v>0</v>
      </c>
      <c r="AI156" s="66"/>
      <c r="AJ156" s="78">
        <f>AC156-AG156</f>
        <v>18</v>
      </c>
      <c r="AK156" s="78">
        <f>AB156-AF156</f>
        <v>18</v>
      </c>
      <c r="AL156" s="66"/>
      <c r="AM156" s="114">
        <f>AM37</f>
        <v>0</v>
      </c>
      <c r="AN156" s="78">
        <f>AB156-AM156</f>
        <v>18</v>
      </c>
      <c r="AO156" s="66"/>
      <c r="AP156" s="114">
        <f>AP37</f>
        <v>0</v>
      </c>
      <c r="AQ156" s="78">
        <f>AC156-AP156</f>
        <v>18</v>
      </c>
      <c r="AR156" s="66"/>
      <c r="AS156" s="66"/>
      <c r="AT156" s="66"/>
      <c r="AU156" s="66"/>
    </row>
    <row r="157" spans="1:47" ht="12.75" customHeight="1" x14ac:dyDescent="0.25">
      <c r="A157" s="66" t="str">
        <f t="shared" si="132"/>
        <v xml:space="preserve">   Additions to Property </v>
      </c>
      <c r="B157" s="66"/>
      <c r="C157" s="66"/>
      <c r="D157" s="114">
        <f t="shared" ref="D157:R157" si="136">D38</f>
        <v>-366</v>
      </c>
      <c r="E157" s="114">
        <f t="shared" si="136"/>
        <v>-242</v>
      </c>
      <c r="F157" s="114">
        <f t="shared" si="136"/>
        <v>-906</v>
      </c>
      <c r="G157" s="114">
        <f t="shared" si="136"/>
        <v>-1317</v>
      </c>
      <c r="H157" s="114">
        <f t="shared" si="136"/>
        <v>-16105</v>
      </c>
      <c r="I157" s="114">
        <f t="shared" si="136"/>
        <v>-3523</v>
      </c>
      <c r="J157" s="114">
        <f t="shared" si="136"/>
        <v>-1281</v>
      </c>
      <c r="K157" s="114">
        <f t="shared" si="136"/>
        <v>-1900</v>
      </c>
      <c r="L157" s="114">
        <f t="shared" si="136"/>
        <v>-13043</v>
      </c>
      <c r="M157" s="114">
        <f t="shared" si="136"/>
        <v>-5817</v>
      </c>
      <c r="N157" s="114">
        <f t="shared" si="136"/>
        <v>-11852</v>
      </c>
      <c r="O157" s="114">
        <f t="shared" si="136"/>
        <v>-11548</v>
      </c>
      <c r="P157" s="114">
        <f t="shared" si="136"/>
        <v>-67900</v>
      </c>
      <c r="Q157" s="114">
        <f t="shared" si="136"/>
        <v>-23740</v>
      </c>
      <c r="R157" s="114">
        <f t="shared" si="136"/>
        <v>-44160</v>
      </c>
      <c r="S157" s="66"/>
      <c r="T157" s="114">
        <f t="shared" si="135"/>
        <v>-47600</v>
      </c>
      <c r="U157" s="114">
        <f t="shared" si="135"/>
        <v>-40100</v>
      </c>
      <c r="V157" s="114">
        <f t="shared" si="135"/>
        <v>-7500</v>
      </c>
      <c r="W157" s="66"/>
      <c r="X157" s="66"/>
      <c r="Y157" s="66"/>
      <c r="Z157" s="66"/>
      <c r="AA157" s="122" t="str">
        <f t="shared" si="133"/>
        <v xml:space="preserve">   Additions to Property </v>
      </c>
      <c r="AB157" s="114">
        <f>P157</f>
        <v>-67900</v>
      </c>
      <c r="AC157" s="114">
        <f>AC38</f>
        <v>-38683</v>
      </c>
      <c r="AD157" s="78">
        <f>AB157-AC157</f>
        <v>-29217</v>
      </c>
      <c r="AE157" s="66"/>
      <c r="AF157" s="78">
        <f>T157</f>
        <v>-47600</v>
      </c>
      <c r="AG157" s="114">
        <f>AG38</f>
        <v>-40100</v>
      </c>
      <c r="AH157" s="78">
        <f>AF157-AG157</f>
        <v>-7500</v>
      </c>
      <c r="AI157" s="66"/>
      <c r="AJ157" s="78">
        <f>AC157-AG157</f>
        <v>1417</v>
      </c>
      <c r="AK157" s="78">
        <f>AB157-AF157</f>
        <v>-20300</v>
      </c>
      <c r="AL157" s="66"/>
      <c r="AM157" s="114">
        <f>AM38</f>
        <v>-88300</v>
      </c>
      <c r="AN157" s="78">
        <f>AB157-AM157</f>
        <v>20400</v>
      </c>
      <c r="AO157" s="66"/>
      <c r="AP157" s="114">
        <f>AP38</f>
        <v>-52575</v>
      </c>
      <c r="AQ157" s="78">
        <f>AC157-AP157</f>
        <v>13892</v>
      </c>
      <c r="AR157" s="66"/>
      <c r="AS157" s="66"/>
      <c r="AT157" s="66"/>
      <c r="AU157" s="66"/>
    </row>
    <row r="158" spans="1:47" ht="12.75" customHeight="1" x14ac:dyDescent="0.25">
      <c r="A158" s="66" t="str">
        <f t="shared" si="132"/>
        <v xml:space="preserve">   Other Capital Expenditures</v>
      </c>
      <c r="B158" s="66"/>
      <c r="C158" s="66"/>
      <c r="D158" s="114">
        <f t="shared" ref="D158:R158" si="137">D39</f>
        <v>-69</v>
      </c>
      <c r="E158" s="114">
        <f t="shared" si="137"/>
        <v>862</v>
      </c>
      <c r="F158" s="114">
        <f t="shared" si="137"/>
        <v>17</v>
      </c>
      <c r="G158" s="114">
        <f t="shared" si="137"/>
        <v>-1468</v>
      </c>
      <c r="H158" s="114">
        <f t="shared" si="137"/>
        <v>154</v>
      </c>
      <c r="I158" s="114">
        <f t="shared" si="137"/>
        <v>67</v>
      </c>
      <c r="J158" s="114">
        <f t="shared" si="137"/>
        <v>200</v>
      </c>
      <c r="K158" s="114">
        <f t="shared" si="137"/>
        <v>0</v>
      </c>
      <c r="L158" s="114">
        <f t="shared" si="137"/>
        <v>0</v>
      </c>
      <c r="M158" s="114">
        <f t="shared" si="137"/>
        <v>0</v>
      </c>
      <c r="N158" s="114">
        <f t="shared" si="137"/>
        <v>0</v>
      </c>
      <c r="O158" s="114">
        <f t="shared" si="137"/>
        <v>0</v>
      </c>
      <c r="P158" s="114">
        <f t="shared" si="137"/>
        <v>-237</v>
      </c>
      <c r="Q158" s="114">
        <f t="shared" si="137"/>
        <v>-237</v>
      </c>
      <c r="R158" s="114">
        <f t="shared" si="137"/>
        <v>0</v>
      </c>
      <c r="S158" s="66"/>
      <c r="T158" s="114">
        <f t="shared" si="135"/>
        <v>0</v>
      </c>
      <c r="U158" s="114">
        <f t="shared" si="135"/>
        <v>0</v>
      </c>
      <c r="V158" s="114">
        <f t="shared" si="135"/>
        <v>0</v>
      </c>
      <c r="W158" s="66"/>
      <c r="X158" s="66"/>
      <c r="Y158" s="66"/>
      <c r="Z158" s="66"/>
      <c r="AA158" s="122" t="str">
        <f t="shared" si="133"/>
        <v xml:space="preserve">   Other Capital Expenditures</v>
      </c>
      <c r="AB158" s="114">
        <f>P158</f>
        <v>-237</v>
      </c>
      <c r="AC158" s="114">
        <f>AC39</f>
        <v>-237</v>
      </c>
      <c r="AD158" s="78">
        <f>AB158-AC158</f>
        <v>0</v>
      </c>
      <c r="AE158" s="66"/>
      <c r="AF158" s="78">
        <f>T158</f>
        <v>0</v>
      </c>
      <c r="AG158" s="114">
        <f>AG39</f>
        <v>0</v>
      </c>
      <c r="AH158" s="78">
        <f>AF158-AG158</f>
        <v>0</v>
      </c>
      <c r="AI158" s="66"/>
      <c r="AJ158" s="78">
        <f>AC158-AG158</f>
        <v>-237</v>
      </c>
      <c r="AK158" s="78">
        <f>AB158-AF158</f>
        <v>-237</v>
      </c>
      <c r="AL158" s="66"/>
      <c r="AM158" s="114">
        <f>AM39</f>
        <v>-504</v>
      </c>
      <c r="AN158" s="78">
        <f>AB158-AM158</f>
        <v>267</v>
      </c>
      <c r="AO158" s="66"/>
      <c r="AP158" s="114">
        <f>AP39</f>
        <v>-504</v>
      </c>
      <c r="AQ158" s="78">
        <f>AC158-AP158</f>
        <v>267</v>
      </c>
      <c r="AR158" s="66"/>
      <c r="AS158" s="66"/>
      <c r="AT158" s="66"/>
      <c r="AU158" s="66"/>
    </row>
    <row r="159" spans="1:47" ht="12.75" customHeight="1" x14ac:dyDescent="0.25">
      <c r="A159" s="66" t="str">
        <f t="shared" si="132"/>
        <v xml:space="preserve">   Other Investments</v>
      </c>
      <c r="B159" s="66"/>
      <c r="C159" s="66"/>
      <c r="D159" s="114">
        <f t="shared" ref="D159:R159" si="138">D40</f>
        <v>0</v>
      </c>
      <c r="E159" s="114">
        <f t="shared" si="138"/>
        <v>0</v>
      </c>
      <c r="F159" s="114">
        <f t="shared" si="138"/>
        <v>0</v>
      </c>
      <c r="G159" s="114">
        <f t="shared" si="138"/>
        <v>0</v>
      </c>
      <c r="H159" s="114">
        <f t="shared" si="138"/>
        <v>0</v>
      </c>
      <c r="I159" s="114">
        <f t="shared" si="138"/>
        <v>0</v>
      </c>
      <c r="J159" s="114">
        <f t="shared" si="138"/>
        <v>0</v>
      </c>
      <c r="K159" s="114">
        <f t="shared" si="138"/>
        <v>0</v>
      </c>
      <c r="L159" s="114">
        <f t="shared" si="138"/>
        <v>0</v>
      </c>
      <c r="M159" s="114">
        <f t="shared" si="138"/>
        <v>0</v>
      </c>
      <c r="N159" s="114">
        <f t="shared" si="138"/>
        <v>0</v>
      </c>
      <c r="O159" s="114">
        <f t="shared" si="138"/>
        <v>0</v>
      </c>
      <c r="P159" s="114">
        <f t="shared" si="138"/>
        <v>0</v>
      </c>
      <c r="Q159" s="114">
        <f t="shared" si="138"/>
        <v>0</v>
      </c>
      <c r="R159" s="114">
        <f t="shared" si="138"/>
        <v>0</v>
      </c>
      <c r="S159" s="66"/>
      <c r="T159" s="114">
        <f t="shared" si="135"/>
        <v>0</v>
      </c>
      <c r="U159" s="114">
        <f t="shared" si="135"/>
        <v>0</v>
      </c>
      <c r="V159" s="114">
        <f t="shared" si="135"/>
        <v>0</v>
      </c>
      <c r="W159" s="66"/>
      <c r="X159" s="66"/>
      <c r="Y159" s="66"/>
      <c r="Z159" s="66"/>
      <c r="AA159" s="66" t="str">
        <f t="shared" si="133"/>
        <v xml:space="preserve">   Other Investments</v>
      </c>
      <c r="AB159" s="114">
        <f>P159</f>
        <v>0</v>
      </c>
      <c r="AC159" s="114">
        <f>AC40</f>
        <v>0</v>
      </c>
      <c r="AD159" s="78">
        <f>AB159-AC159</f>
        <v>0</v>
      </c>
      <c r="AE159" s="66"/>
      <c r="AF159" s="78">
        <f>T159</f>
        <v>0</v>
      </c>
      <c r="AG159" s="114">
        <f>AG40</f>
        <v>0</v>
      </c>
      <c r="AH159" s="78">
        <f>AF159-AG159</f>
        <v>0</v>
      </c>
      <c r="AI159" s="66"/>
      <c r="AJ159" s="78">
        <f>AC159-AG159</f>
        <v>0</v>
      </c>
      <c r="AK159" s="78">
        <f>AB159-AF159</f>
        <v>0</v>
      </c>
      <c r="AL159" s="66"/>
      <c r="AM159" s="114">
        <f>AM40</f>
        <v>0</v>
      </c>
      <c r="AN159" s="78">
        <f>AB159-AM159</f>
        <v>0</v>
      </c>
      <c r="AO159" s="66"/>
      <c r="AP159" s="114">
        <f>AP40</f>
        <v>0</v>
      </c>
      <c r="AQ159" s="78">
        <f>AC159-AP159</f>
        <v>0</v>
      </c>
      <c r="AR159" s="66"/>
      <c r="AS159" s="66"/>
      <c r="AT159" s="66"/>
      <c r="AU159" s="66"/>
    </row>
    <row r="160" spans="1:47" ht="12.75" customHeight="1" x14ac:dyDescent="0.25">
      <c r="A160" s="66" t="str">
        <f t="shared" si="132"/>
        <v xml:space="preserve">   Other (Net Salvage &amp; Removal)</v>
      </c>
      <c r="B160" s="66"/>
      <c r="C160" s="66"/>
      <c r="D160" s="116">
        <f t="shared" ref="D160:R160" si="139">D41</f>
        <v>-14</v>
      </c>
      <c r="E160" s="116">
        <f t="shared" si="139"/>
        <v>-19</v>
      </c>
      <c r="F160" s="116">
        <f t="shared" si="139"/>
        <v>76</v>
      </c>
      <c r="G160" s="116">
        <f t="shared" si="139"/>
        <v>57</v>
      </c>
      <c r="H160" s="116">
        <f t="shared" si="139"/>
        <v>-70</v>
      </c>
      <c r="I160" s="116">
        <f t="shared" si="139"/>
        <v>29</v>
      </c>
      <c r="J160" s="116">
        <f t="shared" si="139"/>
        <v>-45</v>
      </c>
      <c r="K160" s="116">
        <f t="shared" si="139"/>
        <v>0</v>
      </c>
      <c r="L160" s="116">
        <f t="shared" si="139"/>
        <v>0</v>
      </c>
      <c r="M160" s="116">
        <f t="shared" si="139"/>
        <v>0</v>
      </c>
      <c r="N160" s="116">
        <f t="shared" si="139"/>
        <v>0</v>
      </c>
      <c r="O160" s="116">
        <f t="shared" si="139"/>
        <v>0</v>
      </c>
      <c r="P160" s="116">
        <f t="shared" si="139"/>
        <v>14</v>
      </c>
      <c r="Q160" s="116">
        <f t="shared" si="139"/>
        <v>14</v>
      </c>
      <c r="R160" s="116">
        <f t="shared" si="139"/>
        <v>0</v>
      </c>
      <c r="S160" s="84"/>
      <c r="T160" s="116">
        <f t="shared" si="135"/>
        <v>0</v>
      </c>
      <c r="U160" s="116">
        <f t="shared" si="135"/>
        <v>0</v>
      </c>
      <c r="V160" s="116">
        <f t="shared" si="135"/>
        <v>0</v>
      </c>
      <c r="W160" s="84"/>
      <c r="X160" s="84"/>
      <c r="Y160" s="84"/>
      <c r="Z160" s="84"/>
      <c r="AA160" s="66" t="str">
        <f t="shared" si="133"/>
        <v xml:space="preserve">   Other (Net Salvage &amp; Removal)</v>
      </c>
      <c r="AB160" s="116">
        <f>P160</f>
        <v>14</v>
      </c>
      <c r="AC160" s="116">
        <f>AC41</f>
        <v>14</v>
      </c>
      <c r="AD160" s="83">
        <f>AB160-AC160</f>
        <v>0</v>
      </c>
      <c r="AE160" s="84"/>
      <c r="AF160" s="83">
        <f>T160</f>
        <v>0</v>
      </c>
      <c r="AG160" s="116">
        <f>AG41</f>
        <v>0</v>
      </c>
      <c r="AH160" s="83">
        <f>AF160-AG160</f>
        <v>0</v>
      </c>
      <c r="AI160" s="84"/>
      <c r="AJ160" s="83">
        <f>AC160-AG160</f>
        <v>14</v>
      </c>
      <c r="AK160" s="83">
        <f>AB160-AF160</f>
        <v>14</v>
      </c>
      <c r="AL160" s="84"/>
      <c r="AM160" s="116">
        <f>AM41</f>
        <v>57</v>
      </c>
      <c r="AN160" s="83">
        <f>AB160-AM160</f>
        <v>-43</v>
      </c>
      <c r="AO160" s="84"/>
      <c r="AP160" s="116">
        <f>AP41</f>
        <v>57</v>
      </c>
      <c r="AQ160" s="83">
        <f>AC160-AP160</f>
        <v>-43</v>
      </c>
      <c r="AR160" s="66"/>
      <c r="AS160" s="66"/>
      <c r="AT160" s="66"/>
      <c r="AU160" s="66"/>
    </row>
    <row r="161" spans="1:47" ht="3.9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3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</row>
    <row r="162" spans="1:47" ht="12.75" customHeight="1" x14ac:dyDescent="0.25">
      <c r="A162" s="66" t="str">
        <f>A43</f>
        <v xml:space="preserve">      Cash Provided by (Used in) Investing Activities</v>
      </c>
      <c r="B162" s="66"/>
      <c r="C162" s="66"/>
      <c r="D162" s="116">
        <f>SUM(D156:D161)</f>
        <v>-449</v>
      </c>
      <c r="E162" s="116">
        <f t="shared" ref="E162:T162" si="140">SUM(E156:E161)</f>
        <v>601</v>
      </c>
      <c r="F162" s="116">
        <f t="shared" si="140"/>
        <v>-813</v>
      </c>
      <c r="G162" s="116">
        <f t="shared" si="140"/>
        <v>-2728</v>
      </c>
      <c r="H162" s="116">
        <f t="shared" si="140"/>
        <v>-16021</v>
      </c>
      <c r="I162" s="116">
        <f t="shared" si="140"/>
        <v>-3427</v>
      </c>
      <c r="J162" s="116">
        <f t="shared" si="140"/>
        <v>-1108</v>
      </c>
      <c r="K162" s="116">
        <f t="shared" si="140"/>
        <v>-1900</v>
      </c>
      <c r="L162" s="116">
        <f t="shared" si="140"/>
        <v>-13043</v>
      </c>
      <c r="M162" s="116">
        <f t="shared" si="140"/>
        <v>-5817</v>
      </c>
      <c r="N162" s="116">
        <f t="shared" si="140"/>
        <v>-11852</v>
      </c>
      <c r="O162" s="116">
        <f t="shared" si="140"/>
        <v>-11548</v>
      </c>
      <c r="P162" s="116">
        <f t="shared" si="140"/>
        <v>-68105</v>
      </c>
      <c r="Q162" s="116">
        <f t="shared" si="140"/>
        <v>-23945</v>
      </c>
      <c r="R162" s="116">
        <f t="shared" si="140"/>
        <v>-44160</v>
      </c>
      <c r="S162" s="66"/>
      <c r="T162" s="116">
        <f t="shared" si="140"/>
        <v>-47600</v>
      </c>
      <c r="U162" s="116">
        <f>SUM(U156:U161)</f>
        <v>-40100</v>
      </c>
      <c r="V162" s="116">
        <f>SUM(V156:V161)</f>
        <v>-7500</v>
      </c>
      <c r="W162" s="66"/>
      <c r="X162" s="66"/>
      <c r="Y162" s="66"/>
      <c r="Z162" s="66"/>
      <c r="AA162" s="122" t="str">
        <f>A162</f>
        <v xml:space="preserve">      Cash Provided by (Used in) Investing Activities</v>
      </c>
      <c r="AB162" s="116">
        <f>SUM(AB156:AB161)</f>
        <v>-68105</v>
      </c>
      <c r="AC162" s="116">
        <f>SUM(AC156:AC161)</f>
        <v>-38888</v>
      </c>
      <c r="AD162" s="116">
        <f>SUM(AD156:AD161)</f>
        <v>-29217</v>
      </c>
      <c r="AE162" s="66"/>
      <c r="AF162" s="116">
        <f t="shared" ref="AF162:AK162" si="141">SUM(AF156:AF161)</f>
        <v>-47600</v>
      </c>
      <c r="AG162" s="116">
        <f t="shared" si="141"/>
        <v>-40100</v>
      </c>
      <c r="AH162" s="116">
        <f t="shared" si="141"/>
        <v>-7500</v>
      </c>
      <c r="AI162" s="66"/>
      <c r="AJ162" s="116">
        <f t="shared" si="141"/>
        <v>1212</v>
      </c>
      <c r="AK162" s="116">
        <f t="shared" si="141"/>
        <v>-20505</v>
      </c>
      <c r="AL162" s="66"/>
      <c r="AM162" s="116">
        <f>SUM(AM156:AM161)</f>
        <v>-88747</v>
      </c>
      <c r="AN162" s="116">
        <f>SUM(AN156:AN161)</f>
        <v>20642</v>
      </c>
      <c r="AO162" s="66"/>
      <c r="AP162" s="116">
        <f>SUM(AP156:AP161)</f>
        <v>-53022</v>
      </c>
      <c r="AQ162" s="116">
        <f>SUM(AQ156:AQ161)</f>
        <v>14134</v>
      </c>
      <c r="AR162" s="66"/>
      <c r="AS162" s="66"/>
      <c r="AT162" s="66"/>
      <c r="AU162" s="66"/>
    </row>
    <row r="163" spans="1:47" ht="6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3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</row>
    <row r="164" spans="1:47" ht="12.75" customHeight="1" x14ac:dyDescent="0.25">
      <c r="A164" s="120" t="s">
        <v>522</v>
      </c>
      <c r="B164" s="66"/>
      <c r="C164" s="66"/>
      <c r="D164" s="218">
        <f>D153+D162</f>
        <v>10623</v>
      </c>
      <c r="E164" s="218">
        <f t="shared" ref="E164:T164" si="142">E153+E162</f>
        <v>10355</v>
      </c>
      <c r="F164" s="218">
        <f t="shared" si="142"/>
        <v>14674</v>
      </c>
      <c r="G164" s="218">
        <f t="shared" si="142"/>
        <v>-5986</v>
      </c>
      <c r="H164" s="218">
        <f t="shared" si="142"/>
        <v>-9459</v>
      </c>
      <c r="I164" s="218">
        <f t="shared" si="142"/>
        <v>18473</v>
      </c>
      <c r="J164" s="218">
        <f t="shared" si="142"/>
        <v>-3781</v>
      </c>
      <c r="K164" s="218">
        <f t="shared" si="142"/>
        <v>10200</v>
      </c>
      <c r="L164" s="218">
        <f t="shared" si="142"/>
        <v>-3000</v>
      </c>
      <c r="M164" s="218">
        <f t="shared" si="142"/>
        <v>3700</v>
      </c>
      <c r="N164" s="218">
        <f t="shared" si="142"/>
        <v>-2150</v>
      </c>
      <c r="O164" s="218">
        <f t="shared" si="142"/>
        <v>-5600</v>
      </c>
      <c r="P164" s="218">
        <f t="shared" si="142"/>
        <v>38049</v>
      </c>
      <c r="Q164" s="218">
        <f t="shared" si="142"/>
        <v>34899</v>
      </c>
      <c r="R164" s="218">
        <f t="shared" si="142"/>
        <v>3150</v>
      </c>
      <c r="S164" s="66"/>
      <c r="T164" s="218">
        <f t="shared" si="142"/>
        <v>34340</v>
      </c>
      <c r="U164" s="218">
        <f>U153+U162</f>
        <v>23600</v>
      </c>
      <c r="V164" s="218">
        <f>V153+V162</f>
        <v>10740</v>
      </c>
      <c r="W164" s="66"/>
      <c r="X164" s="66"/>
      <c r="Y164" s="66"/>
      <c r="Z164" s="66"/>
      <c r="AA164" s="63" t="str">
        <f>A164</f>
        <v>NET CASH FLOW</v>
      </c>
      <c r="AB164" s="218">
        <f>AB153+AB162</f>
        <v>38049</v>
      </c>
      <c r="AC164" s="218">
        <f>AC153+AC162</f>
        <v>42099</v>
      </c>
      <c r="AD164" s="218">
        <f>AD153+AD162</f>
        <v>-4050</v>
      </c>
      <c r="AE164" s="66"/>
      <c r="AF164" s="218">
        <f t="shared" ref="AF164:AK164" si="143">AF153+AF162</f>
        <v>34340</v>
      </c>
      <c r="AG164" s="218">
        <f t="shared" si="143"/>
        <v>23600</v>
      </c>
      <c r="AH164" s="218">
        <f t="shared" si="143"/>
        <v>10740</v>
      </c>
      <c r="AI164" s="66"/>
      <c r="AJ164" s="218">
        <f t="shared" si="143"/>
        <v>18499</v>
      </c>
      <c r="AK164" s="218">
        <f t="shared" si="143"/>
        <v>3709</v>
      </c>
      <c r="AL164" s="66"/>
      <c r="AM164" s="218">
        <f>AM153+AM162</f>
        <v>12032</v>
      </c>
      <c r="AN164" s="218">
        <f>AN153+AN162</f>
        <v>26017</v>
      </c>
      <c r="AO164" s="66"/>
      <c r="AP164" s="218">
        <f>AP153+AP162</f>
        <v>24882</v>
      </c>
      <c r="AQ164" s="218">
        <f>AQ153+AQ162</f>
        <v>17217</v>
      </c>
      <c r="AR164" s="66"/>
      <c r="AS164" s="66"/>
      <c r="AT164" s="66"/>
      <c r="AU164" s="66"/>
    </row>
    <row r="165" spans="1:47" ht="6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3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</row>
    <row r="166" spans="1:47" ht="12.75" customHeight="1" x14ac:dyDescent="0.25">
      <c r="A166" s="122" t="str">
        <f>A47</f>
        <v>OTHER ITEMS AFFECTING INTERCO. (CORP.) BALANCE</v>
      </c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122" t="str">
        <f>A166</f>
        <v>OTHER ITEMS AFFECTING INTERCO. (CORP.) BALANCE</v>
      </c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</row>
    <row r="167" spans="1:47" ht="12.75" customHeight="1" x14ac:dyDescent="0.25">
      <c r="A167" s="66" t="str">
        <f>A48</f>
        <v xml:space="preserve">   Dividends Transferred to Corporate</v>
      </c>
      <c r="B167" s="66"/>
      <c r="C167" s="66"/>
      <c r="D167" s="114">
        <f t="shared" ref="D167:R167" si="144">D48</f>
        <v>0</v>
      </c>
      <c r="E167" s="114">
        <f t="shared" si="144"/>
        <v>0</v>
      </c>
      <c r="F167" s="114">
        <f t="shared" si="144"/>
        <v>0</v>
      </c>
      <c r="G167" s="114">
        <f t="shared" si="144"/>
        <v>0</v>
      </c>
      <c r="H167" s="114">
        <f t="shared" si="144"/>
        <v>0</v>
      </c>
      <c r="I167" s="114">
        <f t="shared" si="144"/>
        <v>0</v>
      </c>
      <c r="J167" s="114">
        <f t="shared" si="144"/>
        <v>0</v>
      </c>
      <c r="K167" s="114">
        <f t="shared" si="144"/>
        <v>0</v>
      </c>
      <c r="L167" s="114">
        <f t="shared" si="144"/>
        <v>0</v>
      </c>
      <c r="M167" s="114">
        <f t="shared" si="144"/>
        <v>0</v>
      </c>
      <c r="N167" s="114">
        <f t="shared" si="144"/>
        <v>0</v>
      </c>
      <c r="O167" s="114">
        <f t="shared" si="144"/>
        <v>0</v>
      </c>
      <c r="P167" s="114">
        <f t="shared" si="144"/>
        <v>0</v>
      </c>
      <c r="Q167" s="114">
        <f t="shared" si="144"/>
        <v>0</v>
      </c>
      <c r="R167" s="114">
        <f t="shared" si="144"/>
        <v>0</v>
      </c>
      <c r="S167" s="66"/>
      <c r="T167" s="114">
        <f t="shared" ref="T167:V170" si="145">T48</f>
        <v>0</v>
      </c>
      <c r="U167" s="114">
        <f t="shared" si="145"/>
        <v>0</v>
      </c>
      <c r="V167" s="114">
        <f t="shared" si="145"/>
        <v>0</v>
      </c>
      <c r="W167" s="66"/>
      <c r="X167" s="66"/>
      <c r="Y167" s="66"/>
      <c r="Z167" s="66"/>
      <c r="AA167" s="122" t="str">
        <f>A167</f>
        <v xml:space="preserve">   Dividends Transferred to Corporate</v>
      </c>
      <c r="AB167" s="114">
        <f>P167</f>
        <v>0</v>
      </c>
      <c r="AC167" s="114">
        <f>AC48</f>
        <v>0</v>
      </c>
      <c r="AD167" s="78">
        <f>AB167-AC167</f>
        <v>0</v>
      </c>
      <c r="AE167" s="66"/>
      <c r="AF167" s="78">
        <f>T167</f>
        <v>0</v>
      </c>
      <c r="AG167" s="114">
        <f>AG48</f>
        <v>0</v>
      </c>
      <c r="AH167" s="78">
        <f>AF167-AG167</f>
        <v>0</v>
      </c>
      <c r="AI167" s="66"/>
      <c r="AJ167" s="78">
        <f>AC167-AG167</f>
        <v>0</v>
      </c>
      <c r="AK167" s="78">
        <f>AB167-AF167</f>
        <v>0</v>
      </c>
      <c r="AL167" s="66"/>
      <c r="AM167" s="114">
        <f>AM48</f>
        <v>0</v>
      </c>
      <c r="AN167" s="78">
        <f>AB167-AM167</f>
        <v>0</v>
      </c>
      <c r="AO167" s="66"/>
      <c r="AP167" s="114">
        <f>AP48</f>
        <v>0</v>
      </c>
      <c r="AQ167" s="78">
        <f>AC167-AP167</f>
        <v>0</v>
      </c>
      <c r="AR167" s="66"/>
      <c r="AS167" s="66"/>
      <c r="AT167" s="66"/>
      <c r="AU167" s="66"/>
    </row>
    <row r="168" spans="1:47" ht="12.75" customHeight="1" x14ac:dyDescent="0.25">
      <c r="A168" s="66" t="str">
        <f>A49</f>
        <v xml:space="preserve">   Other</v>
      </c>
      <c r="B168" s="66"/>
      <c r="C168" s="66"/>
      <c r="D168" s="114">
        <f t="shared" ref="D168:R168" si="146">D49</f>
        <v>0</v>
      </c>
      <c r="E168" s="114">
        <f t="shared" si="146"/>
        <v>0</v>
      </c>
      <c r="F168" s="114">
        <f t="shared" si="146"/>
        <v>0</v>
      </c>
      <c r="G168" s="114">
        <f t="shared" si="146"/>
        <v>0</v>
      </c>
      <c r="H168" s="114">
        <f t="shared" si="146"/>
        <v>0</v>
      </c>
      <c r="I168" s="114">
        <f t="shared" si="146"/>
        <v>0</v>
      </c>
      <c r="J168" s="114">
        <f t="shared" si="146"/>
        <v>0</v>
      </c>
      <c r="K168" s="114">
        <f t="shared" si="146"/>
        <v>0</v>
      </c>
      <c r="L168" s="114">
        <f t="shared" si="146"/>
        <v>0</v>
      </c>
      <c r="M168" s="114">
        <f t="shared" si="146"/>
        <v>0</v>
      </c>
      <c r="N168" s="114">
        <f t="shared" si="146"/>
        <v>0</v>
      </c>
      <c r="O168" s="114">
        <f t="shared" si="146"/>
        <v>0</v>
      </c>
      <c r="P168" s="114">
        <f t="shared" si="146"/>
        <v>0</v>
      </c>
      <c r="Q168" s="114">
        <f t="shared" si="146"/>
        <v>0</v>
      </c>
      <c r="R168" s="114">
        <f t="shared" si="146"/>
        <v>0</v>
      </c>
      <c r="S168" s="66"/>
      <c r="T168" s="114">
        <f t="shared" si="145"/>
        <v>0</v>
      </c>
      <c r="U168" s="114">
        <f t="shared" si="145"/>
        <v>0</v>
      </c>
      <c r="V168" s="114">
        <f t="shared" si="145"/>
        <v>0</v>
      </c>
      <c r="W168" s="66"/>
      <c r="X168" s="66"/>
      <c r="Y168" s="66"/>
      <c r="Z168" s="66"/>
      <c r="AA168" s="122" t="str">
        <f>A168</f>
        <v xml:space="preserve">   Other</v>
      </c>
      <c r="AB168" s="114">
        <f>P168</f>
        <v>0</v>
      </c>
      <c r="AC168" s="114">
        <f>AC49</f>
        <v>0</v>
      </c>
      <c r="AD168" s="78">
        <f>AB168-AC168</f>
        <v>0</v>
      </c>
      <c r="AE168" s="66"/>
      <c r="AF168" s="78">
        <f>T168</f>
        <v>0</v>
      </c>
      <c r="AG168" s="114">
        <f>AG49</f>
        <v>0</v>
      </c>
      <c r="AH168" s="78">
        <f>AF168-AG168</f>
        <v>0</v>
      </c>
      <c r="AI168" s="66"/>
      <c r="AJ168" s="78">
        <f>AC168-AG168</f>
        <v>0</v>
      </c>
      <c r="AK168" s="78">
        <f>AB168-AF168</f>
        <v>0</v>
      </c>
      <c r="AL168" s="66"/>
      <c r="AM168" s="114">
        <f>AM49</f>
        <v>0</v>
      </c>
      <c r="AN168" s="78">
        <f>AB168-AM168</f>
        <v>0</v>
      </c>
      <c r="AO168" s="66"/>
      <c r="AP168" s="114">
        <f>AP49</f>
        <v>0</v>
      </c>
      <c r="AQ168" s="78">
        <f>AC168-AP168</f>
        <v>0</v>
      </c>
      <c r="AR168" s="66"/>
      <c r="AS168" s="66"/>
      <c r="AT168" s="66"/>
      <c r="AU168" s="66"/>
    </row>
    <row r="169" spans="1:47" ht="12.75" customHeight="1" x14ac:dyDescent="0.25">
      <c r="A169" s="66" t="str">
        <f>A50</f>
        <v xml:space="preserve">   Inc. / (Dec.) in Long-Term Debt  (External)</v>
      </c>
      <c r="B169" s="66"/>
      <c r="C169" s="66"/>
      <c r="D169" s="114">
        <f t="shared" ref="D169:R169" ca="1" si="147">D50</f>
        <v>0</v>
      </c>
      <c r="E169" s="114">
        <f t="shared" ca="1" si="147"/>
        <v>0</v>
      </c>
      <c r="F169" s="114">
        <f t="shared" ca="1" si="147"/>
        <v>0</v>
      </c>
      <c r="G169" s="114">
        <f t="shared" ca="1" si="147"/>
        <v>0</v>
      </c>
      <c r="H169" s="114">
        <f t="shared" ca="1" si="147"/>
        <v>0</v>
      </c>
      <c r="I169" s="114">
        <f t="shared" ca="1" si="147"/>
        <v>-150000</v>
      </c>
      <c r="J169" s="114">
        <f t="shared" ca="1" si="147"/>
        <v>0</v>
      </c>
      <c r="K169" s="114">
        <f t="shared" ca="1" si="147"/>
        <v>0</v>
      </c>
      <c r="L169" s="114">
        <f t="shared" ca="1" si="147"/>
        <v>0</v>
      </c>
      <c r="M169" s="114">
        <f t="shared" ca="1" si="147"/>
        <v>0</v>
      </c>
      <c r="N169" s="114">
        <f t="shared" ca="1" si="147"/>
        <v>-3850</v>
      </c>
      <c r="O169" s="114">
        <f t="shared" ca="1" si="147"/>
        <v>0</v>
      </c>
      <c r="P169" s="114">
        <f t="shared" ca="1" si="147"/>
        <v>-153850</v>
      </c>
      <c r="Q169" s="114">
        <f t="shared" ca="1" si="147"/>
        <v>-150000</v>
      </c>
      <c r="R169" s="114">
        <f t="shared" ca="1" si="147"/>
        <v>-3850</v>
      </c>
      <c r="S169" s="66"/>
      <c r="T169" s="114">
        <f t="shared" si="145"/>
        <v>-3850</v>
      </c>
      <c r="U169" s="114">
        <f t="shared" si="145"/>
        <v>0</v>
      </c>
      <c r="V169" s="114">
        <f t="shared" si="145"/>
        <v>-3850</v>
      </c>
      <c r="W169" s="66"/>
      <c r="X169" s="66"/>
      <c r="Y169" s="66"/>
      <c r="Z169" s="66"/>
      <c r="AA169" s="122" t="str">
        <f>A169</f>
        <v xml:space="preserve">   Inc. / (Dec.) in Long-Term Debt  (External)</v>
      </c>
      <c r="AB169" s="114">
        <f ca="1">P169</f>
        <v>-153850</v>
      </c>
      <c r="AC169" s="114">
        <f ca="1">AC50</f>
        <v>-150000</v>
      </c>
      <c r="AD169" s="78">
        <f ca="1">AB169-AC169</f>
        <v>-3850</v>
      </c>
      <c r="AE169" s="66"/>
      <c r="AF169" s="78">
        <f>T169</f>
        <v>-3850</v>
      </c>
      <c r="AG169" s="114">
        <f>AG50</f>
        <v>0</v>
      </c>
      <c r="AH169" s="78">
        <f>AF169-AG169</f>
        <v>-3850</v>
      </c>
      <c r="AI169" s="66"/>
      <c r="AJ169" s="78">
        <f ca="1">AC169-AG169</f>
        <v>-150000</v>
      </c>
      <c r="AK169" s="78">
        <f ca="1">AB169-AF169</f>
        <v>-150000</v>
      </c>
      <c r="AL169" s="66"/>
      <c r="AM169" s="114">
        <f>AM50</f>
        <v>-153850</v>
      </c>
      <c r="AN169" s="78">
        <f ca="1">AB169-AM169</f>
        <v>0</v>
      </c>
      <c r="AO169" s="66"/>
      <c r="AP169" s="114">
        <f>AP50</f>
        <v>-150000</v>
      </c>
      <c r="AQ169" s="78">
        <f ca="1">AC169-AP169</f>
        <v>0</v>
      </c>
      <c r="AR169" s="66"/>
      <c r="AS169" s="66"/>
      <c r="AT169" s="66"/>
      <c r="AU169" s="66"/>
    </row>
    <row r="170" spans="1:47" ht="12.75" customHeight="1" x14ac:dyDescent="0.25">
      <c r="A170" s="66" t="str">
        <f>A51</f>
        <v xml:space="preserve">   Inc. / (Dec.) in Sale of Receivables</v>
      </c>
      <c r="B170" s="66"/>
      <c r="C170" s="66"/>
      <c r="D170" s="116">
        <f t="shared" ref="D170:R170" si="148">D51</f>
        <v>0</v>
      </c>
      <c r="E170" s="116">
        <f t="shared" si="148"/>
        <v>0</v>
      </c>
      <c r="F170" s="116">
        <f t="shared" si="148"/>
        <v>0</v>
      </c>
      <c r="G170" s="116">
        <f t="shared" si="148"/>
        <v>0</v>
      </c>
      <c r="H170" s="116">
        <f t="shared" si="148"/>
        <v>0</v>
      </c>
      <c r="I170" s="116">
        <f t="shared" si="148"/>
        <v>0</v>
      </c>
      <c r="J170" s="116">
        <f t="shared" si="148"/>
        <v>0</v>
      </c>
      <c r="K170" s="116">
        <f t="shared" si="148"/>
        <v>0</v>
      </c>
      <c r="L170" s="116">
        <f t="shared" si="148"/>
        <v>0</v>
      </c>
      <c r="M170" s="116">
        <f t="shared" si="148"/>
        <v>0</v>
      </c>
      <c r="N170" s="116">
        <f t="shared" si="148"/>
        <v>0</v>
      </c>
      <c r="O170" s="116">
        <f t="shared" si="148"/>
        <v>0</v>
      </c>
      <c r="P170" s="116">
        <f t="shared" si="148"/>
        <v>0</v>
      </c>
      <c r="Q170" s="116">
        <f t="shared" si="148"/>
        <v>0</v>
      </c>
      <c r="R170" s="116">
        <f t="shared" si="148"/>
        <v>0</v>
      </c>
      <c r="S170" s="66"/>
      <c r="T170" s="116">
        <f t="shared" si="145"/>
        <v>0</v>
      </c>
      <c r="U170" s="116">
        <f t="shared" si="145"/>
        <v>0</v>
      </c>
      <c r="V170" s="116">
        <f t="shared" si="145"/>
        <v>0</v>
      </c>
      <c r="W170" s="66"/>
      <c r="X170" s="66"/>
      <c r="Y170" s="66"/>
      <c r="Z170" s="66"/>
      <c r="AA170" s="122" t="str">
        <f>A170</f>
        <v xml:space="preserve">   Inc. / (Dec.) in Sale of Receivables</v>
      </c>
      <c r="AB170" s="116">
        <f>P170</f>
        <v>0</v>
      </c>
      <c r="AC170" s="116">
        <f>AC51</f>
        <v>0</v>
      </c>
      <c r="AD170" s="83">
        <f>AB170-AC170</f>
        <v>0</v>
      </c>
      <c r="AE170" s="84"/>
      <c r="AF170" s="83">
        <f>T170</f>
        <v>0</v>
      </c>
      <c r="AG170" s="116">
        <f>AG51</f>
        <v>0</v>
      </c>
      <c r="AH170" s="83">
        <f>AF170-AG170</f>
        <v>0</v>
      </c>
      <c r="AI170" s="66"/>
      <c r="AJ170" s="83">
        <f>AC170-AG170</f>
        <v>0</v>
      </c>
      <c r="AK170" s="83">
        <f>AB170-AF170</f>
        <v>0</v>
      </c>
      <c r="AL170" s="66"/>
      <c r="AM170" s="116">
        <f>AM51</f>
        <v>0</v>
      </c>
      <c r="AN170" s="83">
        <f>AB170-AM170</f>
        <v>0</v>
      </c>
      <c r="AO170" s="66"/>
      <c r="AP170" s="116">
        <f>AP51</f>
        <v>0</v>
      </c>
      <c r="AQ170" s="83">
        <f>AC170-AP170</f>
        <v>0</v>
      </c>
      <c r="AR170" s="66"/>
      <c r="AS170" s="66"/>
      <c r="AT170" s="66"/>
      <c r="AU170" s="66"/>
    </row>
    <row r="171" spans="1:47" ht="3.9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3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</row>
    <row r="172" spans="1:47" ht="12.75" customHeight="1" x14ac:dyDescent="0.25">
      <c r="A172" s="66" t="str">
        <f>A53</f>
        <v xml:space="preserve">      Total Items Affecting Intercompany (Corp.) Balance</v>
      </c>
      <c r="B172" s="66"/>
      <c r="C172" s="66"/>
      <c r="D172" s="116">
        <f ca="1">SUM(D167:D171)</f>
        <v>0</v>
      </c>
      <c r="E172" s="116">
        <f t="shared" ref="E172:T172" ca="1" si="149">SUM(E167:E171)</f>
        <v>0</v>
      </c>
      <c r="F172" s="116">
        <f t="shared" ca="1" si="149"/>
        <v>0</v>
      </c>
      <c r="G172" s="116">
        <f t="shared" ca="1" si="149"/>
        <v>0</v>
      </c>
      <c r="H172" s="116">
        <f t="shared" ca="1" si="149"/>
        <v>0</v>
      </c>
      <c r="I172" s="116">
        <f t="shared" ca="1" si="149"/>
        <v>-150000</v>
      </c>
      <c r="J172" s="116">
        <f t="shared" ca="1" si="149"/>
        <v>0</v>
      </c>
      <c r="K172" s="116">
        <f t="shared" ca="1" si="149"/>
        <v>0</v>
      </c>
      <c r="L172" s="116">
        <f t="shared" ca="1" si="149"/>
        <v>0</v>
      </c>
      <c r="M172" s="116">
        <f t="shared" ca="1" si="149"/>
        <v>0</v>
      </c>
      <c r="N172" s="116">
        <f t="shared" ca="1" si="149"/>
        <v>-3850</v>
      </c>
      <c r="O172" s="116">
        <f t="shared" ca="1" si="149"/>
        <v>0</v>
      </c>
      <c r="P172" s="116">
        <f t="shared" ca="1" si="149"/>
        <v>-153850</v>
      </c>
      <c r="Q172" s="116">
        <f t="shared" ca="1" si="149"/>
        <v>-150000</v>
      </c>
      <c r="R172" s="116">
        <f t="shared" ca="1" si="149"/>
        <v>-3850</v>
      </c>
      <c r="S172" s="66"/>
      <c r="T172" s="116">
        <f t="shared" si="149"/>
        <v>-3850</v>
      </c>
      <c r="U172" s="116">
        <f>SUM(U167:U171)</f>
        <v>0</v>
      </c>
      <c r="V172" s="116">
        <f>SUM(V167:V171)</f>
        <v>-3850</v>
      </c>
      <c r="W172" s="66"/>
      <c r="X172" s="66"/>
      <c r="Y172" s="66"/>
      <c r="Z172" s="66"/>
      <c r="AA172" s="122" t="str">
        <f>A172</f>
        <v xml:space="preserve">      Total Items Affecting Intercompany (Corp.) Balance</v>
      </c>
      <c r="AB172" s="116">
        <f ca="1">SUM(AB167:AB171)</f>
        <v>-153850</v>
      </c>
      <c r="AC172" s="116">
        <f ca="1">SUM(AC167:AC171)</f>
        <v>-150000</v>
      </c>
      <c r="AD172" s="116">
        <f ca="1">SUM(AD167:AD171)</f>
        <v>-3850</v>
      </c>
      <c r="AE172" s="66"/>
      <c r="AF172" s="116">
        <f t="shared" ref="AF172:AK172" si="150">SUM(AF167:AF171)</f>
        <v>-3850</v>
      </c>
      <c r="AG172" s="116">
        <f t="shared" si="150"/>
        <v>0</v>
      </c>
      <c r="AH172" s="116">
        <f t="shared" si="150"/>
        <v>-3850</v>
      </c>
      <c r="AI172" s="66"/>
      <c r="AJ172" s="116">
        <f t="shared" ca="1" si="150"/>
        <v>-150000</v>
      </c>
      <c r="AK172" s="116">
        <f t="shared" ca="1" si="150"/>
        <v>-150000</v>
      </c>
      <c r="AL172" s="66"/>
      <c r="AM172" s="116">
        <f>SUM(AM167:AM171)</f>
        <v>-153850</v>
      </c>
      <c r="AN172" s="116">
        <f ca="1">SUM(AN167:AN171)</f>
        <v>0</v>
      </c>
      <c r="AO172" s="66"/>
      <c r="AP172" s="116">
        <f>SUM(AP167:AP171)</f>
        <v>-150000</v>
      </c>
      <c r="AQ172" s="116">
        <f ca="1">SUM(AQ167:AQ171)</f>
        <v>0</v>
      </c>
      <c r="AR172" s="66"/>
      <c r="AS172" s="66"/>
      <c r="AT172" s="66"/>
      <c r="AU172" s="66"/>
    </row>
    <row r="173" spans="1:47" ht="6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3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</row>
    <row r="174" spans="1:47" ht="12.75" customHeight="1" x14ac:dyDescent="0.25">
      <c r="A174" s="108" t="str">
        <f>A55</f>
        <v>INCREASE / (DECREASE) IN INTERCOMPANY CASH</v>
      </c>
      <c r="B174" s="66"/>
      <c r="C174" s="66"/>
      <c r="D174" s="114">
        <f ca="1">D164+D172</f>
        <v>10623</v>
      </c>
      <c r="E174" s="114">
        <f t="shared" ref="E174:T174" ca="1" si="151">E164+E172</f>
        <v>10355</v>
      </c>
      <c r="F174" s="114">
        <f t="shared" ca="1" si="151"/>
        <v>14674</v>
      </c>
      <c r="G174" s="114">
        <f t="shared" ca="1" si="151"/>
        <v>-5986</v>
      </c>
      <c r="H174" s="114">
        <f t="shared" ca="1" si="151"/>
        <v>-9459</v>
      </c>
      <c r="I174" s="114">
        <f t="shared" ca="1" si="151"/>
        <v>-131527</v>
      </c>
      <c r="J174" s="114">
        <f t="shared" ca="1" si="151"/>
        <v>-3781</v>
      </c>
      <c r="K174" s="114">
        <f t="shared" ca="1" si="151"/>
        <v>10200</v>
      </c>
      <c r="L174" s="114">
        <f t="shared" ca="1" si="151"/>
        <v>-3000</v>
      </c>
      <c r="M174" s="114">
        <f t="shared" ca="1" si="151"/>
        <v>3700</v>
      </c>
      <c r="N174" s="114">
        <f t="shared" ca="1" si="151"/>
        <v>-6000</v>
      </c>
      <c r="O174" s="114">
        <f t="shared" ca="1" si="151"/>
        <v>-5600</v>
      </c>
      <c r="P174" s="114">
        <f t="shared" ca="1" si="151"/>
        <v>-115801</v>
      </c>
      <c r="Q174" s="114">
        <f t="shared" ca="1" si="151"/>
        <v>-115101</v>
      </c>
      <c r="R174" s="114">
        <f t="shared" ca="1" si="151"/>
        <v>-700</v>
      </c>
      <c r="S174" s="66"/>
      <c r="T174" s="114">
        <f t="shared" si="151"/>
        <v>30490</v>
      </c>
      <c r="U174" s="114">
        <f>U164+U172</f>
        <v>23600</v>
      </c>
      <c r="V174" s="114">
        <f>V164+V172</f>
        <v>6890</v>
      </c>
      <c r="W174" s="66"/>
      <c r="X174" s="66"/>
      <c r="Y174" s="66"/>
      <c r="Z174" s="66"/>
      <c r="AA174" s="108" t="str">
        <f>A174</f>
        <v>INCREASE / (DECREASE) IN INTERCOMPANY CASH</v>
      </c>
      <c r="AB174" s="114">
        <f ca="1">AB164+AB172</f>
        <v>-115801</v>
      </c>
      <c r="AC174" s="114">
        <f ca="1">AC164+AC172</f>
        <v>-107901</v>
      </c>
      <c r="AD174" s="114">
        <f ca="1">AD164+AD172</f>
        <v>-7900</v>
      </c>
      <c r="AE174" s="66"/>
      <c r="AF174" s="114">
        <f t="shared" ref="AF174:AK174" si="152">AF164+AF172</f>
        <v>30490</v>
      </c>
      <c r="AG174" s="114">
        <f t="shared" si="152"/>
        <v>23600</v>
      </c>
      <c r="AH174" s="114">
        <f t="shared" si="152"/>
        <v>6890</v>
      </c>
      <c r="AI174" s="66"/>
      <c r="AJ174" s="114">
        <f t="shared" ca="1" si="152"/>
        <v>-131501</v>
      </c>
      <c r="AK174" s="114">
        <f t="shared" ca="1" si="152"/>
        <v>-146291</v>
      </c>
      <c r="AL174" s="66"/>
      <c r="AM174" s="114">
        <f>AM164+AM172</f>
        <v>-141818</v>
      </c>
      <c r="AN174" s="114">
        <f ca="1">AN164+AN172</f>
        <v>26017</v>
      </c>
      <c r="AO174" s="66"/>
      <c r="AP174" s="114">
        <f>AP164+AP172</f>
        <v>-125118</v>
      </c>
      <c r="AQ174" s="114">
        <f ca="1">AQ164+AQ172</f>
        <v>17217</v>
      </c>
      <c r="AR174" s="66"/>
      <c r="AS174" s="66"/>
      <c r="AT174" s="66"/>
      <c r="AU174" s="66"/>
    </row>
    <row r="175" spans="1:47" ht="6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3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</row>
    <row r="176" spans="1:47" ht="12.75" customHeight="1" x14ac:dyDescent="0.25">
      <c r="A176" s="108" t="str">
        <f>A57</f>
        <v xml:space="preserve">      Change in Other Obligations</v>
      </c>
      <c r="B176" s="66"/>
      <c r="C176" s="66"/>
      <c r="D176" s="116">
        <f t="shared" ref="D176:R176" si="153">D57</f>
        <v>0</v>
      </c>
      <c r="E176" s="116">
        <f t="shared" si="153"/>
        <v>0</v>
      </c>
      <c r="F176" s="116">
        <f t="shared" si="153"/>
        <v>0</v>
      </c>
      <c r="G176" s="116">
        <f t="shared" si="153"/>
        <v>0</v>
      </c>
      <c r="H176" s="116">
        <f t="shared" si="153"/>
        <v>0</v>
      </c>
      <c r="I176" s="116">
        <f t="shared" si="153"/>
        <v>150000</v>
      </c>
      <c r="J176" s="116">
        <f t="shared" si="153"/>
        <v>0</v>
      </c>
      <c r="K176" s="116">
        <f t="shared" si="153"/>
        <v>0</v>
      </c>
      <c r="L176" s="116">
        <f t="shared" si="153"/>
        <v>0</v>
      </c>
      <c r="M176" s="116">
        <f t="shared" si="153"/>
        <v>0</v>
      </c>
      <c r="N176" s="116">
        <f t="shared" si="153"/>
        <v>3850</v>
      </c>
      <c r="O176" s="116">
        <f t="shared" si="153"/>
        <v>0</v>
      </c>
      <c r="P176" s="116">
        <f t="shared" si="153"/>
        <v>153850</v>
      </c>
      <c r="Q176" s="116">
        <f t="shared" si="153"/>
        <v>150000</v>
      </c>
      <c r="R176" s="116">
        <f t="shared" si="153"/>
        <v>3850</v>
      </c>
      <c r="S176" s="66"/>
      <c r="T176" s="116">
        <f>T57</f>
        <v>3850</v>
      </c>
      <c r="U176" s="116">
        <f>U57</f>
        <v>0</v>
      </c>
      <c r="V176" s="116">
        <f>V57</f>
        <v>3850</v>
      </c>
      <c r="W176" s="66"/>
      <c r="X176" s="66"/>
      <c r="Y176" s="66"/>
      <c r="Z176" s="66"/>
      <c r="AA176" s="108" t="str">
        <f>A176</f>
        <v xml:space="preserve">      Change in Other Obligations</v>
      </c>
      <c r="AB176" s="116">
        <f>AB57</f>
        <v>153850</v>
      </c>
      <c r="AC176" s="116">
        <f>AC57</f>
        <v>150000</v>
      </c>
      <c r="AD176" s="83">
        <f>AB176-AC176</f>
        <v>3850</v>
      </c>
      <c r="AE176" s="66"/>
      <c r="AF176" s="116">
        <f>AF57</f>
        <v>3850</v>
      </c>
      <c r="AG176" s="116">
        <f>AG57</f>
        <v>0</v>
      </c>
      <c r="AH176" s="116">
        <f>AH57</f>
        <v>3850</v>
      </c>
      <c r="AI176" s="66"/>
      <c r="AJ176" s="83">
        <f>AC176-AG176</f>
        <v>150000</v>
      </c>
      <c r="AK176" s="83">
        <f>AB176-AF176</f>
        <v>150000</v>
      </c>
      <c r="AL176" s="66"/>
      <c r="AM176" s="116">
        <f>AM57</f>
        <v>153850</v>
      </c>
      <c r="AN176" s="83">
        <f>AB176-AM176</f>
        <v>0</v>
      </c>
      <c r="AO176" s="66"/>
      <c r="AP176" s="116">
        <f>AP57</f>
        <v>150000</v>
      </c>
      <c r="AQ176" s="83">
        <f>AC176-AP176</f>
        <v>0</v>
      </c>
      <c r="AR176" s="66"/>
      <c r="AS176" s="66"/>
      <c r="AT176" s="66"/>
      <c r="AU176" s="66"/>
    </row>
    <row r="177" spans="1:47" ht="6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3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</row>
    <row r="178" spans="1:47" ht="12.75" customHeight="1" x14ac:dyDescent="0.25">
      <c r="A178" s="108" t="str">
        <f>A59</f>
        <v>INCREASE / (DECREASE) IN TOTAL OBLIGATIONS</v>
      </c>
      <c r="B178" s="66"/>
      <c r="C178" s="66"/>
      <c r="D178" s="123">
        <f ca="1">D174+D176</f>
        <v>10623</v>
      </c>
      <c r="E178" s="123">
        <f t="shared" ref="E178:T178" ca="1" si="154">E174+E176</f>
        <v>10355</v>
      </c>
      <c r="F178" s="123">
        <f t="shared" ca="1" si="154"/>
        <v>14674</v>
      </c>
      <c r="G178" s="123">
        <f t="shared" ca="1" si="154"/>
        <v>-5986</v>
      </c>
      <c r="H178" s="123">
        <f t="shared" ca="1" si="154"/>
        <v>-9459</v>
      </c>
      <c r="I178" s="123">
        <f t="shared" ca="1" si="154"/>
        <v>18473</v>
      </c>
      <c r="J178" s="123">
        <f t="shared" ca="1" si="154"/>
        <v>-3781</v>
      </c>
      <c r="K178" s="123">
        <f t="shared" ca="1" si="154"/>
        <v>10200</v>
      </c>
      <c r="L178" s="123">
        <f t="shared" ca="1" si="154"/>
        <v>-3000</v>
      </c>
      <c r="M178" s="123">
        <f t="shared" ca="1" si="154"/>
        <v>3700</v>
      </c>
      <c r="N178" s="123">
        <f t="shared" ca="1" si="154"/>
        <v>-2150</v>
      </c>
      <c r="O178" s="123">
        <f t="shared" ca="1" si="154"/>
        <v>-5600</v>
      </c>
      <c r="P178" s="123">
        <f t="shared" ca="1" si="154"/>
        <v>38049</v>
      </c>
      <c r="Q178" s="123">
        <f t="shared" ca="1" si="154"/>
        <v>34899</v>
      </c>
      <c r="R178" s="123">
        <f t="shared" ca="1" si="154"/>
        <v>3150</v>
      </c>
      <c r="S178" s="66"/>
      <c r="T178" s="123">
        <f t="shared" si="154"/>
        <v>34340</v>
      </c>
      <c r="U178" s="123">
        <f>U174+U176</f>
        <v>23600</v>
      </c>
      <c r="V178" s="123">
        <f>V174+V176</f>
        <v>10740</v>
      </c>
      <c r="W178" s="66"/>
      <c r="X178" s="66"/>
      <c r="Y178" s="66"/>
      <c r="Z178" s="66"/>
      <c r="AA178" s="108" t="str">
        <f>A178</f>
        <v>INCREASE / (DECREASE) IN TOTAL OBLIGATIONS</v>
      </c>
      <c r="AB178" s="123">
        <f ca="1">AB174+AB176</f>
        <v>38049</v>
      </c>
      <c r="AC178" s="123">
        <f ca="1">AC174+AC176</f>
        <v>42099</v>
      </c>
      <c r="AD178" s="123">
        <f ca="1">AD174+AD176</f>
        <v>-4050</v>
      </c>
      <c r="AE178" s="66"/>
      <c r="AF178" s="123">
        <f t="shared" ref="AF178:AK178" si="155">AF174+AF176</f>
        <v>34340</v>
      </c>
      <c r="AG178" s="123">
        <f t="shared" si="155"/>
        <v>23600</v>
      </c>
      <c r="AH178" s="123">
        <f t="shared" si="155"/>
        <v>10740</v>
      </c>
      <c r="AI178" s="66"/>
      <c r="AJ178" s="123">
        <f t="shared" ca="1" si="155"/>
        <v>18499</v>
      </c>
      <c r="AK178" s="123">
        <f t="shared" ca="1" si="155"/>
        <v>3709</v>
      </c>
      <c r="AL178" s="66"/>
      <c r="AM178" s="123">
        <f>AM174+AM176</f>
        <v>12032</v>
      </c>
      <c r="AN178" s="123">
        <f ca="1">AN174+AN176</f>
        <v>26017</v>
      </c>
      <c r="AO178" s="66"/>
      <c r="AP178" s="123">
        <f>AP174+AP176</f>
        <v>24882</v>
      </c>
      <c r="AQ178" s="123">
        <f ca="1">AQ174+AQ176</f>
        <v>17217</v>
      </c>
      <c r="AR178" s="66"/>
      <c r="AS178" s="66"/>
      <c r="AT178" s="66"/>
      <c r="AU178" s="66"/>
    </row>
    <row r="179" spans="1:47" ht="12.75" customHeight="1" x14ac:dyDescent="0.25">
      <c r="A179" s="108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3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</row>
    <row r="180" spans="1:47" ht="12.75" customHeight="1" x14ac:dyDescent="0.25">
      <c r="A180" s="122" t="str">
        <f>A107</f>
        <v xml:space="preserve">      CHECK #</v>
      </c>
      <c r="B180" s="66"/>
      <c r="C180" s="66"/>
      <c r="D180" s="114">
        <f t="shared" ref="D180:R180" ca="1" si="156">D59-D178</f>
        <v>0</v>
      </c>
      <c r="E180" s="114">
        <f t="shared" ca="1" si="156"/>
        <v>0</v>
      </c>
      <c r="F180" s="114">
        <f t="shared" ca="1" si="156"/>
        <v>0</v>
      </c>
      <c r="G180" s="114">
        <f t="shared" ca="1" si="156"/>
        <v>0</v>
      </c>
      <c r="H180" s="114">
        <f t="shared" ca="1" si="156"/>
        <v>0</v>
      </c>
      <c r="I180" s="114">
        <f t="shared" ca="1" si="156"/>
        <v>0</v>
      </c>
      <c r="J180" s="114">
        <f t="shared" ca="1" si="156"/>
        <v>0</v>
      </c>
      <c r="K180" s="114">
        <f t="shared" ca="1" si="156"/>
        <v>0</v>
      </c>
      <c r="L180" s="114">
        <f t="shared" ca="1" si="156"/>
        <v>0</v>
      </c>
      <c r="M180" s="114">
        <f t="shared" ca="1" si="156"/>
        <v>0</v>
      </c>
      <c r="N180" s="114">
        <f t="shared" ca="1" si="156"/>
        <v>0</v>
      </c>
      <c r="O180" s="114">
        <f t="shared" ca="1" si="156"/>
        <v>0</v>
      </c>
      <c r="P180" s="114">
        <f t="shared" ca="1" si="156"/>
        <v>0</v>
      </c>
      <c r="Q180" s="114">
        <f t="shared" ca="1" si="156"/>
        <v>0</v>
      </c>
      <c r="R180" s="114">
        <f t="shared" ca="1" si="156"/>
        <v>0</v>
      </c>
      <c r="S180" s="114"/>
      <c r="T180" s="114">
        <f>T59-T178</f>
        <v>0</v>
      </c>
      <c r="U180" s="114">
        <f>U59-U178</f>
        <v>0</v>
      </c>
      <c r="V180" s="114">
        <f>V59-V178</f>
        <v>0</v>
      </c>
      <c r="W180" s="66"/>
      <c r="X180" s="66"/>
      <c r="Y180" s="66"/>
      <c r="Z180" s="66"/>
      <c r="AA180" s="122" t="str">
        <f>A180</f>
        <v xml:space="preserve">      CHECK #</v>
      </c>
      <c r="AB180" s="114">
        <f ca="1">AB59-AB178</f>
        <v>0</v>
      </c>
      <c r="AC180" s="114">
        <f ca="1">AC59-AC178</f>
        <v>0</v>
      </c>
      <c r="AD180" s="114">
        <f ca="1">AD59-AD178</f>
        <v>0</v>
      </c>
      <c r="AE180" s="114"/>
      <c r="AF180" s="114">
        <f>AF59-AF178</f>
        <v>0</v>
      </c>
      <c r="AG180" s="114">
        <f>AG59-AG178</f>
        <v>0</v>
      </c>
      <c r="AH180" s="114">
        <f>AH59-AH178</f>
        <v>0</v>
      </c>
      <c r="AI180" s="114"/>
      <c r="AJ180" s="114">
        <f ca="1">AJ59-AJ178</f>
        <v>0</v>
      </c>
      <c r="AK180" s="114">
        <f ca="1">AK59-AK178</f>
        <v>0</v>
      </c>
      <c r="AL180" s="114"/>
      <c r="AM180" s="114">
        <f>AM59-AM178</f>
        <v>0</v>
      </c>
      <c r="AN180" s="114">
        <f ca="1">AN59-AN178</f>
        <v>0</v>
      </c>
      <c r="AO180" s="114"/>
      <c r="AP180" s="114">
        <f>AP59-AP178</f>
        <v>0</v>
      </c>
      <c r="AQ180" s="114">
        <f ca="1">AQ59-AQ178</f>
        <v>0</v>
      </c>
      <c r="AR180" s="66"/>
      <c r="AS180" s="66"/>
      <c r="AT180" s="66"/>
      <c r="AU180" s="66"/>
    </row>
    <row r="181" spans="1:47" ht="6" customHeight="1" x14ac:dyDescent="0.25">
      <c r="A181" s="108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3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</row>
    <row r="182" spans="1:47" ht="12.75" customHeight="1" x14ac:dyDescent="0.25">
      <c r="A182" s="108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3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</row>
    <row r="183" spans="1:47" ht="12.75" customHeight="1" x14ac:dyDescent="0.25">
      <c r="A183" s="130" t="str">
        <f ca="1">A1</f>
        <v>P:\Finance\2001CE\[TW3rdCECF.xls]BACKUP</v>
      </c>
      <c r="B183" s="87"/>
      <c r="C183" s="87"/>
      <c r="D183" s="87"/>
      <c r="E183" s="87"/>
      <c r="F183" s="87"/>
      <c r="G183" s="87"/>
      <c r="H183" s="87"/>
      <c r="I183" s="183" t="str">
        <f>I1</f>
        <v>TRANSWESTERN PIPELINE GROUP (Including Co. 92)</v>
      </c>
      <c r="J183" s="184"/>
      <c r="K183" s="184"/>
      <c r="L183" s="184"/>
      <c r="M183" s="87"/>
      <c r="N183" s="87"/>
      <c r="O183" s="87"/>
      <c r="P183" s="87"/>
      <c r="Q183" s="87"/>
      <c r="R183" s="87"/>
      <c r="S183" s="87"/>
      <c r="T183" s="87"/>
      <c r="U183" s="87"/>
      <c r="V183" s="65">
        <f ca="1">NOW()</f>
        <v>37197.646944328706</v>
      </c>
      <c r="W183" s="66"/>
      <c r="X183" s="66"/>
      <c r="Y183" s="66"/>
      <c r="Z183" s="66"/>
      <c r="AA183" s="67" t="str">
        <f ca="1">A1</f>
        <v>P:\Finance\2001CE\[TW3rdCECF.xls]BACKUP</v>
      </c>
      <c r="AB183" s="66"/>
      <c r="AC183" s="66"/>
      <c r="AD183" s="183" t="str">
        <f>I1</f>
        <v>TRANSWESTERN PIPELINE GROUP (Including Co. 92)</v>
      </c>
      <c r="AE183" s="184"/>
      <c r="AF183" s="184"/>
      <c r="AG183" s="184"/>
      <c r="AH183" s="66"/>
      <c r="AI183" s="66"/>
      <c r="AJ183" s="66"/>
      <c r="AK183" s="66"/>
      <c r="AL183" s="66"/>
      <c r="AM183" s="66"/>
      <c r="AN183" s="66"/>
      <c r="AO183" s="66"/>
      <c r="AP183" s="66"/>
      <c r="AQ183" s="65">
        <f ca="1">NOW()</f>
        <v>37197.646944328706</v>
      </c>
      <c r="AR183" s="66"/>
      <c r="AS183" s="66"/>
      <c r="AT183" s="66"/>
      <c r="AU183" s="66"/>
    </row>
    <row r="184" spans="1:47" ht="12.75" customHeight="1" x14ac:dyDescent="0.25">
      <c r="A184" s="62" t="s">
        <v>523</v>
      </c>
      <c r="B184" s="87"/>
      <c r="C184" s="87"/>
      <c r="D184" s="87"/>
      <c r="E184" s="87"/>
      <c r="F184" s="87"/>
      <c r="G184" s="87"/>
      <c r="H184" s="87"/>
      <c r="I184" s="187" t="s">
        <v>524</v>
      </c>
      <c r="J184" s="184"/>
      <c r="K184" s="184"/>
      <c r="L184" s="184"/>
      <c r="M184" s="87"/>
      <c r="N184" s="87"/>
      <c r="O184" s="87"/>
      <c r="P184" s="87"/>
      <c r="Q184" s="87"/>
      <c r="R184" s="87"/>
      <c r="S184" s="87"/>
      <c r="T184" s="87"/>
      <c r="U184" s="87"/>
      <c r="V184" s="70">
        <f ca="1">NOW()</f>
        <v>37197.646944328706</v>
      </c>
      <c r="W184" s="66"/>
      <c r="X184" s="66"/>
      <c r="Y184" s="66"/>
      <c r="Z184" s="66"/>
      <c r="AA184" s="62" t="s">
        <v>525</v>
      </c>
      <c r="AB184" s="66"/>
      <c r="AC184" s="183" t="str">
        <f>I184</f>
        <v>FUNDS FLOW STATEMENT - " OTHER "</v>
      </c>
      <c r="AD184" s="200"/>
      <c r="AE184" s="184"/>
      <c r="AF184" s="184"/>
      <c r="AG184" s="184"/>
      <c r="AH184" s="184"/>
      <c r="AI184" s="66"/>
      <c r="AJ184" s="66"/>
      <c r="AK184" s="66"/>
      <c r="AL184" s="66"/>
      <c r="AM184" s="66"/>
      <c r="AN184" s="66"/>
      <c r="AO184" s="66"/>
      <c r="AP184" s="66"/>
      <c r="AQ184" s="70">
        <f ca="1">NOW()</f>
        <v>37197.646944328706</v>
      </c>
      <c r="AR184" s="66"/>
      <c r="AS184" s="66"/>
      <c r="AT184" s="66"/>
      <c r="AU184" s="66"/>
    </row>
    <row r="185" spans="1:47" ht="12.75" customHeight="1" x14ac:dyDescent="0.25">
      <c r="A185" s="87"/>
      <c r="B185" s="87"/>
      <c r="C185" s="87"/>
      <c r="D185" s="87"/>
      <c r="E185" s="87"/>
      <c r="F185" s="87"/>
      <c r="G185" s="87"/>
      <c r="H185" s="87"/>
      <c r="I185" s="183" t="str">
        <f>I3</f>
        <v>2001 ACTUAL / ESTIMATE</v>
      </c>
      <c r="J185" s="184"/>
      <c r="K185" s="184"/>
      <c r="L185" s="184"/>
      <c r="M185" s="87"/>
      <c r="N185" s="87"/>
      <c r="O185" s="87"/>
      <c r="P185" s="87"/>
      <c r="Q185" s="87"/>
      <c r="R185" s="87"/>
      <c r="S185" s="87"/>
      <c r="T185" s="87"/>
      <c r="U185" s="87"/>
      <c r="V185" s="66"/>
      <c r="W185" s="66"/>
      <c r="X185" s="66"/>
      <c r="Y185" s="66"/>
      <c r="Z185" s="66"/>
      <c r="AA185" s="63"/>
      <c r="AB185" s="66"/>
      <c r="AC185" s="66"/>
      <c r="AD185" s="183" t="str">
        <f>I3</f>
        <v>2001 ACTUAL / ESTIMATE</v>
      </c>
      <c r="AE185" s="184"/>
      <c r="AF185" s="184"/>
      <c r="AG185" s="184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</row>
    <row r="186" spans="1:47" ht="12.75" customHeight="1" x14ac:dyDescent="0.25">
      <c r="A186" s="87"/>
      <c r="B186" s="87"/>
      <c r="C186" s="87"/>
      <c r="D186" s="87"/>
      <c r="E186" s="87"/>
      <c r="F186" s="87"/>
      <c r="G186" s="87"/>
      <c r="H186" s="87"/>
      <c r="I186" s="183" t="str">
        <f>I4</f>
        <v>(Thousands of Dollars)</v>
      </c>
      <c r="J186" s="184"/>
      <c r="K186" s="184"/>
      <c r="L186" s="184"/>
      <c r="M186" s="87"/>
      <c r="N186" s="87"/>
      <c r="O186" s="87"/>
      <c r="P186" s="87"/>
      <c r="Q186" s="87"/>
      <c r="R186" s="87"/>
      <c r="S186" s="87"/>
      <c r="T186" s="87"/>
      <c r="U186" s="87"/>
      <c r="V186" s="66"/>
      <c r="W186" s="66"/>
      <c r="X186" s="66"/>
      <c r="Y186" s="66"/>
      <c r="Z186" s="66"/>
      <c r="AA186" s="63"/>
      <c r="AB186" s="66"/>
      <c r="AC186" s="66"/>
      <c r="AD186" s="183" t="str">
        <f>I4</f>
        <v>(Thousands of Dollars)</v>
      </c>
      <c r="AE186" s="184"/>
      <c r="AF186" s="184"/>
      <c r="AG186" s="184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</row>
    <row r="187" spans="1:47" ht="12.75" customHeight="1" x14ac:dyDescent="0.25">
      <c r="A187" s="132"/>
      <c r="B187" s="132"/>
      <c r="C187" s="132"/>
      <c r="D187" s="111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111">
        <f>T5</f>
        <v>0</v>
      </c>
      <c r="U187" s="87"/>
      <c r="V187" s="111">
        <f>V5</f>
        <v>0</v>
      </c>
      <c r="W187" s="66"/>
      <c r="X187" s="66"/>
      <c r="Y187" s="66"/>
      <c r="Z187" s="66"/>
      <c r="AA187" s="63"/>
      <c r="AB187" s="66"/>
      <c r="AC187" s="66"/>
      <c r="AD187" s="66"/>
      <c r="AE187" s="66"/>
      <c r="AF187" s="111">
        <f>AF5</f>
        <v>0</v>
      </c>
      <c r="AG187" s="66"/>
      <c r="AH187" s="111">
        <f>AH5</f>
        <v>0</v>
      </c>
      <c r="AI187" s="66"/>
      <c r="AJ187" s="66"/>
      <c r="AK187" s="111">
        <f>AK5</f>
        <v>0</v>
      </c>
      <c r="AL187" s="66"/>
      <c r="AM187" s="66"/>
      <c r="AN187" s="66"/>
      <c r="AO187" s="66"/>
      <c r="AP187" s="191"/>
      <c r="AQ187" s="184"/>
      <c r="AR187" s="66"/>
      <c r="AS187" s="66"/>
      <c r="AT187" s="66"/>
      <c r="AU187" s="66"/>
    </row>
    <row r="188" spans="1:47" ht="12.75" customHeight="1" x14ac:dyDescent="0.25">
      <c r="A188" s="132"/>
      <c r="B188" s="132"/>
      <c r="C188" s="132"/>
      <c r="D188" s="111" t="str">
        <f t="shared" ref="D188:R188" si="157">D6</f>
        <v>ACT.</v>
      </c>
      <c r="E188" s="111" t="str">
        <f t="shared" si="157"/>
        <v>ACT.</v>
      </c>
      <c r="F188" s="111" t="str">
        <f t="shared" si="157"/>
        <v>ACT.</v>
      </c>
      <c r="G188" s="111" t="str">
        <f t="shared" si="157"/>
        <v>ACT.</v>
      </c>
      <c r="H188" s="111" t="str">
        <f t="shared" si="157"/>
        <v>ACT.</v>
      </c>
      <c r="I188" s="111" t="str">
        <f t="shared" si="157"/>
        <v>ACT.</v>
      </c>
      <c r="J188" s="111" t="str">
        <f t="shared" si="157"/>
        <v>ACT.</v>
      </c>
      <c r="K188" s="111" t="str">
        <f t="shared" si="157"/>
        <v>ACT.</v>
      </c>
      <c r="L188" s="111" t="str">
        <f t="shared" si="157"/>
        <v>3rd CE</v>
      </c>
      <c r="M188" s="111" t="str">
        <f t="shared" si="157"/>
        <v>3rd CE</v>
      </c>
      <c r="N188" s="111" t="str">
        <f t="shared" si="157"/>
        <v>3rd CE</v>
      </c>
      <c r="O188" s="111" t="str">
        <f t="shared" si="157"/>
        <v>3rd CE</v>
      </c>
      <c r="P188" s="111" t="str">
        <f t="shared" si="157"/>
        <v>TOTAL</v>
      </c>
      <c r="Q188" s="111" t="str">
        <f t="shared" si="157"/>
        <v>JULY</v>
      </c>
      <c r="R188" s="111" t="str">
        <f t="shared" si="157"/>
        <v>ESTIMATED</v>
      </c>
      <c r="S188" s="87"/>
      <c r="T188" s="111" t="str">
        <f>T6</f>
        <v>PLAN</v>
      </c>
      <c r="U188" s="111" t="str">
        <f>U6</f>
        <v>SEPT.</v>
      </c>
      <c r="V188" s="111" t="str">
        <f>V6</f>
        <v>PLAN</v>
      </c>
      <c r="W188" s="66"/>
      <c r="X188" s="66"/>
      <c r="Y188" s="66"/>
      <c r="Z188" s="66"/>
      <c r="AA188" s="63"/>
      <c r="AB188" s="111" t="str">
        <f t="shared" ref="AB188:AD189" si="158">AB6</f>
        <v>TOTAL</v>
      </c>
      <c r="AC188" s="111" t="str">
        <f t="shared" si="158"/>
        <v>SEPT.</v>
      </c>
      <c r="AD188" s="111" t="str">
        <f t="shared" si="158"/>
        <v>ESTIMATED</v>
      </c>
      <c r="AE188" s="66"/>
      <c r="AF188" s="111" t="str">
        <f>AF6</f>
        <v>PLAN</v>
      </c>
      <c r="AG188" s="111" t="str">
        <f>AG6</f>
        <v>SEPT.</v>
      </c>
      <c r="AH188" s="111" t="str">
        <f>AH6</f>
        <v>PLAN</v>
      </c>
      <c r="AI188" s="66"/>
      <c r="AJ188" s="121" t="str">
        <f>AJ6</f>
        <v>ACT./EST. vs. PLAN</v>
      </c>
      <c r="AK188" s="121"/>
      <c r="AL188" s="66"/>
      <c r="AM188" s="121" t="str">
        <f>AM6</f>
        <v>2nd C.E.</v>
      </c>
      <c r="AN188" s="121"/>
      <c r="AO188" s="66"/>
      <c r="AP188" s="121" t="str">
        <f>AP6</f>
        <v>Sept. YTD</v>
      </c>
      <c r="AQ188" s="121"/>
      <c r="AR188" s="66"/>
      <c r="AS188" s="66"/>
      <c r="AT188" s="66"/>
      <c r="AU188" s="66"/>
    </row>
    <row r="189" spans="1:47" ht="12.75" customHeight="1" x14ac:dyDescent="0.25">
      <c r="A189" s="132"/>
      <c r="B189" s="132"/>
      <c r="C189" s="132"/>
      <c r="D189" s="76" t="str">
        <f t="shared" ref="D189:R189" si="159">D7</f>
        <v>JAN</v>
      </c>
      <c r="E189" s="76" t="str">
        <f t="shared" si="159"/>
        <v>FEB</v>
      </c>
      <c r="F189" s="76" t="str">
        <f t="shared" si="159"/>
        <v>MAR</v>
      </c>
      <c r="G189" s="76" t="str">
        <f t="shared" si="159"/>
        <v>APR</v>
      </c>
      <c r="H189" s="76" t="str">
        <f t="shared" si="159"/>
        <v>MAY</v>
      </c>
      <c r="I189" s="76" t="str">
        <f t="shared" si="159"/>
        <v>JUN</v>
      </c>
      <c r="J189" s="76" t="str">
        <f t="shared" si="159"/>
        <v>JUL</v>
      </c>
      <c r="K189" s="76" t="str">
        <f t="shared" si="159"/>
        <v>AUG</v>
      </c>
      <c r="L189" s="76" t="str">
        <f t="shared" si="159"/>
        <v>SEP</v>
      </c>
      <c r="M189" s="76" t="str">
        <f t="shared" si="159"/>
        <v>OCT</v>
      </c>
      <c r="N189" s="76" t="str">
        <f t="shared" si="159"/>
        <v>NOV</v>
      </c>
      <c r="O189" s="76" t="str">
        <f t="shared" si="159"/>
        <v>DEC</v>
      </c>
      <c r="P189" s="76">
        <f t="shared" si="159"/>
        <v>2001</v>
      </c>
      <c r="Q189" s="76" t="str">
        <f t="shared" si="159"/>
        <v>Y-T-D</v>
      </c>
      <c r="R189" s="76" t="str">
        <f t="shared" si="159"/>
        <v>R.M.</v>
      </c>
      <c r="S189" s="87"/>
      <c r="T189" s="76">
        <f>T7</f>
        <v>2001</v>
      </c>
      <c r="U189" s="76" t="str">
        <f>U7</f>
        <v>Y-T-D</v>
      </c>
      <c r="V189" s="76" t="str">
        <f>V7</f>
        <v>R.M.</v>
      </c>
      <c r="W189" s="66"/>
      <c r="X189" s="66"/>
      <c r="Y189" s="66"/>
      <c r="Z189" s="66"/>
      <c r="AA189" s="63"/>
      <c r="AB189" s="76">
        <f t="shared" si="158"/>
        <v>2001</v>
      </c>
      <c r="AC189" s="76" t="str">
        <f t="shared" si="158"/>
        <v>Y-T-D</v>
      </c>
      <c r="AD189" s="76" t="str">
        <f t="shared" si="158"/>
        <v>R.M.</v>
      </c>
      <c r="AE189" s="66"/>
      <c r="AF189" s="76">
        <f>AF7</f>
        <v>2001</v>
      </c>
      <c r="AG189" s="76" t="str">
        <f>AG7</f>
        <v>Y-T-D</v>
      </c>
      <c r="AH189" s="76" t="str">
        <f>AH7</f>
        <v>R.M.</v>
      </c>
      <c r="AI189" s="66"/>
      <c r="AJ189" s="76" t="str">
        <f>AJ7</f>
        <v>Y-T-D</v>
      </c>
      <c r="AK189" s="76" t="str">
        <f>AK7</f>
        <v>ANNUAL</v>
      </c>
      <c r="AL189" s="66"/>
      <c r="AM189" s="76" t="str">
        <f>AM7</f>
        <v>ANNUAL</v>
      </c>
      <c r="AN189" s="76" t="str">
        <f>AN7</f>
        <v>Variance</v>
      </c>
      <c r="AO189" s="66"/>
      <c r="AP189" s="76" t="str">
        <f>AP7</f>
        <v>2nd C.E.</v>
      </c>
      <c r="AQ189" s="76" t="str">
        <f>AQ7</f>
        <v>Variance</v>
      </c>
      <c r="AR189" s="66"/>
      <c r="AS189" s="66"/>
      <c r="AT189" s="66"/>
      <c r="AU189" s="66"/>
    </row>
    <row r="190" spans="1:47" ht="12.75" customHeight="1" x14ac:dyDescent="0.25">
      <c r="A190" s="133" t="s">
        <v>526</v>
      </c>
      <c r="B190" s="132"/>
      <c r="C190" s="132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66"/>
      <c r="W190" s="66"/>
      <c r="X190" s="66"/>
      <c r="Y190" s="66"/>
      <c r="Z190" s="66"/>
      <c r="AA190" s="134" t="str">
        <f>A190</f>
        <v xml:space="preserve"> " OTHER "</v>
      </c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</row>
    <row r="191" spans="1:47" ht="12.75" customHeight="1" x14ac:dyDescent="0.25">
      <c r="A191" s="135" t="s">
        <v>527</v>
      </c>
      <c r="B191" s="132"/>
      <c r="C191" s="132"/>
      <c r="D191" s="136">
        <f>-D327</f>
        <v>463</v>
      </c>
      <c r="E191" s="136">
        <f t="shared" ref="E191:O191" si="160">-E327</f>
        <v>429</v>
      </c>
      <c r="F191" s="136">
        <f t="shared" si="160"/>
        <v>469</v>
      </c>
      <c r="G191" s="136">
        <f t="shared" si="160"/>
        <v>469</v>
      </c>
      <c r="H191" s="136">
        <f t="shared" si="160"/>
        <v>469</v>
      </c>
      <c r="I191" s="136">
        <f t="shared" si="160"/>
        <v>467</v>
      </c>
      <c r="J191" s="136">
        <f t="shared" si="160"/>
        <v>428</v>
      </c>
      <c r="K191" s="136">
        <f t="shared" si="160"/>
        <v>452</v>
      </c>
      <c r="L191" s="136">
        <f t="shared" si="160"/>
        <v>461</v>
      </c>
      <c r="M191" s="136">
        <f t="shared" si="160"/>
        <v>468</v>
      </c>
      <c r="N191" s="136">
        <f t="shared" si="160"/>
        <v>462</v>
      </c>
      <c r="O191" s="136">
        <f t="shared" si="160"/>
        <v>-36</v>
      </c>
      <c r="P191" s="78">
        <f>SUM(D191:O191)</f>
        <v>5001</v>
      </c>
      <c r="Q191" s="79">
        <f>SUM(D191:J191)</f>
        <v>3194</v>
      </c>
      <c r="R191" s="78">
        <f>P191-Q191</f>
        <v>1807</v>
      </c>
      <c r="S191" s="87"/>
      <c r="T191" s="213">
        <f>3697+1284</f>
        <v>4981</v>
      </c>
      <c r="U191" s="213">
        <f>3466+963</f>
        <v>4429</v>
      </c>
      <c r="V191" s="78">
        <f>T191-U191</f>
        <v>552</v>
      </c>
      <c r="W191" s="66"/>
      <c r="X191" s="66"/>
      <c r="Y191" s="66"/>
      <c r="Z191" s="66"/>
      <c r="AA191" s="122" t="str">
        <f>A191</f>
        <v xml:space="preserve">   Change in Other Regulatory Assets</v>
      </c>
      <c r="AB191" s="114">
        <f>P191</f>
        <v>5001</v>
      </c>
      <c r="AC191" s="79">
        <f>SUM(D191:L191)</f>
        <v>4107</v>
      </c>
      <c r="AD191" s="78">
        <f>AB191-AC191</f>
        <v>894</v>
      </c>
      <c r="AE191" s="66"/>
      <c r="AF191" s="78">
        <f>T191</f>
        <v>4981</v>
      </c>
      <c r="AG191" s="78">
        <f>U191</f>
        <v>4429</v>
      </c>
      <c r="AH191" s="78">
        <f>AF191-AG191</f>
        <v>552</v>
      </c>
      <c r="AI191" s="66"/>
      <c r="AJ191" s="78">
        <f>AC191-AG191</f>
        <v>-322</v>
      </c>
      <c r="AK191" s="78">
        <f>AB191-AF191</f>
        <v>20</v>
      </c>
      <c r="AL191" s="66"/>
      <c r="AM191" s="79">
        <v>5050</v>
      </c>
      <c r="AN191" s="78">
        <f>AB191-AM191</f>
        <v>-49</v>
      </c>
      <c r="AO191" s="66"/>
      <c r="AP191" s="79">
        <v>4156</v>
      </c>
      <c r="AQ191" s="78">
        <f>AC191-AP191</f>
        <v>-49</v>
      </c>
      <c r="AR191" s="66"/>
      <c r="AS191" s="66"/>
      <c r="AT191" s="66"/>
      <c r="AU191" s="66"/>
    </row>
    <row r="192" spans="1:47" ht="12.75" customHeight="1" x14ac:dyDescent="0.25">
      <c r="A192" s="135" t="s">
        <v>528</v>
      </c>
      <c r="B192" s="132"/>
      <c r="C192" s="132"/>
      <c r="D192" s="160">
        <f t="shared" ref="D192:O192" si="161">D330</f>
        <v>0</v>
      </c>
      <c r="E192" s="137">
        <f t="shared" si="161"/>
        <v>0</v>
      </c>
      <c r="F192" s="137">
        <f t="shared" si="161"/>
        <v>0</v>
      </c>
      <c r="G192" s="137">
        <f t="shared" si="161"/>
        <v>0</v>
      </c>
      <c r="H192" s="137">
        <f t="shared" si="161"/>
        <v>0</v>
      </c>
      <c r="I192" s="137">
        <f t="shared" si="161"/>
        <v>0</v>
      </c>
      <c r="J192" s="137">
        <f t="shared" si="161"/>
        <v>0</v>
      </c>
      <c r="K192" s="137">
        <f t="shared" si="161"/>
        <v>0</v>
      </c>
      <c r="L192" s="137">
        <f t="shared" si="161"/>
        <v>0</v>
      </c>
      <c r="M192" s="137">
        <f t="shared" si="161"/>
        <v>0</v>
      </c>
      <c r="N192" s="137">
        <f t="shared" si="161"/>
        <v>0</v>
      </c>
      <c r="O192" s="137">
        <f t="shared" si="161"/>
        <v>0</v>
      </c>
      <c r="P192" s="83">
        <f>SUM(D192:O192)</f>
        <v>0</v>
      </c>
      <c r="Q192" s="101">
        <f>SUM(D192:J192)</f>
        <v>0</v>
      </c>
      <c r="R192" s="83">
        <f>P192-Q192</f>
        <v>0</v>
      </c>
      <c r="S192" s="138"/>
      <c r="T192" s="101">
        <v>0</v>
      </c>
      <c r="U192" s="101">
        <v>0</v>
      </c>
      <c r="V192" s="83">
        <f>T192-U192</f>
        <v>0</v>
      </c>
      <c r="W192" s="66"/>
      <c r="X192" s="66"/>
      <c r="Y192" s="66"/>
      <c r="Z192" s="66"/>
      <c r="AA192" s="122" t="str">
        <f>A192</f>
        <v xml:space="preserve">         "     "      "           "        Liabilities</v>
      </c>
      <c r="AB192" s="116">
        <f>P192</f>
        <v>0</v>
      </c>
      <c r="AC192" s="101">
        <f>SUM(D192:L192)</f>
        <v>0</v>
      </c>
      <c r="AD192" s="83">
        <f>AB192-AC192</f>
        <v>0</v>
      </c>
      <c r="AE192" s="66"/>
      <c r="AF192" s="83">
        <f>T192</f>
        <v>0</v>
      </c>
      <c r="AG192" s="83">
        <f>U192</f>
        <v>0</v>
      </c>
      <c r="AH192" s="83">
        <f>AF192-AG192</f>
        <v>0</v>
      </c>
      <c r="AI192" s="66"/>
      <c r="AJ192" s="83">
        <f>AC192-AG192</f>
        <v>0</v>
      </c>
      <c r="AK192" s="83">
        <f>AB192-AF192</f>
        <v>0</v>
      </c>
      <c r="AL192" s="66"/>
      <c r="AM192" s="101">
        <v>0</v>
      </c>
      <c r="AN192" s="83">
        <f>AB192-AM192</f>
        <v>0</v>
      </c>
      <c r="AO192" s="84"/>
      <c r="AP192" s="101">
        <v>0</v>
      </c>
      <c r="AQ192" s="83">
        <f>AC192-AP192</f>
        <v>0</v>
      </c>
      <c r="AR192" s="66"/>
      <c r="AS192" s="66"/>
      <c r="AT192" s="66"/>
      <c r="AU192" s="66"/>
    </row>
    <row r="193" spans="1:47" ht="3.9" customHeight="1" x14ac:dyDescent="0.25">
      <c r="A193" s="135"/>
      <c r="B193" s="132"/>
      <c r="C193" s="132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87"/>
      <c r="Q193" s="87"/>
      <c r="R193" s="87"/>
      <c r="S193" s="87"/>
      <c r="T193" s="87"/>
      <c r="U193" s="87"/>
      <c r="V193" s="66"/>
      <c r="W193" s="66"/>
      <c r="X193" s="66"/>
      <c r="Y193" s="66"/>
      <c r="Z193" s="66"/>
      <c r="AA193" s="63"/>
      <c r="AB193" s="66"/>
      <c r="AC193" s="84"/>
      <c r="AD193" s="84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</row>
    <row r="194" spans="1:47" ht="12.75" customHeight="1" x14ac:dyDescent="0.25">
      <c r="A194" s="139" t="s">
        <v>529</v>
      </c>
      <c r="B194" s="131"/>
      <c r="C194" s="131"/>
      <c r="D194" s="217">
        <f>D191+D192</f>
        <v>463</v>
      </c>
      <c r="E194" s="217">
        <f t="shared" ref="E194:T194" si="162">E191+E192</f>
        <v>429</v>
      </c>
      <c r="F194" s="217">
        <f t="shared" si="162"/>
        <v>469</v>
      </c>
      <c r="G194" s="217">
        <f t="shared" si="162"/>
        <v>469</v>
      </c>
      <c r="H194" s="217">
        <f t="shared" si="162"/>
        <v>469</v>
      </c>
      <c r="I194" s="217">
        <f t="shared" si="162"/>
        <v>467</v>
      </c>
      <c r="J194" s="217">
        <f t="shared" si="162"/>
        <v>428</v>
      </c>
      <c r="K194" s="217">
        <f t="shared" si="162"/>
        <v>452</v>
      </c>
      <c r="L194" s="217">
        <f t="shared" si="162"/>
        <v>461</v>
      </c>
      <c r="M194" s="217">
        <f t="shared" si="162"/>
        <v>468</v>
      </c>
      <c r="N194" s="217">
        <f t="shared" si="162"/>
        <v>462</v>
      </c>
      <c r="O194" s="217">
        <f t="shared" si="162"/>
        <v>-36</v>
      </c>
      <c r="P194" s="217">
        <f t="shared" si="162"/>
        <v>5001</v>
      </c>
      <c r="Q194" s="217">
        <f t="shared" si="162"/>
        <v>3194</v>
      </c>
      <c r="R194" s="217">
        <f t="shared" si="162"/>
        <v>1807</v>
      </c>
      <c r="S194" s="87"/>
      <c r="T194" s="217">
        <f t="shared" si="162"/>
        <v>4981</v>
      </c>
      <c r="U194" s="217">
        <f>U191+U192</f>
        <v>4429</v>
      </c>
      <c r="V194" s="217">
        <f>V191+V192</f>
        <v>552</v>
      </c>
      <c r="W194" s="66"/>
      <c r="X194" s="66"/>
      <c r="Y194" s="66"/>
      <c r="Z194" s="66"/>
      <c r="AA194" s="63" t="str">
        <f>A194</f>
        <v xml:space="preserve">      Net Change in Regulatory Assets / Liabilities</v>
      </c>
      <c r="AB194" s="217">
        <f t="shared" ref="AB194:AQ194" si="163">AB191+AB192</f>
        <v>5001</v>
      </c>
      <c r="AC194" s="217">
        <f t="shared" si="163"/>
        <v>4107</v>
      </c>
      <c r="AD194" s="217">
        <f t="shared" si="163"/>
        <v>894</v>
      </c>
      <c r="AE194" s="66"/>
      <c r="AF194" s="217">
        <f t="shared" si="163"/>
        <v>4981</v>
      </c>
      <c r="AG194" s="217">
        <f t="shared" si="163"/>
        <v>4429</v>
      </c>
      <c r="AH194" s="217">
        <f t="shared" si="163"/>
        <v>552</v>
      </c>
      <c r="AI194" s="66"/>
      <c r="AJ194" s="217">
        <f t="shared" si="163"/>
        <v>-322</v>
      </c>
      <c r="AK194" s="217">
        <f t="shared" si="163"/>
        <v>20</v>
      </c>
      <c r="AL194" s="66"/>
      <c r="AM194" s="217">
        <f t="shared" si="163"/>
        <v>5050</v>
      </c>
      <c r="AN194" s="217">
        <f t="shared" si="163"/>
        <v>-49</v>
      </c>
      <c r="AO194" s="66"/>
      <c r="AP194" s="217">
        <f t="shared" si="163"/>
        <v>4156</v>
      </c>
      <c r="AQ194" s="217">
        <f t="shared" si="163"/>
        <v>-49</v>
      </c>
      <c r="AR194" s="66"/>
      <c r="AS194" s="66"/>
      <c r="AT194" s="66"/>
      <c r="AU194" s="66"/>
    </row>
    <row r="195" spans="1:47" ht="6" customHeight="1" x14ac:dyDescent="0.25">
      <c r="A195" s="140"/>
      <c r="B195" s="132"/>
      <c r="C195" s="132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66"/>
      <c r="W195" s="66"/>
      <c r="X195" s="66"/>
      <c r="Y195" s="66"/>
      <c r="Z195" s="66"/>
      <c r="AA195" s="63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</row>
    <row r="196" spans="1:47" ht="12.75" customHeight="1" x14ac:dyDescent="0.25">
      <c r="A196" s="141" t="s">
        <v>530</v>
      </c>
      <c r="B196" s="132"/>
      <c r="C196" s="132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66"/>
      <c r="W196" s="66"/>
      <c r="X196" s="66"/>
      <c r="Y196" s="66"/>
      <c r="Z196" s="66"/>
      <c r="AA196" s="122" t="str">
        <f>A196</f>
        <v xml:space="preserve">   Other Items (Cash Flow Model)</v>
      </c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</row>
    <row r="197" spans="1:47" ht="12.75" customHeight="1" x14ac:dyDescent="0.25">
      <c r="A197" s="135" t="s">
        <v>531</v>
      </c>
      <c r="B197" s="132"/>
      <c r="C197" s="132"/>
      <c r="D197" s="136">
        <f>-D254</f>
        <v>0</v>
      </c>
      <c r="E197" s="136">
        <f t="shared" ref="E197:O197" si="164">-E254</f>
        <v>0</v>
      </c>
      <c r="F197" s="136">
        <f t="shared" si="164"/>
        <v>0</v>
      </c>
      <c r="G197" s="136">
        <f t="shared" si="164"/>
        <v>0</v>
      </c>
      <c r="H197" s="136">
        <f t="shared" si="164"/>
        <v>0</v>
      </c>
      <c r="I197" s="136">
        <f t="shared" si="164"/>
        <v>0</v>
      </c>
      <c r="J197" s="136">
        <f t="shared" si="164"/>
        <v>1</v>
      </c>
      <c r="K197" s="136">
        <f t="shared" si="164"/>
        <v>0</v>
      </c>
      <c r="L197" s="136">
        <f t="shared" si="164"/>
        <v>0</v>
      </c>
      <c r="M197" s="136">
        <f t="shared" si="164"/>
        <v>0</v>
      </c>
      <c r="N197" s="136">
        <f t="shared" si="164"/>
        <v>0</v>
      </c>
      <c r="O197" s="136">
        <f t="shared" si="164"/>
        <v>0</v>
      </c>
      <c r="P197" s="78">
        <f t="shared" ref="P197:P203" si="165">SUM(D197:O197)</f>
        <v>1</v>
      </c>
      <c r="Q197" s="79">
        <f t="shared" ref="Q197:Q203" si="166">SUM(D197:J197)</f>
        <v>1</v>
      </c>
      <c r="R197" s="78">
        <f t="shared" ref="R197:R203" si="167">P197-Q197</f>
        <v>0</v>
      </c>
      <c r="S197" s="87"/>
      <c r="T197" s="79">
        <v>0</v>
      </c>
      <c r="U197" s="79">
        <v>0</v>
      </c>
      <c r="V197" s="78">
        <f>T197-U197</f>
        <v>0</v>
      </c>
      <c r="W197" s="66"/>
      <c r="X197" s="66"/>
      <c r="Y197" s="66"/>
      <c r="Z197" s="66"/>
      <c r="AA197" s="122" t="str">
        <f>A197</f>
        <v xml:space="preserve">      Change in Cash / Temporary Cash Investments</v>
      </c>
      <c r="AB197" s="114">
        <f>P197</f>
        <v>1</v>
      </c>
      <c r="AC197" s="79">
        <f t="shared" ref="AC197:AC203" si="168">SUM(D197:L197)</f>
        <v>1</v>
      </c>
      <c r="AD197" s="78">
        <f t="shared" ref="AD197:AD203" si="169">AB197-AC197</f>
        <v>0</v>
      </c>
      <c r="AE197" s="66"/>
      <c r="AF197" s="78">
        <f>T197</f>
        <v>0</v>
      </c>
      <c r="AG197" s="78">
        <f>U197</f>
        <v>0</v>
      </c>
      <c r="AH197" s="78">
        <f>AF197-AG197</f>
        <v>0</v>
      </c>
      <c r="AI197" s="66"/>
      <c r="AJ197" s="78">
        <f>AC197-AG197</f>
        <v>1</v>
      </c>
      <c r="AK197" s="78">
        <f>AB197-AF197</f>
        <v>1</v>
      </c>
      <c r="AL197" s="66"/>
      <c r="AM197" s="79">
        <v>0</v>
      </c>
      <c r="AN197" s="78">
        <f>AB197-AM197</f>
        <v>1</v>
      </c>
      <c r="AO197" s="66"/>
      <c r="AP197" s="79">
        <v>0</v>
      </c>
      <c r="AQ197" s="78">
        <f>AC197-AP197</f>
        <v>1</v>
      </c>
      <c r="AR197" s="66"/>
      <c r="AS197" s="66"/>
      <c r="AT197" s="66"/>
      <c r="AU197" s="66"/>
    </row>
    <row r="198" spans="1:47" ht="3.9" customHeight="1" x14ac:dyDescent="0.25">
      <c r="A198" s="142"/>
      <c r="B198" s="132"/>
      <c r="C198" s="132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66"/>
      <c r="W198" s="66"/>
      <c r="X198" s="66"/>
      <c r="Y198" s="66"/>
      <c r="Z198" s="66"/>
      <c r="AA198" s="63"/>
      <c r="AB198" s="66"/>
      <c r="AC198" s="66"/>
      <c r="AD198" s="66"/>
      <c r="AE198" s="66"/>
      <c r="AF198" s="66"/>
      <c r="AG198" s="87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</row>
    <row r="199" spans="1:47" ht="12.75" customHeight="1" x14ac:dyDescent="0.25">
      <c r="A199" s="135" t="s">
        <v>532</v>
      </c>
      <c r="B199" s="132"/>
      <c r="C199" s="132"/>
      <c r="D199" s="136">
        <f>-D257</f>
        <v>0</v>
      </c>
      <c r="E199" s="136">
        <f t="shared" ref="E199:O199" si="170">-E257</f>
        <v>0</v>
      </c>
      <c r="F199" s="136">
        <f t="shared" si="170"/>
        <v>0</v>
      </c>
      <c r="G199" s="136">
        <f t="shared" si="170"/>
        <v>0</v>
      </c>
      <c r="H199" s="136">
        <f t="shared" si="170"/>
        <v>0</v>
      </c>
      <c r="I199" s="136">
        <f t="shared" si="170"/>
        <v>0</v>
      </c>
      <c r="J199" s="136">
        <f t="shared" si="170"/>
        <v>0</v>
      </c>
      <c r="K199" s="136">
        <f t="shared" si="170"/>
        <v>0</v>
      </c>
      <c r="L199" s="136">
        <f t="shared" si="170"/>
        <v>0</v>
      </c>
      <c r="M199" s="136">
        <f t="shared" si="170"/>
        <v>0</v>
      </c>
      <c r="N199" s="136">
        <f t="shared" si="170"/>
        <v>0</v>
      </c>
      <c r="O199" s="136">
        <f t="shared" si="170"/>
        <v>0</v>
      </c>
      <c r="P199" s="78">
        <f t="shared" si="165"/>
        <v>0</v>
      </c>
      <c r="Q199" s="79">
        <f t="shared" si="166"/>
        <v>0</v>
      </c>
      <c r="R199" s="78">
        <f t="shared" si="167"/>
        <v>0</v>
      </c>
      <c r="S199" s="87"/>
      <c r="T199" s="79">
        <v>0</v>
      </c>
      <c r="U199" s="79">
        <v>0</v>
      </c>
      <c r="V199" s="78">
        <f>T199-U199</f>
        <v>0</v>
      </c>
      <c r="W199" s="66"/>
      <c r="X199" s="66"/>
      <c r="Y199" s="66"/>
      <c r="Z199" s="66"/>
      <c r="AA199" s="122" t="str">
        <f>A199</f>
        <v xml:space="preserve">      Change in Investments &amp; Other Assets</v>
      </c>
      <c r="AB199" s="114">
        <f>P199</f>
        <v>0</v>
      </c>
      <c r="AC199" s="79">
        <f t="shared" si="168"/>
        <v>0</v>
      </c>
      <c r="AD199" s="78">
        <f t="shared" si="169"/>
        <v>0</v>
      </c>
      <c r="AE199" s="66"/>
      <c r="AF199" s="78">
        <f>T199</f>
        <v>0</v>
      </c>
      <c r="AG199" s="78">
        <f>U199</f>
        <v>0</v>
      </c>
      <c r="AH199" s="78">
        <f>AF199-AG199</f>
        <v>0</v>
      </c>
      <c r="AI199" s="66"/>
      <c r="AJ199" s="78">
        <f>AC199-AG199</f>
        <v>0</v>
      </c>
      <c r="AK199" s="78">
        <f>AB199-AF199</f>
        <v>0</v>
      </c>
      <c r="AL199" s="66"/>
      <c r="AM199" s="79">
        <v>0</v>
      </c>
      <c r="AN199" s="78">
        <f>AB199-AM199</f>
        <v>0</v>
      </c>
      <c r="AO199" s="66"/>
      <c r="AP199" s="79">
        <v>0</v>
      </c>
      <c r="AQ199" s="78">
        <f>AC199-AP199</f>
        <v>0</v>
      </c>
      <c r="AR199" s="66"/>
      <c r="AS199" s="66"/>
      <c r="AT199" s="66"/>
      <c r="AU199" s="66"/>
    </row>
    <row r="200" spans="1:47" ht="3.9" customHeight="1" x14ac:dyDescent="0.25">
      <c r="A200" s="142"/>
      <c r="B200" s="132"/>
      <c r="C200" s="132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132"/>
      <c r="U200" s="87"/>
      <c r="V200" s="66"/>
      <c r="W200" s="66"/>
      <c r="X200" s="66"/>
      <c r="Y200" s="66"/>
      <c r="Z200" s="66"/>
      <c r="AA200" s="63"/>
      <c r="AB200" s="66"/>
      <c r="AC200" s="66"/>
      <c r="AD200" s="66"/>
      <c r="AE200" s="66"/>
      <c r="AF200" s="66"/>
      <c r="AG200" s="87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</row>
    <row r="201" spans="1:47" ht="12.75" customHeight="1" x14ac:dyDescent="0.25">
      <c r="A201" s="135" t="s">
        <v>533</v>
      </c>
      <c r="B201" s="132"/>
      <c r="C201" s="132"/>
      <c r="D201" s="136">
        <f>-SUM(D291:D302)</f>
        <v>49</v>
      </c>
      <c r="E201" s="136">
        <f t="shared" ref="E201:O201" si="171">-SUM(E291:E302)</f>
        <v>-723</v>
      </c>
      <c r="F201" s="136">
        <f t="shared" si="171"/>
        <v>368</v>
      </c>
      <c r="G201" s="136">
        <f t="shared" si="171"/>
        <v>-268</v>
      </c>
      <c r="H201" s="136">
        <f t="shared" si="171"/>
        <v>-573</v>
      </c>
      <c r="I201" s="136">
        <f t="shared" si="171"/>
        <v>-385</v>
      </c>
      <c r="J201" s="136">
        <f t="shared" si="171"/>
        <v>-240</v>
      </c>
      <c r="K201" s="136">
        <f t="shared" si="171"/>
        <v>13</v>
      </c>
      <c r="L201" s="136">
        <f t="shared" si="171"/>
        <v>12</v>
      </c>
      <c r="M201" s="136">
        <f t="shared" si="171"/>
        <v>13</v>
      </c>
      <c r="N201" s="136">
        <f t="shared" si="171"/>
        <v>12</v>
      </c>
      <c r="O201" s="136">
        <f t="shared" si="171"/>
        <v>13</v>
      </c>
      <c r="P201" s="78">
        <f t="shared" si="165"/>
        <v>-1709</v>
      </c>
      <c r="Q201" s="79">
        <f t="shared" si="166"/>
        <v>-1772</v>
      </c>
      <c r="R201" s="78">
        <f t="shared" si="167"/>
        <v>63</v>
      </c>
      <c r="S201" s="87"/>
      <c r="T201" s="79">
        <v>-9847</v>
      </c>
      <c r="U201" s="79">
        <v>-7371</v>
      </c>
      <c r="V201" s="78">
        <f>T201-U201</f>
        <v>-2476</v>
      </c>
      <c r="W201" s="66"/>
      <c r="X201" s="66"/>
      <c r="Y201" s="66"/>
      <c r="Z201" s="66"/>
      <c r="AA201" s="122" t="str">
        <f>A201</f>
        <v xml:space="preserve">      Change in Deferred Charges</v>
      </c>
      <c r="AB201" s="114">
        <f>P201</f>
        <v>-1709</v>
      </c>
      <c r="AC201" s="79">
        <f t="shared" si="168"/>
        <v>-1747</v>
      </c>
      <c r="AD201" s="78">
        <f t="shared" si="169"/>
        <v>38</v>
      </c>
      <c r="AE201" s="66"/>
      <c r="AF201" s="78">
        <f>T201</f>
        <v>-9847</v>
      </c>
      <c r="AG201" s="78">
        <f>U201</f>
        <v>-7371</v>
      </c>
      <c r="AH201" s="78">
        <f>AF201-AG201</f>
        <v>-2476</v>
      </c>
      <c r="AI201" s="66"/>
      <c r="AJ201" s="78">
        <f>AC201-AG201</f>
        <v>5624</v>
      </c>
      <c r="AK201" s="78">
        <f>AB201-AF201</f>
        <v>8138</v>
      </c>
      <c r="AL201" s="66"/>
      <c r="AM201" s="79">
        <v>-1457</v>
      </c>
      <c r="AN201" s="78">
        <f>AB201-AM201</f>
        <v>-252</v>
      </c>
      <c r="AO201" s="66"/>
      <c r="AP201" s="79">
        <v>-1495</v>
      </c>
      <c r="AQ201" s="78">
        <f>AC201-AP201</f>
        <v>-252</v>
      </c>
      <c r="AR201" s="66"/>
      <c r="AS201" s="66"/>
      <c r="AT201" s="66"/>
      <c r="AU201" s="66"/>
    </row>
    <row r="202" spans="1:47" ht="3.9" customHeight="1" x14ac:dyDescent="0.25">
      <c r="A202" s="140"/>
      <c r="B202" s="132"/>
      <c r="C202" s="132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66"/>
      <c r="W202" s="66"/>
      <c r="X202" s="66"/>
      <c r="Y202" s="66"/>
      <c r="Z202" s="66"/>
      <c r="AA202" s="63"/>
      <c r="AB202" s="66"/>
      <c r="AC202" s="66"/>
      <c r="AD202" s="66"/>
      <c r="AE202" s="66"/>
      <c r="AF202" s="66"/>
      <c r="AG202" s="87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</row>
    <row r="203" spans="1:47" ht="12.75" customHeight="1" x14ac:dyDescent="0.25">
      <c r="A203" s="112" t="s">
        <v>534</v>
      </c>
      <c r="B203" s="132"/>
      <c r="C203" s="132"/>
      <c r="D203" s="136">
        <f t="shared" ref="D203:O203" si="172">SUM(D316:D322)</f>
        <v>-24</v>
      </c>
      <c r="E203" s="136">
        <f t="shared" si="172"/>
        <v>-23</v>
      </c>
      <c r="F203" s="136">
        <f t="shared" si="172"/>
        <v>-22</v>
      </c>
      <c r="G203" s="136">
        <f t="shared" si="172"/>
        <v>-22</v>
      </c>
      <c r="H203" s="136">
        <f t="shared" si="172"/>
        <v>-28</v>
      </c>
      <c r="I203" s="136">
        <f t="shared" si="172"/>
        <v>-22</v>
      </c>
      <c r="J203" s="136">
        <f t="shared" si="172"/>
        <v>-23</v>
      </c>
      <c r="K203" s="136">
        <f t="shared" si="172"/>
        <v>-24</v>
      </c>
      <c r="L203" s="136">
        <f t="shared" si="172"/>
        <v>-24</v>
      </c>
      <c r="M203" s="136">
        <f t="shared" si="172"/>
        <v>-24</v>
      </c>
      <c r="N203" s="136">
        <f t="shared" si="172"/>
        <v>-24</v>
      </c>
      <c r="O203" s="136">
        <f t="shared" si="172"/>
        <v>-24</v>
      </c>
      <c r="P203" s="78">
        <f t="shared" si="165"/>
        <v>-284</v>
      </c>
      <c r="Q203" s="79">
        <f t="shared" si="166"/>
        <v>-164</v>
      </c>
      <c r="R203" s="78">
        <f t="shared" si="167"/>
        <v>-120</v>
      </c>
      <c r="S203" s="87"/>
      <c r="T203" s="79">
        <v>-286</v>
      </c>
      <c r="U203" s="79">
        <v>-215</v>
      </c>
      <c r="V203" s="78">
        <f>T203-U203</f>
        <v>-71</v>
      </c>
      <c r="W203" s="66"/>
      <c r="X203" s="66"/>
      <c r="Y203" s="66"/>
      <c r="Z203" s="66"/>
      <c r="AA203" s="122" t="str">
        <f>A203</f>
        <v xml:space="preserve">      Change in Deferred Credits </v>
      </c>
      <c r="AB203" s="114">
        <f>P203</f>
        <v>-284</v>
      </c>
      <c r="AC203" s="79">
        <f t="shared" si="168"/>
        <v>-212</v>
      </c>
      <c r="AD203" s="78">
        <f t="shared" si="169"/>
        <v>-72</v>
      </c>
      <c r="AE203" s="66"/>
      <c r="AF203" s="78">
        <f>T203</f>
        <v>-286</v>
      </c>
      <c r="AG203" s="78">
        <f>U203</f>
        <v>-215</v>
      </c>
      <c r="AH203" s="78">
        <f>AF203-AG203</f>
        <v>-71</v>
      </c>
      <c r="AI203" s="66"/>
      <c r="AJ203" s="78">
        <f>AC203-AG203</f>
        <v>3</v>
      </c>
      <c r="AK203" s="78">
        <f>AB203-AF203</f>
        <v>2</v>
      </c>
      <c r="AL203" s="66"/>
      <c r="AM203" s="79">
        <v>-285</v>
      </c>
      <c r="AN203" s="78">
        <f>AB203-AM203</f>
        <v>1</v>
      </c>
      <c r="AO203" s="66"/>
      <c r="AP203" s="79">
        <v>-213</v>
      </c>
      <c r="AQ203" s="78">
        <f>AC203-AP203</f>
        <v>1</v>
      </c>
      <c r="AR203" s="66"/>
      <c r="AS203" s="66"/>
      <c r="AT203" s="66"/>
      <c r="AU203" s="66"/>
    </row>
    <row r="204" spans="1:47" ht="3.9" customHeight="1" x14ac:dyDescent="0.25">
      <c r="A204" s="132"/>
      <c r="B204" s="132"/>
      <c r="C204" s="132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66"/>
      <c r="W204" s="66"/>
      <c r="X204" s="66"/>
      <c r="Y204" s="66"/>
      <c r="Z204" s="66"/>
      <c r="AA204" s="63"/>
      <c r="AB204" s="66"/>
      <c r="AC204" s="66"/>
      <c r="AD204" s="66"/>
      <c r="AE204" s="66"/>
      <c r="AF204" s="66"/>
      <c r="AG204" s="87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</row>
    <row r="205" spans="1:47" ht="12.75" customHeight="1" x14ac:dyDescent="0.25">
      <c r="A205" s="135" t="s">
        <v>535</v>
      </c>
      <c r="B205" s="132"/>
      <c r="C205" s="132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66"/>
      <c r="W205" s="66"/>
      <c r="X205" s="66"/>
      <c r="Y205" s="66"/>
      <c r="Z205" s="66"/>
      <c r="AA205" s="122" t="str">
        <f>A205</f>
        <v xml:space="preserve">      Gross Plant</v>
      </c>
      <c r="AB205" s="66"/>
      <c r="AC205" s="66"/>
      <c r="AD205" s="66"/>
      <c r="AE205" s="66"/>
      <c r="AF205" s="66"/>
      <c r="AG205" s="87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</row>
    <row r="206" spans="1:47" ht="12.75" customHeight="1" x14ac:dyDescent="0.25">
      <c r="A206" s="112" t="s">
        <v>536</v>
      </c>
      <c r="B206" s="132"/>
      <c r="C206" s="132"/>
      <c r="D206" s="136">
        <f>-D267</f>
        <v>0</v>
      </c>
      <c r="E206" s="136">
        <f t="shared" ref="E206:O208" si="173">-E267</f>
        <v>0</v>
      </c>
      <c r="F206" s="136">
        <f t="shared" si="173"/>
        <v>0</v>
      </c>
      <c r="G206" s="136">
        <f t="shared" si="173"/>
        <v>0</v>
      </c>
      <c r="H206" s="136">
        <f t="shared" si="173"/>
        <v>0</v>
      </c>
      <c r="I206" s="136">
        <f t="shared" si="173"/>
        <v>0</v>
      </c>
      <c r="J206" s="136">
        <f t="shared" si="173"/>
        <v>0</v>
      </c>
      <c r="K206" s="136">
        <f t="shared" si="173"/>
        <v>0</v>
      </c>
      <c r="L206" s="136">
        <f t="shared" si="173"/>
        <v>0</v>
      </c>
      <c r="M206" s="136">
        <f t="shared" si="173"/>
        <v>0</v>
      </c>
      <c r="N206" s="136">
        <f t="shared" si="173"/>
        <v>0</v>
      </c>
      <c r="O206" s="136">
        <f t="shared" si="173"/>
        <v>0</v>
      </c>
      <c r="P206" s="78">
        <f>SUM(D206:O206)</f>
        <v>0</v>
      </c>
      <c r="Q206" s="79">
        <f>SUM(D206:J206)</f>
        <v>0</v>
      </c>
      <c r="R206" s="78">
        <f>P206-Q206</f>
        <v>0</v>
      </c>
      <c r="S206" s="87"/>
      <c r="T206" s="79">
        <v>0</v>
      </c>
      <c r="U206" s="79">
        <v>0</v>
      </c>
      <c r="V206" s="78">
        <f>T206-U206</f>
        <v>0</v>
      </c>
      <c r="W206" s="66"/>
      <c r="X206" s="66"/>
      <c r="Y206" s="66"/>
      <c r="Z206" s="66"/>
      <c r="AA206" s="122" t="str">
        <f>A206</f>
        <v xml:space="preserve">          Reserve Adjustments </v>
      </c>
      <c r="AB206" s="114">
        <f>P206</f>
        <v>0</v>
      </c>
      <c r="AC206" s="79">
        <f>SUM(D206:L206)</f>
        <v>0</v>
      </c>
      <c r="AD206" s="78">
        <f>AB206-AC206</f>
        <v>0</v>
      </c>
      <c r="AE206" s="66"/>
      <c r="AF206" s="78">
        <f t="shared" ref="AF206:AG208" si="174">T206</f>
        <v>0</v>
      </c>
      <c r="AG206" s="78">
        <f t="shared" si="174"/>
        <v>0</v>
      </c>
      <c r="AH206" s="78">
        <f>AF206-AG206</f>
        <v>0</v>
      </c>
      <c r="AI206" s="66"/>
      <c r="AJ206" s="78">
        <f>AC206-AG206</f>
        <v>0</v>
      </c>
      <c r="AK206" s="78">
        <f>AB206-AF206</f>
        <v>0</v>
      </c>
      <c r="AL206" s="66"/>
      <c r="AM206" s="79">
        <v>0</v>
      </c>
      <c r="AN206" s="78">
        <f>AB206-AM206</f>
        <v>0</v>
      </c>
      <c r="AO206" s="66"/>
      <c r="AP206" s="79">
        <v>0</v>
      </c>
      <c r="AQ206" s="78">
        <f>AC206-AP206</f>
        <v>0</v>
      </c>
      <c r="AR206" s="66"/>
      <c r="AS206" s="66"/>
      <c r="AT206" s="66"/>
      <c r="AU206" s="66"/>
    </row>
    <row r="207" spans="1:47" ht="12.75" customHeight="1" x14ac:dyDescent="0.25">
      <c r="A207" s="201" t="s">
        <v>537</v>
      </c>
      <c r="B207" s="132"/>
      <c r="C207" s="132"/>
      <c r="D207" s="144">
        <v>0</v>
      </c>
      <c r="E207" s="144">
        <v>0</v>
      </c>
      <c r="F207" s="144">
        <v>0</v>
      </c>
      <c r="G207" s="144">
        <v>0</v>
      </c>
      <c r="H207" s="144">
        <v>0</v>
      </c>
      <c r="I207" s="144">
        <v>0</v>
      </c>
      <c r="J207" s="144">
        <v>0</v>
      </c>
      <c r="K207" s="144">
        <v>0</v>
      </c>
      <c r="L207" s="144">
        <v>0</v>
      </c>
      <c r="M207" s="144">
        <v>0</v>
      </c>
      <c r="N207" s="144">
        <v>0</v>
      </c>
      <c r="O207" s="144">
        <v>0</v>
      </c>
      <c r="P207" s="78">
        <f>SUM(D207:O207)</f>
        <v>0</v>
      </c>
      <c r="Q207" s="79">
        <f>SUM(D207:J207)</f>
        <v>0</v>
      </c>
      <c r="R207" s="78">
        <f>P207-Q207</f>
        <v>0</v>
      </c>
      <c r="S207" s="87"/>
      <c r="T207" s="79">
        <v>0</v>
      </c>
      <c r="U207" s="79">
        <v>0</v>
      </c>
      <c r="V207" s="78">
        <f>T207-U207</f>
        <v>0</v>
      </c>
      <c r="W207" s="66"/>
      <c r="X207" s="66"/>
      <c r="Y207" s="66"/>
      <c r="Z207" s="66"/>
      <c r="AA207" s="122" t="str">
        <f>A207</f>
        <v xml:space="preserve">          Linepack Revaluation vs. Other CAPEX (3/98 Forward)</v>
      </c>
      <c r="AB207" s="114">
        <f>P207</f>
        <v>0</v>
      </c>
      <c r="AC207" s="79">
        <f>SUM(D207:L207)</f>
        <v>0</v>
      </c>
      <c r="AD207" s="78">
        <f>AB207-AC207</f>
        <v>0</v>
      </c>
      <c r="AE207" s="66"/>
      <c r="AF207" s="78">
        <f t="shared" si="174"/>
        <v>0</v>
      </c>
      <c r="AG207" s="78">
        <f t="shared" si="174"/>
        <v>0</v>
      </c>
      <c r="AH207" s="78">
        <f>AF207-AG207</f>
        <v>0</v>
      </c>
      <c r="AI207" s="66"/>
      <c r="AJ207" s="78">
        <f>AC207-AG207</f>
        <v>0</v>
      </c>
      <c r="AK207" s="78">
        <f>AB207-AF207</f>
        <v>0</v>
      </c>
      <c r="AL207" s="66"/>
      <c r="AM207" s="79">
        <v>0</v>
      </c>
      <c r="AN207" s="78">
        <f>AB207-AM207</f>
        <v>0</v>
      </c>
      <c r="AO207" s="66"/>
      <c r="AP207" s="79">
        <v>0</v>
      </c>
      <c r="AQ207" s="78">
        <f>AC207-AP207</f>
        <v>0</v>
      </c>
      <c r="AR207" s="66"/>
      <c r="AS207" s="66"/>
      <c r="AT207" s="66"/>
      <c r="AU207" s="66"/>
    </row>
    <row r="208" spans="1:47" ht="12.75" customHeight="1" x14ac:dyDescent="0.25">
      <c r="A208" s="140" t="s">
        <v>538</v>
      </c>
      <c r="B208" s="132"/>
      <c r="C208" s="132"/>
      <c r="D208" s="136">
        <f>-D269</f>
        <v>0</v>
      </c>
      <c r="E208" s="136">
        <f t="shared" si="173"/>
        <v>0</v>
      </c>
      <c r="F208" s="136">
        <f t="shared" si="173"/>
        <v>0</v>
      </c>
      <c r="G208" s="136">
        <f t="shared" si="173"/>
        <v>0</v>
      </c>
      <c r="H208" s="136">
        <f t="shared" si="173"/>
        <v>0</v>
      </c>
      <c r="I208" s="136">
        <f t="shared" si="173"/>
        <v>0</v>
      </c>
      <c r="J208" s="136">
        <f t="shared" si="173"/>
        <v>0</v>
      </c>
      <c r="K208" s="136">
        <f t="shared" si="173"/>
        <v>0</v>
      </c>
      <c r="L208" s="136">
        <f t="shared" si="173"/>
        <v>0</v>
      </c>
      <c r="M208" s="136">
        <f t="shared" si="173"/>
        <v>0</v>
      </c>
      <c r="N208" s="136">
        <f t="shared" si="173"/>
        <v>0</v>
      </c>
      <c r="O208" s="136">
        <f t="shared" si="173"/>
        <v>0</v>
      </c>
      <c r="P208" s="78">
        <f>SUM(D208:O208)</f>
        <v>0</v>
      </c>
      <c r="Q208" s="79">
        <f>SUM(D208:J208)</f>
        <v>0</v>
      </c>
      <c r="R208" s="78">
        <f>P208-Q208</f>
        <v>0</v>
      </c>
      <c r="S208" s="87"/>
      <c r="T208" s="79">
        <v>0</v>
      </c>
      <c r="U208" s="79">
        <v>0</v>
      </c>
      <c r="V208" s="78">
        <f>T208-U208</f>
        <v>0</v>
      </c>
      <c r="W208" s="66"/>
      <c r="X208" s="66"/>
      <c r="Y208" s="66"/>
      <c r="Z208" s="66"/>
      <c r="AA208" s="122" t="str">
        <f>A208</f>
        <v xml:space="preserve">          Retirements at Cost</v>
      </c>
      <c r="AB208" s="114">
        <f>P208</f>
        <v>0</v>
      </c>
      <c r="AC208" s="79">
        <f>SUM(D208:L208)</f>
        <v>0</v>
      </c>
      <c r="AD208" s="78">
        <f>AB208-AC208</f>
        <v>0</v>
      </c>
      <c r="AE208" s="66"/>
      <c r="AF208" s="78">
        <f t="shared" si="174"/>
        <v>0</v>
      </c>
      <c r="AG208" s="78">
        <f t="shared" si="174"/>
        <v>0</v>
      </c>
      <c r="AH208" s="78">
        <f>AF208-AG208</f>
        <v>0</v>
      </c>
      <c r="AI208" s="66"/>
      <c r="AJ208" s="78">
        <f>AC208-AG208</f>
        <v>0</v>
      </c>
      <c r="AK208" s="78">
        <f>AB208-AF208</f>
        <v>0</v>
      </c>
      <c r="AL208" s="66"/>
      <c r="AM208" s="79">
        <v>0</v>
      </c>
      <c r="AN208" s="78">
        <f>AB208-AM208</f>
        <v>0</v>
      </c>
      <c r="AO208" s="66"/>
      <c r="AP208" s="79">
        <v>0</v>
      </c>
      <c r="AQ208" s="78">
        <f>AC208-AP208</f>
        <v>0</v>
      </c>
      <c r="AR208" s="66"/>
      <c r="AS208" s="66"/>
      <c r="AT208" s="66"/>
      <c r="AU208" s="66"/>
    </row>
    <row r="209" spans="1:47" ht="3.9" customHeight="1" x14ac:dyDescent="0.25">
      <c r="A209" s="140"/>
      <c r="B209" s="132"/>
      <c r="C209" s="132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66"/>
      <c r="W209" s="66"/>
      <c r="X209" s="66"/>
      <c r="Y209" s="66"/>
      <c r="Z209" s="66"/>
      <c r="AA209" s="63"/>
      <c r="AB209" s="66"/>
      <c r="AC209" s="66"/>
      <c r="AD209" s="66"/>
      <c r="AE209" s="66"/>
      <c r="AF209" s="66"/>
      <c r="AG209" s="87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</row>
    <row r="210" spans="1:47" ht="12.75" customHeight="1" x14ac:dyDescent="0.25">
      <c r="A210" s="135" t="s">
        <v>539</v>
      </c>
      <c r="B210" s="132"/>
      <c r="C210" s="132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66"/>
      <c r="W210" s="66"/>
      <c r="X210" s="66"/>
      <c r="Y210" s="66"/>
      <c r="Z210" s="66"/>
      <c r="AA210" s="122" t="str">
        <f>A210</f>
        <v xml:space="preserve">      Accumulated Depreciation</v>
      </c>
      <c r="AB210" s="66"/>
      <c r="AC210" s="66"/>
      <c r="AD210" s="66"/>
      <c r="AE210" s="66"/>
      <c r="AF210" s="66"/>
      <c r="AG210" s="87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</row>
    <row r="211" spans="1:47" ht="12.75" customHeight="1" x14ac:dyDescent="0.25">
      <c r="A211" s="135" t="s">
        <v>540</v>
      </c>
      <c r="B211" s="132"/>
      <c r="C211" s="132"/>
      <c r="D211" s="136">
        <f t="shared" ref="D211:O211" si="175">D280</f>
        <v>-67</v>
      </c>
      <c r="E211" s="136">
        <f t="shared" si="175"/>
        <v>-33</v>
      </c>
      <c r="F211" s="136">
        <f t="shared" si="175"/>
        <v>-71</v>
      </c>
      <c r="G211" s="136">
        <f t="shared" si="175"/>
        <v>-71</v>
      </c>
      <c r="H211" s="136">
        <f t="shared" si="175"/>
        <v>-71</v>
      </c>
      <c r="I211" s="136">
        <f t="shared" si="175"/>
        <v>-70</v>
      </c>
      <c r="J211" s="136">
        <f t="shared" si="175"/>
        <v>-71</v>
      </c>
      <c r="K211" s="136">
        <f t="shared" si="175"/>
        <v>-68</v>
      </c>
      <c r="L211" s="136">
        <f t="shared" si="175"/>
        <v>-67</v>
      </c>
      <c r="M211" s="136">
        <f t="shared" si="175"/>
        <v>-67</v>
      </c>
      <c r="N211" s="136">
        <f t="shared" si="175"/>
        <v>-68</v>
      </c>
      <c r="O211" s="136">
        <f t="shared" si="175"/>
        <v>-68</v>
      </c>
      <c r="P211" s="78">
        <f>SUM(D211:O211)</f>
        <v>-792</v>
      </c>
      <c r="Q211" s="79">
        <f>SUM(D211:J211)</f>
        <v>-454</v>
      </c>
      <c r="R211" s="78">
        <f>P211-Q211</f>
        <v>-338</v>
      </c>
      <c r="S211" s="87"/>
      <c r="T211" s="79">
        <v>-809</v>
      </c>
      <c r="U211" s="79">
        <v>-606</v>
      </c>
      <c r="V211" s="78">
        <f>T211-U211</f>
        <v>-203</v>
      </c>
      <c r="W211" s="66"/>
      <c r="X211" s="66"/>
      <c r="Y211" s="66"/>
      <c r="Z211" s="66"/>
      <c r="AA211" s="122" t="str">
        <f>A211</f>
        <v xml:space="preserve">          Reserve Adjustments / AFUDC</v>
      </c>
      <c r="AB211" s="114">
        <f>P211</f>
        <v>-792</v>
      </c>
      <c r="AC211" s="79">
        <f>SUM(D211:L211)</f>
        <v>-589</v>
      </c>
      <c r="AD211" s="78">
        <f>AB211-AC211</f>
        <v>-203</v>
      </c>
      <c r="AE211" s="66"/>
      <c r="AF211" s="78">
        <f>T211</f>
        <v>-809</v>
      </c>
      <c r="AG211" s="78">
        <f>U211</f>
        <v>-606</v>
      </c>
      <c r="AH211" s="78">
        <f>AF211-AG211</f>
        <v>-203</v>
      </c>
      <c r="AI211" s="66"/>
      <c r="AJ211" s="78">
        <f>AC211-AG211</f>
        <v>17</v>
      </c>
      <c r="AK211" s="78">
        <f>AB211-AF211</f>
        <v>17</v>
      </c>
      <c r="AL211" s="66"/>
      <c r="AM211" s="79">
        <v>-786</v>
      </c>
      <c r="AN211" s="78">
        <f>AB211-AM211</f>
        <v>-6</v>
      </c>
      <c r="AO211" s="66"/>
      <c r="AP211" s="79">
        <v>-583</v>
      </c>
      <c r="AQ211" s="78">
        <f>AC211-AP211</f>
        <v>-6</v>
      </c>
      <c r="AR211" s="66"/>
      <c r="AS211" s="66"/>
      <c r="AT211" s="66"/>
      <c r="AU211" s="66"/>
    </row>
    <row r="212" spans="1:47" ht="12.75" customHeight="1" x14ac:dyDescent="0.25">
      <c r="A212" s="112" t="s">
        <v>541</v>
      </c>
      <c r="B212" s="132"/>
      <c r="C212" s="132"/>
      <c r="D212" s="136">
        <f t="shared" ref="D212:O212" si="176">D282</f>
        <v>3</v>
      </c>
      <c r="E212" s="136">
        <f t="shared" si="176"/>
        <v>3</v>
      </c>
      <c r="F212" s="136">
        <f t="shared" si="176"/>
        <v>3</v>
      </c>
      <c r="G212" s="136">
        <f t="shared" si="176"/>
        <v>3</v>
      </c>
      <c r="H212" s="136">
        <f t="shared" si="176"/>
        <v>3</v>
      </c>
      <c r="I212" s="136">
        <f t="shared" si="176"/>
        <v>3</v>
      </c>
      <c r="J212" s="136">
        <f t="shared" si="176"/>
        <v>3</v>
      </c>
      <c r="K212" s="136">
        <f t="shared" si="176"/>
        <v>3</v>
      </c>
      <c r="L212" s="136">
        <f t="shared" si="176"/>
        <v>3</v>
      </c>
      <c r="M212" s="136">
        <f t="shared" si="176"/>
        <v>3</v>
      </c>
      <c r="N212" s="136">
        <f t="shared" si="176"/>
        <v>3</v>
      </c>
      <c r="O212" s="136">
        <f t="shared" si="176"/>
        <v>3</v>
      </c>
      <c r="P212" s="78">
        <f>SUM(D212:O212)</f>
        <v>36</v>
      </c>
      <c r="Q212" s="79">
        <f>SUM(D212:J212)</f>
        <v>21</v>
      </c>
      <c r="R212" s="78">
        <f>P212-Q212</f>
        <v>15</v>
      </c>
      <c r="S212" s="87"/>
      <c r="T212" s="79">
        <v>0</v>
      </c>
      <c r="U212" s="79">
        <v>0</v>
      </c>
      <c r="V212" s="78">
        <f>T212-U212</f>
        <v>0</v>
      </c>
      <c r="W212" s="66"/>
      <c r="X212" s="66"/>
      <c r="Y212" s="66"/>
      <c r="Z212" s="66"/>
      <c r="AA212" s="122" t="str">
        <f>A212</f>
        <v xml:space="preserve">          Retirements at Cost </v>
      </c>
      <c r="AB212" s="114">
        <f>P212</f>
        <v>36</v>
      </c>
      <c r="AC212" s="79">
        <f>SUM(D212:L212)</f>
        <v>27</v>
      </c>
      <c r="AD212" s="78">
        <f>AB212-AC212</f>
        <v>9</v>
      </c>
      <c r="AE212" s="66"/>
      <c r="AF212" s="78">
        <f>T212</f>
        <v>0</v>
      </c>
      <c r="AG212" s="78">
        <f>U212</f>
        <v>0</v>
      </c>
      <c r="AH212" s="78">
        <f>AF212-AG212</f>
        <v>0</v>
      </c>
      <c r="AI212" s="66"/>
      <c r="AJ212" s="78">
        <f>AC212-AG212</f>
        <v>27</v>
      </c>
      <c r="AK212" s="78">
        <f>AB212-AF212</f>
        <v>36</v>
      </c>
      <c r="AL212" s="66"/>
      <c r="AM212" s="79">
        <v>36</v>
      </c>
      <c r="AN212" s="78">
        <f>AB212-AM212</f>
        <v>0</v>
      </c>
      <c r="AO212" s="66"/>
      <c r="AP212" s="79">
        <v>27</v>
      </c>
      <c r="AQ212" s="78">
        <f>AC212-AP212</f>
        <v>0</v>
      </c>
      <c r="AR212" s="66"/>
      <c r="AS212" s="66"/>
      <c r="AT212" s="66"/>
      <c r="AU212" s="66"/>
    </row>
    <row r="213" spans="1:47" ht="3.9" customHeight="1" x14ac:dyDescent="0.25">
      <c r="A213" s="140"/>
      <c r="B213" s="132"/>
      <c r="C213" s="132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87"/>
      <c r="Q213" s="79"/>
      <c r="R213" s="87"/>
      <c r="S213" s="87"/>
      <c r="T213" s="87"/>
      <c r="U213" s="87"/>
      <c r="V213" s="66"/>
      <c r="W213" s="66"/>
      <c r="X213" s="66"/>
      <c r="Y213" s="66"/>
      <c r="Z213" s="66"/>
      <c r="AA213" s="63"/>
      <c r="AB213" s="66"/>
      <c r="AC213" s="79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</row>
    <row r="214" spans="1:47" ht="12.75" customHeight="1" x14ac:dyDescent="0.25">
      <c r="A214" s="112" t="s">
        <v>542</v>
      </c>
      <c r="B214" s="132"/>
      <c r="C214" s="132"/>
      <c r="D214" s="211">
        <v>0</v>
      </c>
      <c r="E214" s="211">
        <v>0</v>
      </c>
      <c r="F214" s="211">
        <v>0</v>
      </c>
      <c r="G214" s="211">
        <v>0</v>
      </c>
      <c r="H214" s="211">
        <v>0</v>
      </c>
      <c r="I214" s="211">
        <v>0</v>
      </c>
      <c r="J214" s="211">
        <v>0</v>
      </c>
      <c r="K214" s="211">
        <v>0</v>
      </c>
      <c r="L214" s="211">
        <v>0</v>
      </c>
      <c r="M214" s="211">
        <v>0</v>
      </c>
      <c r="N214" s="211">
        <v>0</v>
      </c>
      <c r="O214" s="211">
        <v>0</v>
      </c>
      <c r="P214" s="83">
        <f>SUM(D214:O214)</f>
        <v>0</v>
      </c>
      <c r="Q214" s="101">
        <f>SUM(D214:J214)</f>
        <v>0</v>
      </c>
      <c r="R214" s="83">
        <f>P214-Q214</f>
        <v>0</v>
      </c>
      <c r="S214" s="138"/>
      <c r="T214" s="101">
        <v>6</v>
      </c>
      <c r="U214" s="101">
        <v>4</v>
      </c>
      <c r="V214" s="83">
        <f>T214-U214</f>
        <v>2</v>
      </c>
      <c r="W214" s="66"/>
      <c r="X214" s="66"/>
      <c r="Y214" s="66"/>
      <c r="Z214" s="66"/>
      <c r="AA214" s="122" t="str">
        <f>A214</f>
        <v xml:space="preserve">      Other</v>
      </c>
      <c r="AB214" s="116">
        <f>P214</f>
        <v>0</v>
      </c>
      <c r="AC214" s="101">
        <f>SUM(D214:L214)</f>
        <v>0</v>
      </c>
      <c r="AD214" s="83">
        <f>AB214-AC214</f>
        <v>0</v>
      </c>
      <c r="AE214" s="66"/>
      <c r="AF214" s="83">
        <f>T214</f>
        <v>6</v>
      </c>
      <c r="AG214" s="83">
        <f>U214</f>
        <v>4</v>
      </c>
      <c r="AH214" s="83">
        <f>AF214-AG214</f>
        <v>2</v>
      </c>
      <c r="AI214" s="66"/>
      <c r="AJ214" s="83">
        <f>AC214-AG214</f>
        <v>-4</v>
      </c>
      <c r="AK214" s="83">
        <f>AB214-AF214</f>
        <v>-6</v>
      </c>
      <c r="AL214" s="66"/>
      <c r="AM214" s="101">
        <v>0</v>
      </c>
      <c r="AN214" s="83">
        <f>AB214-AM214</f>
        <v>0</v>
      </c>
      <c r="AO214" s="84"/>
      <c r="AP214" s="101">
        <v>0</v>
      </c>
      <c r="AQ214" s="83">
        <f>AC214-AP214</f>
        <v>0</v>
      </c>
      <c r="AR214" s="66"/>
      <c r="AS214" s="66"/>
      <c r="AT214" s="66"/>
      <c r="AU214" s="66"/>
    </row>
    <row r="215" spans="1:47" ht="3.9" customHeight="1" x14ac:dyDescent="0.25">
      <c r="A215" s="140"/>
      <c r="B215" s="132"/>
      <c r="C215" s="132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87"/>
      <c r="Q215" s="87"/>
      <c r="R215" s="87"/>
      <c r="S215" s="87"/>
      <c r="T215" s="87"/>
      <c r="U215" s="87"/>
      <c r="V215" s="66"/>
      <c r="W215" s="66"/>
      <c r="X215" s="66"/>
      <c r="Y215" s="66"/>
      <c r="Z215" s="66"/>
      <c r="AA215" s="63"/>
      <c r="AB215" s="66"/>
      <c r="AC215" s="79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</row>
    <row r="216" spans="1:47" ht="12.75" customHeight="1" x14ac:dyDescent="0.25">
      <c r="A216" s="135" t="s">
        <v>543</v>
      </c>
      <c r="B216" s="132"/>
      <c r="C216" s="132"/>
      <c r="D216" s="137">
        <f>SUM(D197:D214)</f>
        <v>-39</v>
      </c>
      <c r="E216" s="137">
        <f t="shared" ref="E216:T216" si="177">SUM(E197:E214)</f>
        <v>-776</v>
      </c>
      <c r="F216" s="137">
        <f t="shared" si="177"/>
        <v>278</v>
      </c>
      <c r="G216" s="137">
        <f t="shared" si="177"/>
        <v>-358</v>
      </c>
      <c r="H216" s="137">
        <f t="shared" si="177"/>
        <v>-669</v>
      </c>
      <c r="I216" s="137">
        <f t="shared" si="177"/>
        <v>-474</v>
      </c>
      <c r="J216" s="137">
        <f t="shared" si="177"/>
        <v>-330</v>
      </c>
      <c r="K216" s="137">
        <f t="shared" si="177"/>
        <v>-76</v>
      </c>
      <c r="L216" s="137">
        <f t="shared" si="177"/>
        <v>-76</v>
      </c>
      <c r="M216" s="137">
        <f t="shared" si="177"/>
        <v>-75</v>
      </c>
      <c r="N216" s="137">
        <f t="shared" si="177"/>
        <v>-77</v>
      </c>
      <c r="O216" s="137">
        <f t="shared" si="177"/>
        <v>-76</v>
      </c>
      <c r="P216" s="137">
        <f t="shared" si="177"/>
        <v>-2748</v>
      </c>
      <c r="Q216" s="137">
        <f t="shared" si="177"/>
        <v>-2368</v>
      </c>
      <c r="R216" s="137">
        <f t="shared" si="177"/>
        <v>-380</v>
      </c>
      <c r="S216" s="87"/>
      <c r="T216" s="137">
        <f t="shared" si="177"/>
        <v>-10936</v>
      </c>
      <c r="U216" s="137">
        <f>SUM(U197:U214)</f>
        <v>-8188</v>
      </c>
      <c r="V216" s="137">
        <f>SUM(V197:V214)</f>
        <v>-2748</v>
      </c>
      <c r="W216" s="66"/>
      <c r="X216" s="66"/>
      <c r="Y216" s="66"/>
      <c r="Z216" s="66"/>
      <c r="AA216" s="122" t="str">
        <f>A216</f>
        <v xml:space="preserve">         Subtotal (Cash Flow Model)</v>
      </c>
      <c r="AB216" s="137">
        <f t="shared" ref="AB216:AQ216" si="178">SUM(AB197:AB214)</f>
        <v>-2748</v>
      </c>
      <c r="AC216" s="137">
        <f t="shared" si="178"/>
        <v>-2520</v>
      </c>
      <c r="AD216" s="137">
        <f t="shared" si="178"/>
        <v>-228</v>
      </c>
      <c r="AE216" s="66"/>
      <c r="AF216" s="137">
        <f t="shared" si="178"/>
        <v>-10936</v>
      </c>
      <c r="AG216" s="137">
        <f t="shared" si="178"/>
        <v>-8188</v>
      </c>
      <c r="AH216" s="137">
        <f t="shared" si="178"/>
        <v>-2748</v>
      </c>
      <c r="AI216" s="66"/>
      <c r="AJ216" s="137">
        <f t="shared" si="178"/>
        <v>5668</v>
      </c>
      <c r="AK216" s="137">
        <f t="shared" si="178"/>
        <v>8188</v>
      </c>
      <c r="AL216" s="66"/>
      <c r="AM216" s="137">
        <f t="shared" si="178"/>
        <v>-2492</v>
      </c>
      <c r="AN216" s="137">
        <f t="shared" si="178"/>
        <v>-256</v>
      </c>
      <c r="AO216" s="66"/>
      <c r="AP216" s="137">
        <f t="shared" si="178"/>
        <v>-2264</v>
      </c>
      <c r="AQ216" s="137">
        <f t="shared" si="178"/>
        <v>-256</v>
      </c>
      <c r="AR216" s="66"/>
      <c r="AS216" s="66"/>
      <c r="AT216" s="66"/>
      <c r="AU216" s="66"/>
    </row>
    <row r="217" spans="1:47" ht="12.75" customHeight="1" x14ac:dyDescent="0.25">
      <c r="A217" s="132"/>
      <c r="B217" s="132"/>
      <c r="C217" s="132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66"/>
      <c r="W217" s="66"/>
      <c r="X217" s="66"/>
      <c r="Y217" s="66"/>
      <c r="Z217" s="66"/>
      <c r="AA217" s="63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</row>
    <row r="218" spans="1:47" ht="12.75" customHeight="1" x14ac:dyDescent="0.25">
      <c r="A218" s="141" t="s">
        <v>544</v>
      </c>
      <c r="B218" s="132"/>
      <c r="C218" s="132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66"/>
      <c r="W218" s="66"/>
      <c r="X218" s="66"/>
      <c r="Y218" s="66"/>
      <c r="Z218" s="66"/>
      <c r="AA218" s="122" t="str">
        <f t="shared" ref="AA218:AA233" si="179">A218</f>
        <v xml:space="preserve">   Other Tie Out Items (Financial Reporting)</v>
      </c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</row>
    <row r="219" spans="1:47" ht="12.75" customHeight="1" x14ac:dyDescent="0.25">
      <c r="A219" s="103" t="s">
        <v>542</v>
      </c>
      <c r="B219" s="132"/>
      <c r="C219" s="132"/>
      <c r="D219" s="144">
        <v>0</v>
      </c>
      <c r="E219" s="144">
        <v>0</v>
      </c>
      <c r="F219" s="144">
        <v>0</v>
      </c>
      <c r="G219" s="144">
        <v>0</v>
      </c>
      <c r="H219" s="144">
        <v>0</v>
      </c>
      <c r="I219" s="144">
        <v>0</v>
      </c>
      <c r="J219" s="144">
        <v>0</v>
      </c>
      <c r="K219" s="144">
        <v>0</v>
      </c>
      <c r="L219" s="144">
        <v>0</v>
      </c>
      <c r="M219" s="144">
        <v>0</v>
      </c>
      <c r="N219" s="144">
        <v>0</v>
      </c>
      <c r="O219" s="144">
        <v>0</v>
      </c>
      <c r="P219" s="78">
        <f t="shared" ref="P219:P233" si="180">SUM(D219:O219)</f>
        <v>0</v>
      </c>
      <c r="Q219" s="79">
        <f t="shared" ref="Q219:Q233" si="181">SUM(D219:J219)</f>
        <v>0</v>
      </c>
      <c r="R219" s="78">
        <f t="shared" ref="R219:R233" si="182">P219-Q219</f>
        <v>0</v>
      </c>
      <c r="S219" s="87"/>
      <c r="T219" s="79">
        <v>0</v>
      </c>
      <c r="U219" s="79">
        <v>0</v>
      </c>
      <c r="V219" s="78">
        <f t="shared" ref="V219:V233" si="183">T219-U219</f>
        <v>0</v>
      </c>
      <c r="W219" s="66"/>
      <c r="X219" s="66"/>
      <c r="Y219" s="66"/>
      <c r="Z219" s="66"/>
      <c r="AA219" s="122" t="str">
        <f t="shared" si="179"/>
        <v xml:space="preserve">      Other</v>
      </c>
      <c r="AB219" s="114">
        <f t="shared" ref="AB219:AB233" si="184">P219</f>
        <v>0</v>
      </c>
      <c r="AC219" s="79">
        <f t="shared" ref="AC219:AC233" si="185">SUM(D219:L219)</f>
        <v>0</v>
      </c>
      <c r="AD219" s="78">
        <f t="shared" ref="AD219:AD233" si="186">AB219-AC219</f>
        <v>0</v>
      </c>
      <c r="AE219" s="66"/>
      <c r="AF219" s="78">
        <f t="shared" ref="AF219:AF233" si="187">T219</f>
        <v>0</v>
      </c>
      <c r="AG219" s="78">
        <f t="shared" ref="AG219:AG233" si="188">U219</f>
        <v>0</v>
      </c>
      <c r="AH219" s="78">
        <f t="shared" ref="AH219:AH233" si="189">AF219-AG219</f>
        <v>0</v>
      </c>
      <c r="AI219" s="66"/>
      <c r="AJ219" s="78">
        <f t="shared" ref="AJ219:AJ233" si="190">AC219-AG219</f>
        <v>0</v>
      </c>
      <c r="AK219" s="78">
        <f t="shared" ref="AK219:AK233" si="191">AB219-AF219</f>
        <v>0</v>
      </c>
      <c r="AL219" s="66"/>
      <c r="AM219" s="79">
        <v>0</v>
      </c>
      <c r="AN219" s="78">
        <f t="shared" ref="AN219:AN233" si="192">AB219-AM219</f>
        <v>0</v>
      </c>
      <c r="AO219" s="66"/>
      <c r="AP219" s="79">
        <v>0</v>
      </c>
      <c r="AQ219" s="78">
        <f t="shared" ref="AQ219:AQ233" si="193">AC219-AP219</f>
        <v>0</v>
      </c>
      <c r="AR219" s="66"/>
      <c r="AS219" s="66"/>
      <c r="AT219" s="66"/>
      <c r="AU219" s="66"/>
    </row>
    <row r="220" spans="1:47" ht="12.75" customHeight="1" x14ac:dyDescent="0.25">
      <c r="A220" s="112" t="s">
        <v>545</v>
      </c>
      <c r="B220" s="132"/>
      <c r="C220" s="132"/>
      <c r="D220" s="136">
        <f>D338</f>
        <v>0</v>
      </c>
      <c r="E220" s="136">
        <f>E338</f>
        <v>0</v>
      </c>
      <c r="F220" s="136">
        <f>F338</f>
        <v>14032</v>
      </c>
      <c r="G220" s="136">
        <f>G338</f>
        <v>-3804</v>
      </c>
      <c r="H220" s="136">
        <f t="shared" ref="H220:O220" si="194">H337+H338</f>
        <v>19109</v>
      </c>
      <c r="I220" s="136">
        <f t="shared" si="194"/>
        <v>16915</v>
      </c>
      <c r="J220" s="136">
        <f t="shared" si="194"/>
        <v>-501</v>
      </c>
      <c r="K220" s="136">
        <f t="shared" si="194"/>
        <v>0</v>
      </c>
      <c r="L220" s="136">
        <f t="shared" si="194"/>
        <v>0</v>
      </c>
      <c r="M220" s="136">
        <f t="shared" si="194"/>
        <v>0</v>
      </c>
      <c r="N220" s="136">
        <f t="shared" si="194"/>
        <v>0</v>
      </c>
      <c r="O220" s="136">
        <f t="shared" si="194"/>
        <v>0</v>
      </c>
      <c r="P220" s="78">
        <f t="shared" si="180"/>
        <v>45751</v>
      </c>
      <c r="Q220" s="79">
        <f t="shared" si="181"/>
        <v>45751</v>
      </c>
      <c r="R220" s="78">
        <f t="shared" si="182"/>
        <v>0</v>
      </c>
      <c r="S220" s="87"/>
      <c r="T220" s="79">
        <v>0</v>
      </c>
      <c r="U220" s="79">
        <v>0</v>
      </c>
      <c r="V220" s="78">
        <f t="shared" si="183"/>
        <v>0</v>
      </c>
      <c r="W220" s="66"/>
      <c r="X220" s="66"/>
      <c r="Y220" s="66"/>
      <c r="Z220" s="66"/>
      <c r="AA220" s="122" t="str">
        <f t="shared" si="179"/>
        <v xml:space="preserve">      FASB 133 - Comprehensive Income / (Loss) Tax Adjustment</v>
      </c>
      <c r="AB220" s="114">
        <f t="shared" si="184"/>
        <v>45751</v>
      </c>
      <c r="AC220" s="79">
        <f t="shared" si="185"/>
        <v>45751</v>
      </c>
      <c r="AD220" s="78">
        <f t="shared" si="186"/>
        <v>0</v>
      </c>
      <c r="AE220" s="66"/>
      <c r="AF220" s="78">
        <f t="shared" si="187"/>
        <v>0</v>
      </c>
      <c r="AG220" s="78">
        <f t="shared" si="188"/>
        <v>0</v>
      </c>
      <c r="AH220" s="78">
        <f t="shared" si="189"/>
        <v>0</v>
      </c>
      <c r="AI220" s="66"/>
      <c r="AJ220" s="78">
        <f t="shared" si="190"/>
        <v>45751</v>
      </c>
      <c r="AK220" s="78">
        <f t="shared" si="191"/>
        <v>45751</v>
      </c>
      <c r="AL220" s="66"/>
      <c r="AM220" s="79">
        <v>46252</v>
      </c>
      <c r="AN220" s="78">
        <f t="shared" si="192"/>
        <v>-501</v>
      </c>
      <c r="AO220" s="66"/>
      <c r="AP220" s="79">
        <v>46252</v>
      </c>
      <c r="AQ220" s="78">
        <f t="shared" si="193"/>
        <v>-501</v>
      </c>
      <c r="AR220" s="66"/>
      <c r="AS220" s="66"/>
      <c r="AT220" s="66"/>
      <c r="AU220" s="66"/>
    </row>
    <row r="221" spans="1:47" ht="12.75" customHeight="1" x14ac:dyDescent="0.25">
      <c r="A221" s="112" t="s">
        <v>546</v>
      </c>
      <c r="B221" s="132"/>
      <c r="C221" s="132"/>
      <c r="D221" s="144">
        <v>0</v>
      </c>
      <c r="E221" s="144">
        <v>0</v>
      </c>
      <c r="F221" s="144">
        <v>-14032</v>
      </c>
      <c r="G221" s="144">
        <v>3804</v>
      </c>
      <c r="H221" s="144">
        <v>-19109</v>
      </c>
      <c r="I221" s="144">
        <v>-16915</v>
      </c>
      <c r="J221" s="144">
        <v>501</v>
      </c>
      <c r="K221" s="144">
        <v>0</v>
      </c>
      <c r="L221" s="144">
        <v>0</v>
      </c>
      <c r="M221" s="144">
        <v>0</v>
      </c>
      <c r="N221" s="144">
        <v>0</v>
      </c>
      <c r="O221" s="144">
        <v>0</v>
      </c>
      <c r="P221" s="78">
        <f t="shared" si="180"/>
        <v>-45751</v>
      </c>
      <c r="Q221" s="79">
        <f t="shared" si="181"/>
        <v>-45751</v>
      </c>
      <c r="R221" s="78">
        <f t="shared" si="182"/>
        <v>0</v>
      </c>
      <c r="S221" s="87"/>
      <c r="T221" s="79">
        <v>0</v>
      </c>
      <c r="U221" s="79">
        <v>0</v>
      </c>
      <c r="V221" s="78">
        <f t="shared" si="183"/>
        <v>0</v>
      </c>
      <c r="W221" s="66"/>
      <c r="X221" s="66"/>
      <c r="Y221" s="66"/>
      <c r="Z221" s="66"/>
      <c r="AA221" s="122" t="str">
        <f t="shared" si="179"/>
        <v xml:space="preserve">      Deferred Tax Offset Adjustment on Price Risk Liability (1/01-3/01)</v>
      </c>
      <c r="AB221" s="114">
        <f t="shared" si="184"/>
        <v>-45751</v>
      </c>
      <c r="AC221" s="79">
        <f t="shared" si="185"/>
        <v>-45751</v>
      </c>
      <c r="AD221" s="78">
        <f t="shared" si="186"/>
        <v>0</v>
      </c>
      <c r="AE221" s="66"/>
      <c r="AF221" s="78">
        <f t="shared" si="187"/>
        <v>0</v>
      </c>
      <c r="AG221" s="78">
        <f t="shared" si="188"/>
        <v>0</v>
      </c>
      <c r="AH221" s="78">
        <f t="shared" si="189"/>
        <v>0</v>
      </c>
      <c r="AI221" s="66"/>
      <c r="AJ221" s="78">
        <f t="shared" si="190"/>
        <v>-45751</v>
      </c>
      <c r="AK221" s="78">
        <f t="shared" si="191"/>
        <v>-45751</v>
      </c>
      <c r="AL221" s="66"/>
      <c r="AM221" s="79">
        <v>-46252</v>
      </c>
      <c r="AN221" s="78">
        <f t="shared" si="192"/>
        <v>501</v>
      </c>
      <c r="AO221" s="66"/>
      <c r="AP221" s="79">
        <v>-46252</v>
      </c>
      <c r="AQ221" s="78">
        <f t="shared" si="193"/>
        <v>501</v>
      </c>
      <c r="AR221" s="66"/>
      <c r="AS221" s="66"/>
      <c r="AT221" s="66"/>
      <c r="AU221" s="66"/>
    </row>
    <row r="222" spans="1:47" ht="12.75" customHeight="1" x14ac:dyDescent="0.25">
      <c r="A222" s="112" t="s">
        <v>547</v>
      </c>
      <c r="B222" s="132"/>
      <c r="C222" s="132"/>
      <c r="D222" s="144">
        <v>0</v>
      </c>
      <c r="E222" s="144">
        <v>0</v>
      </c>
      <c r="F222" s="144">
        <v>0</v>
      </c>
      <c r="G222" s="144">
        <v>0</v>
      </c>
      <c r="H222" s="144">
        <v>58</v>
      </c>
      <c r="I222" s="144">
        <v>0</v>
      </c>
      <c r="J222" s="144">
        <v>0</v>
      </c>
      <c r="K222" s="144">
        <v>0</v>
      </c>
      <c r="L222" s="196">
        <f>-500+500</f>
        <v>0</v>
      </c>
      <c r="M222" s="144">
        <v>0</v>
      </c>
      <c r="N222" s="144">
        <v>0</v>
      </c>
      <c r="O222" s="196">
        <f>-14138+14138</f>
        <v>0</v>
      </c>
      <c r="P222" s="78">
        <f t="shared" si="180"/>
        <v>58</v>
      </c>
      <c r="Q222" s="79">
        <f t="shared" si="181"/>
        <v>58</v>
      </c>
      <c r="R222" s="78">
        <f t="shared" si="182"/>
        <v>0</v>
      </c>
      <c r="S222" s="87"/>
      <c r="T222" s="79">
        <v>0</v>
      </c>
      <c r="U222" s="79">
        <v>0</v>
      </c>
      <c r="V222" s="78">
        <f t="shared" si="183"/>
        <v>0</v>
      </c>
      <c r="W222" s="66"/>
      <c r="X222" s="66"/>
      <c r="Y222" s="66"/>
      <c r="Z222" s="66"/>
      <c r="AA222" s="122" t="str">
        <f t="shared" si="179"/>
        <v xml:space="preserve">      Property Summary - GR / IR Clearing</v>
      </c>
      <c r="AB222" s="114">
        <f t="shared" si="184"/>
        <v>58</v>
      </c>
      <c r="AC222" s="79">
        <f t="shared" si="185"/>
        <v>58</v>
      </c>
      <c r="AD222" s="78">
        <f t="shared" si="186"/>
        <v>0</v>
      </c>
      <c r="AE222" s="66"/>
      <c r="AF222" s="78">
        <f t="shared" si="187"/>
        <v>0</v>
      </c>
      <c r="AG222" s="78">
        <f t="shared" si="188"/>
        <v>0</v>
      </c>
      <c r="AH222" s="78">
        <f t="shared" si="189"/>
        <v>0</v>
      </c>
      <c r="AI222" s="66"/>
      <c r="AJ222" s="78">
        <f t="shared" si="190"/>
        <v>58</v>
      </c>
      <c r="AK222" s="78">
        <f t="shared" si="191"/>
        <v>58</v>
      </c>
      <c r="AL222" s="66"/>
      <c r="AM222" s="79">
        <v>58</v>
      </c>
      <c r="AN222" s="78">
        <f t="shared" si="192"/>
        <v>0</v>
      </c>
      <c r="AO222" s="66"/>
      <c r="AP222" s="79">
        <v>58</v>
      </c>
      <c r="AQ222" s="78">
        <f t="shared" si="193"/>
        <v>0</v>
      </c>
      <c r="AR222" s="66"/>
      <c r="AS222" s="66"/>
      <c r="AT222" s="66"/>
      <c r="AU222" s="66"/>
    </row>
    <row r="223" spans="1:47" ht="12.75" customHeight="1" x14ac:dyDescent="0.25">
      <c r="A223" s="112" t="s">
        <v>542</v>
      </c>
      <c r="B223" s="132"/>
      <c r="C223" s="132"/>
      <c r="D223" s="144">
        <v>0</v>
      </c>
      <c r="E223" s="144">
        <v>0</v>
      </c>
      <c r="F223" s="144">
        <v>0</v>
      </c>
      <c r="G223" s="144">
        <v>0</v>
      </c>
      <c r="H223" s="144">
        <v>0</v>
      </c>
      <c r="I223" s="144">
        <v>0</v>
      </c>
      <c r="J223" s="144">
        <v>0</v>
      </c>
      <c r="K223" s="144">
        <v>0</v>
      </c>
      <c r="L223" s="144">
        <v>0</v>
      </c>
      <c r="M223" s="144">
        <v>0</v>
      </c>
      <c r="N223" s="144">
        <v>0</v>
      </c>
      <c r="O223" s="144">
        <v>0</v>
      </c>
      <c r="P223" s="78">
        <f>SUM(D223:O223)</f>
        <v>0</v>
      </c>
      <c r="Q223" s="79">
        <f t="shared" si="181"/>
        <v>0</v>
      </c>
      <c r="R223" s="78">
        <f>P223-Q223</f>
        <v>0</v>
      </c>
      <c r="S223" s="87"/>
      <c r="T223" s="79">
        <v>0</v>
      </c>
      <c r="U223" s="79">
        <v>0</v>
      </c>
      <c r="V223" s="78">
        <f>T223-U223</f>
        <v>0</v>
      </c>
      <c r="W223" s="66"/>
      <c r="X223" s="66"/>
      <c r="Y223" s="66"/>
      <c r="Z223" s="66"/>
      <c r="AA223" s="122" t="str">
        <f>A223</f>
        <v xml:space="preserve">      Other</v>
      </c>
      <c r="AB223" s="114">
        <f>P223</f>
        <v>0</v>
      </c>
      <c r="AC223" s="79">
        <f t="shared" si="185"/>
        <v>0</v>
      </c>
      <c r="AD223" s="78">
        <f>AB223-AC223</f>
        <v>0</v>
      </c>
      <c r="AE223" s="66"/>
      <c r="AF223" s="78">
        <f t="shared" ref="AF223:AG227" si="195">T223</f>
        <v>0</v>
      </c>
      <c r="AG223" s="78">
        <f t="shared" si="195"/>
        <v>0</v>
      </c>
      <c r="AH223" s="78">
        <f>AF223-AG223</f>
        <v>0</v>
      </c>
      <c r="AI223" s="66"/>
      <c r="AJ223" s="78">
        <f>AC223-AG223</f>
        <v>0</v>
      </c>
      <c r="AK223" s="78">
        <f>AB223-AF223</f>
        <v>0</v>
      </c>
      <c r="AL223" s="66"/>
      <c r="AM223" s="79">
        <v>0</v>
      </c>
      <c r="AN223" s="78">
        <f>AB223-AM223</f>
        <v>0</v>
      </c>
      <c r="AO223" s="66"/>
      <c r="AP223" s="79">
        <v>0</v>
      </c>
      <c r="AQ223" s="78">
        <f>AC223-AP223</f>
        <v>0</v>
      </c>
      <c r="AR223" s="66"/>
      <c r="AS223" s="66"/>
      <c r="AT223" s="66"/>
      <c r="AU223" s="66"/>
    </row>
    <row r="224" spans="1:47" ht="12.75" customHeight="1" x14ac:dyDescent="0.25">
      <c r="A224" s="112" t="s">
        <v>542</v>
      </c>
      <c r="B224" s="132"/>
      <c r="C224" s="132"/>
      <c r="D224" s="144">
        <v>0</v>
      </c>
      <c r="E224" s="144">
        <v>0</v>
      </c>
      <c r="F224" s="144">
        <v>0</v>
      </c>
      <c r="G224" s="144">
        <v>0</v>
      </c>
      <c r="H224" s="144">
        <v>0</v>
      </c>
      <c r="I224" s="144">
        <v>0</v>
      </c>
      <c r="J224" s="144">
        <v>0</v>
      </c>
      <c r="K224" s="144">
        <v>0</v>
      </c>
      <c r="L224" s="144">
        <v>0</v>
      </c>
      <c r="M224" s="144">
        <v>0</v>
      </c>
      <c r="N224" s="144">
        <v>0</v>
      </c>
      <c r="O224" s="144">
        <v>0</v>
      </c>
      <c r="P224" s="78">
        <f>SUM(D224:O224)</f>
        <v>0</v>
      </c>
      <c r="Q224" s="79">
        <f t="shared" si="181"/>
        <v>0</v>
      </c>
      <c r="R224" s="78">
        <f>P224-Q224</f>
        <v>0</v>
      </c>
      <c r="S224" s="87"/>
      <c r="T224" s="79">
        <v>0</v>
      </c>
      <c r="U224" s="79">
        <v>0</v>
      </c>
      <c r="V224" s="78">
        <f>T224-U224</f>
        <v>0</v>
      </c>
      <c r="W224" s="66"/>
      <c r="X224" s="66"/>
      <c r="Y224" s="66"/>
      <c r="Z224" s="66"/>
      <c r="AA224" s="122" t="str">
        <f>A224</f>
        <v xml:space="preserve">      Other</v>
      </c>
      <c r="AB224" s="114">
        <f>P224</f>
        <v>0</v>
      </c>
      <c r="AC224" s="79">
        <f t="shared" si="185"/>
        <v>0</v>
      </c>
      <c r="AD224" s="78">
        <f>AB224-AC224</f>
        <v>0</v>
      </c>
      <c r="AE224" s="66"/>
      <c r="AF224" s="78">
        <f t="shared" si="195"/>
        <v>0</v>
      </c>
      <c r="AG224" s="78">
        <f t="shared" si="195"/>
        <v>0</v>
      </c>
      <c r="AH224" s="78">
        <f>AF224-AG224</f>
        <v>0</v>
      </c>
      <c r="AI224" s="66"/>
      <c r="AJ224" s="78">
        <f>AC224-AG224</f>
        <v>0</v>
      </c>
      <c r="AK224" s="78">
        <f>AB224-AF224</f>
        <v>0</v>
      </c>
      <c r="AL224" s="66"/>
      <c r="AM224" s="79">
        <v>0</v>
      </c>
      <c r="AN224" s="78">
        <f>AB224-AM224</f>
        <v>0</v>
      </c>
      <c r="AO224" s="66"/>
      <c r="AP224" s="79">
        <v>0</v>
      </c>
      <c r="AQ224" s="78">
        <f>AC224-AP224</f>
        <v>0</v>
      </c>
      <c r="AR224" s="66"/>
      <c r="AS224" s="66"/>
      <c r="AT224" s="66"/>
      <c r="AU224" s="66"/>
    </row>
    <row r="225" spans="1:47" ht="12.75" customHeight="1" x14ac:dyDescent="0.25">
      <c r="A225" s="112" t="s">
        <v>548</v>
      </c>
      <c r="B225" s="132"/>
      <c r="C225" s="132"/>
      <c r="D225" s="144">
        <v>0</v>
      </c>
      <c r="E225" s="144">
        <v>0</v>
      </c>
      <c r="F225" s="144">
        <v>-106</v>
      </c>
      <c r="G225" s="144">
        <v>0</v>
      </c>
      <c r="H225" s="144">
        <v>0</v>
      </c>
      <c r="I225" s="144">
        <v>0</v>
      </c>
      <c r="J225" s="144">
        <v>0</v>
      </c>
      <c r="K225" s="144">
        <v>0</v>
      </c>
      <c r="L225" s="196">
        <f>500-500</f>
        <v>0</v>
      </c>
      <c r="M225" s="144">
        <v>0</v>
      </c>
      <c r="N225" s="144">
        <v>0</v>
      </c>
      <c r="O225" s="196">
        <f>2497-2497</f>
        <v>0</v>
      </c>
      <c r="P225" s="78">
        <f>SUM(D225:O225)</f>
        <v>-106</v>
      </c>
      <c r="Q225" s="79">
        <f t="shared" si="181"/>
        <v>-106</v>
      </c>
      <c r="R225" s="78">
        <f>P225-Q225</f>
        <v>0</v>
      </c>
      <c r="S225" s="87"/>
      <c r="T225" s="79">
        <v>0</v>
      </c>
      <c r="U225" s="79">
        <v>0</v>
      </c>
      <c r="V225" s="78">
        <f>T225-U225</f>
        <v>0</v>
      </c>
      <c r="W225" s="66"/>
      <c r="X225" s="66"/>
      <c r="Y225" s="66"/>
      <c r="Z225" s="66"/>
      <c r="AA225" s="122" t="str">
        <f>A225</f>
        <v xml:space="preserve">      Gain on Asset Sales (Offset Items)</v>
      </c>
      <c r="AB225" s="114">
        <f>P225</f>
        <v>-106</v>
      </c>
      <c r="AC225" s="79">
        <f t="shared" si="185"/>
        <v>-106</v>
      </c>
      <c r="AD225" s="78">
        <f>AB225-AC225</f>
        <v>0</v>
      </c>
      <c r="AE225" s="66"/>
      <c r="AF225" s="78">
        <f t="shared" si="195"/>
        <v>0</v>
      </c>
      <c r="AG225" s="78">
        <f t="shared" si="195"/>
        <v>0</v>
      </c>
      <c r="AH225" s="78">
        <f>AF225-AG225</f>
        <v>0</v>
      </c>
      <c r="AI225" s="66"/>
      <c r="AJ225" s="78">
        <f>AC225-AG225</f>
        <v>-106</v>
      </c>
      <c r="AK225" s="78">
        <f>AB225-AF225</f>
        <v>-106</v>
      </c>
      <c r="AL225" s="66"/>
      <c r="AM225" s="79">
        <v>-106</v>
      </c>
      <c r="AN225" s="78">
        <f>AB225-AM225</f>
        <v>0</v>
      </c>
      <c r="AO225" s="66"/>
      <c r="AP225" s="79">
        <v>-106</v>
      </c>
      <c r="AQ225" s="78">
        <f>AC225-AP225</f>
        <v>0</v>
      </c>
      <c r="AR225" s="66"/>
      <c r="AS225" s="66"/>
      <c r="AT225" s="66"/>
      <c r="AU225" s="66"/>
    </row>
    <row r="226" spans="1:47" ht="12.75" customHeight="1" x14ac:dyDescent="0.25">
      <c r="A226" s="112" t="s">
        <v>549</v>
      </c>
      <c r="B226" s="132"/>
      <c r="C226" s="132"/>
      <c r="D226" s="144">
        <v>0</v>
      </c>
      <c r="E226" s="144">
        <v>0</v>
      </c>
      <c r="F226" s="144">
        <v>0</v>
      </c>
      <c r="G226" s="144">
        <v>0</v>
      </c>
      <c r="H226" s="144">
        <v>0</v>
      </c>
      <c r="I226" s="144">
        <v>0</v>
      </c>
      <c r="J226" s="144">
        <v>0</v>
      </c>
      <c r="K226" s="144">
        <v>0</v>
      </c>
      <c r="L226" s="196">
        <f>-500+500</f>
        <v>0</v>
      </c>
      <c r="M226" s="144">
        <v>0</v>
      </c>
      <c r="N226" s="144">
        <v>0</v>
      </c>
      <c r="O226" s="196">
        <f>-14138+14138</f>
        <v>0</v>
      </c>
      <c r="P226" s="78">
        <f>SUM(D226:O226)</f>
        <v>0</v>
      </c>
      <c r="Q226" s="79">
        <f t="shared" si="181"/>
        <v>0</v>
      </c>
      <c r="R226" s="78">
        <f>P226-Q226</f>
        <v>0</v>
      </c>
      <c r="S226" s="87"/>
      <c r="T226" s="79">
        <v>0</v>
      </c>
      <c r="U226" s="79">
        <v>0</v>
      </c>
      <c r="V226" s="78">
        <f>T226-U226</f>
        <v>0</v>
      </c>
      <c r="W226" s="66"/>
      <c r="X226" s="66"/>
      <c r="Y226" s="66"/>
      <c r="Z226" s="66"/>
      <c r="AA226" s="122" t="str">
        <f>A226</f>
        <v xml:space="preserve">      Gross Asset Sales Proceeds (Offset Items)</v>
      </c>
      <c r="AB226" s="114">
        <f>P226</f>
        <v>0</v>
      </c>
      <c r="AC226" s="79">
        <f t="shared" si="185"/>
        <v>0</v>
      </c>
      <c r="AD226" s="78">
        <f>AB226-AC226</f>
        <v>0</v>
      </c>
      <c r="AE226" s="66"/>
      <c r="AF226" s="78">
        <f t="shared" si="195"/>
        <v>0</v>
      </c>
      <c r="AG226" s="78">
        <f t="shared" si="195"/>
        <v>0</v>
      </c>
      <c r="AH226" s="78">
        <f>AF226-AG226</f>
        <v>0</v>
      </c>
      <c r="AI226" s="66"/>
      <c r="AJ226" s="78">
        <f>AC226-AG226</f>
        <v>0</v>
      </c>
      <c r="AK226" s="78">
        <f>AB226-AF226</f>
        <v>0</v>
      </c>
      <c r="AL226" s="66"/>
      <c r="AM226" s="79">
        <v>0</v>
      </c>
      <c r="AN226" s="78">
        <f>AB226-AM226</f>
        <v>0</v>
      </c>
      <c r="AO226" s="66"/>
      <c r="AP226" s="79">
        <v>0</v>
      </c>
      <c r="AQ226" s="78">
        <f>AC226-AP226</f>
        <v>0</v>
      </c>
      <c r="AR226" s="66"/>
      <c r="AS226" s="66"/>
      <c r="AT226" s="66"/>
      <c r="AU226" s="66"/>
    </row>
    <row r="227" spans="1:47" ht="12.75" customHeight="1" x14ac:dyDescent="0.25">
      <c r="A227" s="112" t="s">
        <v>542</v>
      </c>
      <c r="B227" s="132"/>
      <c r="C227" s="132"/>
      <c r="D227" s="144">
        <v>0</v>
      </c>
      <c r="E227" s="144">
        <v>0</v>
      </c>
      <c r="F227" s="144">
        <v>0</v>
      </c>
      <c r="G227" s="144">
        <v>0</v>
      </c>
      <c r="H227" s="144">
        <v>0</v>
      </c>
      <c r="I227" s="144">
        <v>0</v>
      </c>
      <c r="J227" s="144">
        <v>0</v>
      </c>
      <c r="K227" s="144">
        <v>0</v>
      </c>
      <c r="L227" s="144">
        <v>0</v>
      </c>
      <c r="M227" s="144">
        <v>0</v>
      </c>
      <c r="N227" s="144">
        <v>0</v>
      </c>
      <c r="O227" s="144">
        <v>0</v>
      </c>
      <c r="P227" s="78">
        <f>SUM(D227:O227)</f>
        <v>0</v>
      </c>
      <c r="Q227" s="79">
        <f t="shared" si="181"/>
        <v>0</v>
      </c>
      <c r="R227" s="78">
        <f>P227-Q227</f>
        <v>0</v>
      </c>
      <c r="S227" s="87"/>
      <c r="T227" s="79">
        <v>0</v>
      </c>
      <c r="U227" s="79">
        <v>0</v>
      </c>
      <c r="V227" s="78">
        <f>T227-U227</f>
        <v>0</v>
      </c>
      <c r="W227" s="66"/>
      <c r="X227" s="66"/>
      <c r="Y227" s="66"/>
      <c r="Z227" s="66"/>
      <c r="AA227" s="122" t="str">
        <f>A227</f>
        <v xml:space="preserve">      Other</v>
      </c>
      <c r="AB227" s="114">
        <f>P227</f>
        <v>0</v>
      </c>
      <c r="AC227" s="79">
        <f t="shared" si="185"/>
        <v>0</v>
      </c>
      <c r="AD227" s="78">
        <f>AB227-AC227</f>
        <v>0</v>
      </c>
      <c r="AE227" s="66"/>
      <c r="AF227" s="78">
        <f t="shared" si="195"/>
        <v>0</v>
      </c>
      <c r="AG227" s="78">
        <f t="shared" si="195"/>
        <v>0</v>
      </c>
      <c r="AH227" s="78">
        <f>AF227-AG227</f>
        <v>0</v>
      </c>
      <c r="AI227" s="66"/>
      <c r="AJ227" s="78">
        <f>AC227-AG227</f>
        <v>0</v>
      </c>
      <c r="AK227" s="78">
        <f>AB227-AF227</f>
        <v>0</v>
      </c>
      <c r="AL227" s="66"/>
      <c r="AM227" s="79">
        <v>0</v>
      </c>
      <c r="AN227" s="78">
        <f>AB227-AM227</f>
        <v>0</v>
      </c>
      <c r="AO227" s="66"/>
      <c r="AP227" s="79">
        <v>0</v>
      </c>
      <c r="AQ227" s="78">
        <f>AC227-AP227</f>
        <v>0</v>
      </c>
      <c r="AR227" s="66"/>
      <c r="AS227" s="66"/>
      <c r="AT227" s="66"/>
      <c r="AU227" s="66"/>
    </row>
    <row r="228" spans="1:47" ht="12.75" customHeight="1" x14ac:dyDescent="0.25">
      <c r="A228" s="112" t="s">
        <v>542</v>
      </c>
      <c r="B228" s="132"/>
      <c r="C228" s="132"/>
      <c r="D228" s="144">
        <v>0</v>
      </c>
      <c r="E228" s="144">
        <v>0</v>
      </c>
      <c r="F228" s="144">
        <v>0</v>
      </c>
      <c r="G228" s="144">
        <v>0</v>
      </c>
      <c r="H228" s="144">
        <v>0</v>
      </c>
      <c r="I228" s="144">
        <v>0</v>
      </c>
      <c r="J228" s="144">
        <v>0</v>
      </c>
      <c r="K228" s="144">
        <v>0</v>
      </c>
      <c r="L228" s="144">
        <v>0</v>
      </c>
      <c r="M228" s="144">
        <v>0</v>
      </c>
      <c r="N228" s="144">
        <v>0</v>
      </c>
      <c r="O228" s="144">
        <v>0</v>
      </c>
      <c r="P228" s="78">
        <f t="shared" si="180"/>
        <v>0</v>
      </c>
      <c r="Q228" s="79">
        <f t="shared" si="181"/>
        <v>0</v>
      </c>
      <c r="R228" s="78">
        <f t="shared" si="182"/>
        <v>0</v>
      </c>
      <c r="S228" s="87"/>
      <c r="T228" s="213">
        <f>1284-1284</f>
        <v>0</v>
      </c>
      <c r="U228" s="213">
        <f>963-963</f>
        <v>0</v>
      </c>
      <c r="V228" s="78">
        <f t="shared" si="183"/>
        <v>0</v>
      </c>
      <c r="W228" s="66"/>
      <c r="X228" s="66"/>
      <c r="Y228" s="66"/>
      <c r="Z228" s="66"/>
      <c r="AA228" s="122" t="str">
        <f t="shared" si="179"/>
        <v xml:space="preserve">      Other</v>
      </c>
      <c r="AB228" s="114">
        <f t="shared" si="184"/>
        <v>0</v>
      </c>
      <c r="AC228" s="79">
        <f t="shared" si="185"/>
        <v>0</v>
      </c>
      <c r="AD228" s="78">
        <f t="shared" si="186"/>
        <v>0</v>
      </c>
      <c r="AE228" s="66"/>
      <c r="AF228" s="78">
        <f t="shared" si="187"/>
        <v>0</v>
      </c>
      <c r="AG228" s="78">
        <f t="shared" si="188"/>
        <v>0</v>
      </c>
      <c r="AH228" s="78">
        <f t="shared" si="189"/>
        <v>0</v>
      </c>
      <c r="AI228" s="66"/>
      <c r="AJ228" s="78">
        <f t="shared" si="190"/>
        <v>0</v>
      </c>
      <c r="AK228" s="78">
        <f t="shared" si="191"/>
        <v>0</v>
      </c>
      <c r="AL228" s="66"/>
      <c r="AM228" s="79">
        <v>0</v>
      </c>
      <c r="AN228" s="78">
        <f t="shared" si="192"/>
        <v>0</v>
      </c>
      <c r="AO228" s="66"/>
      <c r="AP228" s="79">
        <v>0</v>
      </c>
      <c r="AQ228" s="78">
        <f t="shared" si="193"/>
        <v>0</v>
      </c>
      <c r="AR228" s="66"/>
      <c r="AS228" s="66"/>
      <c r="AT228" s="66"/>
      <c r="AU228" s="66"/>
    </row>
    <row r="229" spans="1:47" ht="12.75" customHeight="1" x14ac:dyDescent="0.25">
      <c r="A229" s="112" t="s">
        <v>550</v>
      </c>
      <c r="B229" s="132"/>
      <c r="C229" s="132"/>
      <c r="D229" s="185">
        <f t="shared" ref="D229:O229" si="196">D313</f>
        <v>9</v>
      </c>
      <c r="E229" s="196">
        <f>E313-200</f>
        <v>0</v>
      </c>
      <c r="F229" s="185">
        <f t="shared" si="196"/>
        <v>11552</v>
      </c>
      <c r="G229" s="185">
        <f t="shared" si="196"/>
        <v>755</v>
      </c>
      <c r="H229" s="185">
        <f t="shared" si="196"/>
        <v>-326</v>
      </c>
      <c r="I229" s="185">
        <f t="shared" si="196"/>
        <v>325</v>
      </c>
      <c r="J229" s="185">
        <f t="shared" si="196"/>
        <v>44</v>
      </c>
      <c r="K229" s="185">
        <f t="shared" si="196"/>
        <v>244</v>
      </c>
      <c r="L229" s="185">
        <f t="shared" si="196"/>
        <v>-244</v>
      </c>
      <c r="M229" s="185">
        <f t="shared" si="196"/>
        <v>0</v>
      </c>
      <c r="N229" s="185">
        <f t="shared" si="196"/>
        <v>0</v>
      </c>
      <c r="O229" s="185">
        <f t="shared" si="196"/>
        <v>161</v>
      </c>
      <c r="P229" s="78">
        <f t="shared" si="180"/>
        <v>12520</v>
      </c>
      <c r="Q229" s="79">
        <f t="shared" si="181"/>
        <v>12359</v>
      </c>
      <c r="R229" s="78">
        <f t="shared" si="182"/>
        <v>161</v>
      </c>
      <c r="S229" s="87"/>
      <c r="T229" s="79">
        <v>0</v>
      </c>
      <c r="U229" s="79">
        <v>0</v>
      </c>
      <c r="V229" s="78">
        <f t="shared" si="183"/>
        <v>0</v>
      </c>
      <c r="W229" s="66"/>
      <c r="X229" s="66"/>
      <c r="Y229" s="66"/>
      <c r="Z229" s="66"/>
      <c r="AA229" s="122" t="str">
        <f t="shared" si="179"/>
        <v xml:space="preserve">      Total Current Liability Reserve Activity</v>
      </c>
      <c r="AB229" s="114">
        <f t="shared" si="184"/>
        <v>12520</v>
      </c>
      <c r="AC229" s="79">
        <f t="shared" si="185"/>
        <v>12359</v>
      </c>
      <c r="AD229" s="78">
        <f t="shared" si="186"/>
        <v>161</v>
      </c>
      <c r="AE229" s="66"/>
      <c r="AF229" s="78">
        <f t="shared" si="187"/>
        <v>0</v>
      </c>
      <c r="AG229" s="78">
        <f t="shared" si="188"/>
        <v>0</v>
      </c>
      <c r="AH229" s="78">
        <f t="shared" si="189"/>
        <v>0</v>
      </c>
      <c r="AI229" s="66"/>
      <c r="AJ229" s="78">
        <f t="shared" si="190"/>
        <v>12359</v>
      </c>
      <c r="AK229" s="78">
        <f t="shared" si="191"/>
        <v>12520</v>
      </c>
      <c r="AL229" s="66"/>
      <c r="AM229" s="79">
        <v>35</v>
      </c>
      <c r="AN229" s="78">
        <f t="shared" si="192"/>
        <v>12485</v>
      </c>
      <c r="AO229" s="66"/>
      <c r="AP229" s="79">
        <v>35</v>
      </c>
      <c r="AQ229" s="78">
        <f t="shared" si="193"/>
        <v>12324</v>
      </c>
      <c r="AR229" s="66"/>
      <c r="AS229" s="66"/>
      <c r="AT229" s="66"/>
      <c r="AU229" s="66"/>
    </row>
    <row r="230" spans="1:47" ht="12.75" customHeight="1" x14ac:dyDescent="0.25">
      <c r="A230" s="112" t="s">
        <v>551</v>
      </c>
      <c r="B230" s="132"/>
      <c r="C230" s="132"/>
      <c r="D230" s="144">
        <v>0</v>
      </c>
      <c r="E230" s="196">
        <f>200</f>
        <v>200</v>
      </c>
      <c r="F230" s="196">
        <v>-200</v>
      </c>
      <c r="G230" s="144">
        <v>0</v>
      </c>
      <c r="H230" s="144">
        <v>0</v>
      </c>
      <c r="I230" s="144">
        <v>0</v>
      </c>
      <c r="J230" s="144">
        <v>0</v>
      </c>
      <c r="K230" s="144">
        <v>0</v>
      </c>
      <c r="L230" s="144">
        <v>0</v>
      </c>
      <c r="M230" s="144">
        <v>0</v>
      </c>
      <c r="N230" s="144">
        <v>0</v>
      </c>
      <c r="O230" s="144">
        <v>0</v>
      </c>
      <c r="P230" s="78">
        <f>SUM(D230:O230)</f>
        <v>0</v>
      </c>
      <c r="Q230" s="79">
        <f t="shared" si="181"/>
        <v>0</v>
      </c>
      <c r="R230" s="78">
        <f>P230-Q230</f>
        <v>0</v>
      </c>
      <c r="S230" s="87"/>
      <c r="T230" s="213">
        <f>1284-1284</f>
        <v>0</v>
      </c>
      <c r="U230" s="213">
        <f>963-963</f>
        <v>0</v>
      </c>
      <c r="V230" s="78">
        <f>T230-U230</f>
        <v>0</v>
      </c>
      <c r="W230" s="66"/>
      <c r="X230" s="66"/>
      <c r="Y230" s="66"/>
      <c r="Z230" s="66"/>
      <c r="AA230" s="122" t="str">
        <f>A230</f>
        <v xml:space="preserve">         Other ?? (Grynberg Legal Reserve Adjustment)</v>
      </c>
      <c r="AB230" s="114">
        <f>P230</f>
        <v>0</v>
      </c>
      <c r="AC230" s="79">
        <f t="shared" si="185"/>
        <v>0</v>
      </c>
      <c r="AD230" s="78">
        <f>AB230-AC230</f>
        <v>0</v>
      </c>
      <c r="AE230" s="66"/>
      <c r="AF230" s="78">
        <f>T230</f>
        <v>0</v>
      </c>
      <c r="AG230" s="78">
        <f>U230</f>
        <v>0</v>
      </c>
      <c r="AH230" s="78">
        <f>AF230-AG230</f>
        <v>0</v>
      </c>
      <c r="AI230" s="66"/>
      <c r="AJ230" s="78">
        <f>AC230-AG230</f>
        <v>0</v>
      </c>
      <c r="AK230" s="78">
        <f>AB230-AF230</f>
        <v>0</v>
      </c>
      <c r="AL230" s="66"/>
      <c r="AM230" s="79">
        <v>0</v>
      </c>
      <c r="AN230" s="78">
        <f>AB230-AM230</f>
        <v>0</v>
      </c>
      <c r="AO230" s="66"/>
      <c r="AP230" s="79">
        <v>0</v>
      </c>
      <c r="AQ230" s="78">
        <f>AC230-AP230</f>
        <v>0</v>
      </c>
      <c r="AR230" s="66"/>
      <c r="AS230" s="66"/>
      <c r="AT230" s="66"/>
      <c r="AU230" s="66"/>
    </row>
    <row r="231" spans="1:47" ht="12.75" customHeight="1" x14ac:dyDescent="0.25">
      <c r="A231" s="112" t="s">
        <v>552</v>
      </c>
      <c r="B231" s="132"/>
      <c r="C231" s="132"/>
      <c r="D231" s="144">
        <v>0</v>
      </c>
      <c r="E231" s="144">
        <v>0</v>
      </c>
      <c r="F231" s="144">
        <v>0</v>
      </c>
      <c r="G231" s="144">
        <v>0</v>
      </c>
      <c r="H231" s="144">
        <v>0</v>
      </c>
      <c r="I231" s="144">
        <v>0</v>
      </c>
      <c r="J231" s="144">
        <v>0</v>
      </c>
      <c r="K231" s="144">
        <v>0</v>
      </c>
      <c r="L231" s="144">
        <v>0</v>
      </c>
      <c r="M231" s="144">
        <v>0</v>
      </c>
      <c r="N231" s="144">
        <v>0</v>
      </c>
      <c r="O231" s="144">
        <v>0</v>
      </c>
      <c r="P231" s="78">
        <f t="shared" si="180"/>
        <v>0</v>
      </c>
      <c r="Q231" s="79">
        <f t="shared" si="181"/>
        <v>0</v>
      </c>
      <c r="R231" s="78">
        <f t="shared" si="182"/>
        <v>0</v>
      </c>
      <c r="S231" s="87"/>
      <c r="T231" s="79">
        <v>0</v>
      </c>
      <c r="U231" s="79">
        <v>0</v>
      </c>
      <c r="V231" s="78">
        <f t="shared" si="183"/>
        <v>0</v>
      </c>
      <c r="W231" s="66"/>
      <c r="X231" s="66"/>
      <c r="Y231" s="66"/>
      <c r="Z231" s="66"/>
      <c r="AA231" s="122" t="str">
        <f t="shared" si="179"/>
        <v xml:space="preserve">      All Capital Costs (Net of Tax)</v>
      </c>
      <c r="AB231" s="114">
        <f t="shared" si="184"/>
        <v>0</v>
      </c>
      <c r="AC231" s="79">
        <f t="shared" si="185"/>
        <v>0</v>
      </c>
      <c r="AD231" s="78">
        <f t="shared" si="186"/>
        <v>0</v>
      </c>
      <c r="AE231" s="66"/>
      <c r="AF231" s="78">
        <f t="shared" si="187"/>
        <v>0</v>
      </c>
      <c r="AG231" s="78">
        <f t="shared" si="188"/>
        <v>0</v>
      </c>
      <c r="AH231" s="78">
        <f t="shared" si="189"/>
        <v>0</v>
      </c>
      <c r="AI231" s="66"/>
      <c r="AJ231" s="78">
        <f t="shared" si="190"/>
        <v>0</v>
      </c>
      <c r="AK231" s="78">
        <f t="shared" si="191"/>
        <v>0</v>
      </c>
      <c r="AL231" s="66"/>
      <c r="AM231" s="79">
        <v>0</v>
      </c>
      <c r="AN231" s="78">
        <f t="shared" si="192"/>
        <v>0</v>
      </c>
      <c r="AO231" s="66"/>
      <c r="AP231" s="79">
        <v>0</v>
      </c>
      <c r="AQ231" s="78">
        <f t="shared" si="193"/>
        <v>0</v>
      </c>
      <c r="AR231" s="66"/>
      <c r="AS231" s="66"/>
      <c r="AT231" s="66"/>
      <c r="AU231" s="66"/>
    </row>
    <row r="232" spans="1:47" ht="12.75" customHeight="1" x14ac:dyDescent="0.25">
      <c r="A232" s="112" t="s">
        <v>553</v>
      </c>
      <c r="B232" s="132"/>
      <c r="C232" s="132"/>
      <c r="D232" s="144">
        <v>0</v>
      </c>
      <c r="E232" s="144">
        <v>0</v>
      </c>
      <c r="F232" s="144">
        <v>0</v>
      </c>
      <c r="G232" s="144">
        <v>0</v>
      </c>
      <c r="H232" s="144">
        <v>0</v>
      </c>
      <c r="I232" s="144">
        <v>0</v>
      </c>
      <c r="J232" s="144">
        <v>0</v>
      </c>
      <c r="K232" s="144">
        <v>0</v>
      </c>
      <c r="L232" s="144">
        <v>0</v>
      </c>
      <c r="M232" s="144">
        <v>0</v>
      </c>
      <c r="N232" s="144">
        <v>0</v>
      </c>
      <c r="O232" s="144">
        <v>0</v>
      </c>
      <c r="P232" s="78">
        <f t="shared" si="180"/>
        <v>0</v>
      </c>
      <c r="Q232" s="79">
        <f t="shared" si="181"/>
        <v>0</v>
      </c>
      <c r="R232" s="78">
        <f t="shared" si="182"/>
        <v>0</v>
      </c>
      <c r="S232" s="87"/>
      <c r="T232" s="79">
        <v>0</v>
      </c>
      <c r="U232" s="79">
        <v>0</v>
      </c>
      <c r="V232" s="78">
        <f t="shared" si="183"/>
        <v>0</v>
      </c>
      <c r="W232" s="66"/>
      <c r="X232" s="66"/>
      <c r="Y232" s="66"/>
      <c r="Z232" s="66"/>
      <c r="AA232" s="122" t="str">
        <f t="shared" si="179"/>
        <v xml:space="preserve">      Hyperion Adjust. / Reversal (DD&amp;A and Deferred Taxes)</v>
      </c>
      <c r="AB232" s="114">
        <f t="shared" si="184"/>
        <v>0</v>
      </c>
      <c r="AC232" s="79">
        <f t="shared" si="185"/>
        <v>0</v>
      </c>
      <c r="AD232" s="78">
        <f t="shared" si="186"/>
        <v>0</v>
      </c>
      <c r="AE232" s="66"/>
      <c r="AF232" s="78">
        <f t="shared" si="187"/>
        <v>0</v>
      </c>
      <c r="AG232" s="78">
        <f t="shared" si="188"/>
        <v>0</v>
      </c>
      <c r="AH232" s="78">
        <f t="shared" si="189"/>
        <v>0</v>
      </c>
      <c r="AI232" s="66"/>
      <c r="AJ232" s="78">
        <f t="shared" si="190"/>
        <v>0</v>
      </c>
      <c r="AK232" s="78">
        <f t="shared" si="191"/>
        <v>0</v>
      </c>
      <c r="AL232" s="66"/>
      <c r="AM232" s="79">
        <v>0</v>
      </c>
      <c r="AN232" s="78">
        <f t="shared" si="192"/>
        <v>0</v>
      </c>
      <c r="AO232" s="66"/>
      <c r="AP232" s="79">
        <v>0</v>
      </c>
      <c r="AQ232" s="78">
        <f t="shared" si="193"/>
        <v>0</v>
      </c>
      <c r="AR232" s="66"/>
      <c r="AS232" s="66"/>
      <c r="AT232" s="66"/>
      <c r="AU232" s="66"/>
    </row>
    <row r="233" spans="1:47" ht="12.75" customHeight="1" x14ac:dyDescent="0.25">
      <c r="A233" s="135" t="s">
        <v>554</v>
      </c>
      <c r="B233" s="132"/>
      <c r="C233" s="132"/>
      <c r="D233" s="137">
        <f t="shared" ref="D233:O233" si="197">D235-SUM(D219:D232)</f>
        <v>-3</v>
      </c>
      <c r="E233" s="137">
        <f t="shared" si="197"/>
        <v>-1</v>
      </c>
      <c r="F233" s="137">
        <f t="shared" si="197"/>
        <v>2</v>
      </c>
      <c r="G233" s="137">
        <f t="shared" si="197"/>
        <v>-2</v>
      </c>
      <c r="H233" s="137">
        <f t="shared" si="197"/>
        <v>6</v>
      </c>
      <c r="I233" s="137">
        <f t="shared" si="197"/>
        <v>-3</v>
      </c>
      <c r="J233" s="137">
        <f t="shared" si="197"/>
        <v>1</v>
      </c>
      <c r="K233" s="137">
        <f t="shared" si="197"/>
        <v>0</v>
      </c>
      <c r="L233" s="137">
        <f t="shared" si="197"/>
        <v>0</v>
      </c>
      <c r="M233" s="137">
        <f t="shared" si="197"/>
        <v>0</v>
      </c>
      <c r="N233" s="137">
        <f t="shared" si="197"/>
        <v>0</v>
      </c>
      <c r="O233" s="137">
        <f t="shared" si="197"/>
        <v>0</v>
      </c>
      <c r="P233" s="83">
        <f t="shared" si="180"/>
        <v>0</v>
      </c>
      <c r="Q233" s="101">
        <f t="shared" si="181"/>
        <v>0</v>
      </c>
      <c r="R233" s="83">
        <f t="shared" si="182"/>
        <v>0</v>
      </c>
      <c r="S233" s="138"/>
      <c r="T233" s="137">
        <f>T235-SUM(T219:T232)</f>
        <v>0</v>
      </c>
      <c r="U233" s="137">
        <f>U235-SUM(U219:U232)</f>
        <v>0</v>
      </c>
      <c r="V233" s="83">
        <f t="shared" si="183"/>
        <v>0</v>
      </c>
      <c r="W233" s="66"/>
      <c r="X233" s="66"/>
      <c r="Y233" s="66"/>
      <c r="Z233" s="66"/>
      <c r="AA233" s="122" t="str">
        <f t="shared" si="179"/>
        <v xml:space="preserve">      Others, net</v>
      </c>
      <c r="AB233" s="116">
        <f t="shared" si="184"/>
        <v>0</v>
      </c>
      <c r="AC233" s="101">
        <f t="shared" si="185"/>
        <v>0</v>
      </c>
      <c r="AD233" s="83">
        <f t="shared" si="186"/>
        <v>0</v>
      </c>
      <c r="AE233" s="66"/>
      <c r="AF233" s="83">
        <f t="shared" si="187"/>
        <v>0</v>
      </c>
      <c r="AG233" s="83">
        <f t="shared" si="188"/>
        <v>0</v>
      </c>
      <c r="AH233" s="83">
        <f t="shared" si="189"/>
        <v>0</v>
      </c>
      <c r="AI233" s="66"/>
      <c r="AJ233" s="83">
        <f t="shared" si="190"/>
        <v>0</v>
      </c>
      <c r="AK233" s="83">
        <f t="shared" si="191"/>
        <v>0</v>
      </c>
      <c r="AL233" s="66"/>
      <c r="AM233" s="137">
        <f>AM235-SUM(AM219:AM232)</f>
        <v>2</v>
      </c>
      <c r="AN233" s="83">
        <f t="shared" si="192"/>
        <v>-2</v>
      </c>
      <c r="AO233" s="84"/>
      <c r="AP233" s="137">
        <f>AP235-SUM(AP219:AP232)</f>
        <v>2</v>
      </c>
      <c r="AQ233" s="83">
        <f t="shared" si="193"/>
        <v>-2</v>
      </c>
      <c r="AR233" s="66"/>
      <c r="AS233" s="66"/>
      <c r="AT233" s="66"/>
      <c r="AU233" s="66"/>
    </row>
    <row r="234" spans="1:47" ht="3.9" customHeight="1" x14ac:dyDescent="0.25">
      <c r="A234" s="140"/>
      <c r="B234" s="132"/>
      <c r="C234" s="132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66"/>
      <c r="W234" s="66"/>
      <c r="X234" s="66"/>
      <c r="Y234" s="66"/>
      <c r="Z234" s="66"/>
      <c r="AA234" s="63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</row>
    <row r="235" spans="1:47" ht="12.75" customHeight="1" x14ac:dyDescent="0.25">
      <c r="A235" s="135" t="s">
        <v>555</v>
      </c>
      <c r="B235" s="132"/>
      <c r="C235" s="132"/>
      <c r="D235" s="137">
        <f t="shared" ref="D235:R235" si="198">D237-D216</f>
        <v>6</v>
      </c>
      <c r="E235" s="137">
        <f t="shared" si="198"/>
        <v>199</v>
      </c>
      <c r="F235" s="137">
        <f t="shared" si="198"/>
        <v>11248</v>
      </c>
      <c r="G235" s="137">
        <f t="shared" si="198"/>
        <v>753</v>
      </c>
      <c r="H235" s="137">
        <f t="shared" si="198"/>
        <v>-262</v>
      </c>
      <c r="I235" s="137">
        <f t="shared" si="198"/>
        <v>322</v>
      </c>
      <c r="J235" s="137">
        <f t="shared" si="198"/>
        <v>45</v>
      </c>
      <c r="K235" s="137">
        <f t="shared" si="198"/>
        <v>244</v>
      </c>
      <c r="L235" s="137">
        <f t="shared" si="198"/>
        <v>-244</v>
      </c>
      <c r="M235" s="137">
        <f t="shared" si="198"/>
        <v>0</v>
      </c>
      <c r="N235" s="137">
        <f t="shared" si="198"/>
        <v>0</v>
      </c>
      <c r="O235" s="137">
        <f t="shared" si="198"/>
        <v>161</v>
      </c>
      <c r="P235" s="137">
        <f t="shared" si="198"/>
        <v>12472</v>
      </c>
      <c r="Q235" s="137">
        <f t="shared" si="198"/>
        <v>12311</v>
      </c>
      <c r="R235" s="137">
        <f t="shared" si="198"/>
        <v>161</v>
      </c>
      <c r="S235" s="87"/>
      <c r="T235" s="137">
        <f>T237-T216</f>
        <v>0</v>
      </c>
      <c r="U235" s="137">
        <f>U237-U216</f>
        <v>0</v>
      </c>
      <c r="V235" s="137">
        <f>V237-V216</f>
        <v>0</v>
      </c>
      <c r="W235" s="66"/>
      <c r="X235" s="66"/>
      <c r="Y235" s="66"/>
      <c r="Z235" s="66"/>
      <c r="AA235" s="122" t="str">
        <f>A235</f>
        <v xml:space="preserve">         Subtotal (Financial Reporting)</v>
      </c>
      <c r="AB235" s="137">
        <f>AB237-AB216</f>
        <v>12472</v>
      </c>
      <c r="AC235" s="137">
        <f>AC237-AC216</f>
        <v>12311</v>
      </c>
      <c r="AD235" s="137">
        <f>AD237-AD216</f>
        <v>161</v>
      </c>
      <c r="AE235" s="66"/>
      <c r="AF235" s="137">
        <f>AF237-AF216</f>
        <v>0</v>
      </c>
      <c r="AG235" s="137">
        <f>AG237-AG216</f>
        <v>0</v>
      </c>
      <c r="AH235" s="137">
        <f>AH237-AH216</f>
        <v>0</v>
      </c>
      <c r="AI235" s="66"/>
      <c r="AJ235" s="137">
        <f>AJ237-AJ216</f>
        <v>12311</v>
      </c>
      <c r="AK235" s="137">
        <f>AK237-AK216</f>
        <v>12472</v>
      </c>
      <c r="AL235" s="66"/>
      <c r="AM235" s="137">
        <f>AM237-AM216</f>
        <v>-11</v>
      </c>
      <c r="AN235" s="137">
        <f>AN237-AN216</f>
        <v>12483</v>
      </c>
      <c r="AO235" s="66"/>
      <c r="AP235" s="137">
        <f>AP237-AP216</f>
        <v>-11</v>
      </c>
      <c r="AQ235" s="137">
        <f>AQ237-AQ216</f>
        <v>12322</v>
      </c>
      <c r="AR235" s="66"/>
      <c r="AS235" s="66"/>
      <c r="AT235" s="66"/>
      <c r="AU235" s="66"/>
    </row>
    <row r="236" spans="1:47" ht="6" customHeight="1" x14ac:dyDescent="0.25">
      <c r="A236" s="140"/>
      <c r="B236" s="132"/>
      <c r="C236" s="132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66"/>
      <c r="X236" s="66"/>
      <c r="Y236" s="66"/>
      <c r="Z236" s="66"/>
      <c r="AA236" s="63"/>
      <c r="AB236" s="87"/>
      <c r="AC236" s="87"/>
      <c r="AD236" s="87"/>
      <c r="AE236" s="66"/>
      <c r="AF236" s="87"/>
      <c r="AG236" s="87"/>
      <c r="AH236" s="87"/>
      <c r="AI236" s="66"/>
      <c r="AJ236" s="87"/>
      <c r="AK236" s="87"/>
      <c r="AL236" s="66"/>
      <c r="AM236" s="87"/>
      <c r="AN236" s="87"/>
      <c r="AO236" s="66"/>
      <c r="AP236" s="87"/>
      <c r="AQ236" s="87"/>
      <c r="AR236" s="66"/>
      <c r="AS236" s="66"/>
      <c r="AT236" s="66"/>
      <c r="AU236" s="66"/>
    </row>
    <row r="237" spans="1:47" ht="12.75" customHeight="1" x14ac:dyDescent="0.25">
      <c r="A237" s="139" t="s">
        <v>556</v>
      </c>
      <c r="B237" s="131"/>
      <c r="C237" s="131"/>
      <c r="D237" s="217">
        <f t="shared" ref="D237:R237" si="199">D12+D32</f>
        <v>-33</v>
      </c>
      <c r="E237" s="217">
        <f t="shared" si="199"/>
        <v>-577</v>
      </c>
      <c r="F237" s="217">
        <f t="shared" si="199"/>
        <v>11526</v>
      </c>
      <c r="G237" s="217">
        <f t="shared" si="199"/>
        <v>395</v>
      </c>
      <c r="H237" s="217">
        <f t="shared" si="199"/>
        <v>-931</v>
      </c>
      <c r="I237" s="217">
        <f t="shared" si="199"/>
        <v>-152</v>
      </c>
      <c r="J237" s="217">
        <f t="shared" si="199"/>
        <v>-285</v>
      </c>
      <c r="K237" s="217">
        <f t="shared" si="199"/>
        <v>168</v>
      </c>
      <c r="L237" s="217">
        <f t="shared" si="199"/>
        <v>-320</v>
      </c>
      <c r="M237" s="217">
        <f t="shared" si="199"/>
        <v>-75</v>
      </c>
      <c r="N237" s="217">
        <f t="shared" si="199"/>
        <v>-77</v>
      </c>
      <c r="O237" s="217">
        <f t="shared" si="199"/>
        <v>85</v>
      </c>
      <c r="P237" s="217">
        <f t="shared" si="199"/>
        <v>9724</v>
      </c>
      <c r="Q237" s="217">
        <f t="shared" si="199"/>
        <v>9943</v>
      </c>
      <c r="R237" s="217">
        <f t="shared" si="199"/>
        <v>-219</v>
      </c>
      <c r="S237" s="87"/>
      <c r="T237" s="217">
        <f>T12+T32</f>
        <v>-10936</v>
      </c>
      <c r="U237" s="217">
        <f>U12+U32</f>
        <v>-8188</v>
      </c>
      <c r="V237" s="217">
        <f>V12+V32</f>
        <v>-2748</v>
      </c>
      <c r="W237" s="66"/>
      <c r="X237" s="66"/>
      <c r="Y237" s="66"/>
      <c r="Z237" s="66"/>
      <c r="AA237" s="63" t="str">
        <f>A237</f>
        <v xml:space="preserve">      Total Other Items</v>
      </c>
      <c r="AB237" s="217">
        <f>AB12+AB32</f>
        <v>9724</v>
      </c>
      <c r="AC237" s="217">
        <f>AC12+AC32</f>
        <v>9791</v>
      </c>
      <c r="AD237" s="217">
        <f>AD12+AD32</f>
        <v>-67</v>
      </c>
      <c r="AE237" s="66"/>
      <c r="AF237" s="217">
        <f>AF12+AF32</f>
        <v>-10936</v>
      </c>
      <c r="AG237" s="217">
        <f>AG12+AG32</f>
        <v>-8188</v>
      </c>
      <c r="AH237" s="217">
        <f>AH12+AH32</f>
        <v>-2748</v>
      </c>
      <c r="AI237" s="66"/>
      <c r="AJ237" s="217">
        <f>AJ12+AJ32</f>
        <v>17979</v>
      </c>
      <c r="AK237" s="217">
        <f>AK12+AK32</f>
        <v>20660</v>
      </c>
      <c r="AL237" s="66"/>
      <c r="AM237" s="217">
        <f>AM12+AM32</f>
        <v>-2503</v>
      </c>
      <c r="AN237" s="217">
        <f>AN12+AN32</f>
        <v>12227</v>
      </c>
      <c r="AO237" s="66"/>
      <c r="AP237" s="217">
        <f>AP12+AP32</f>
        <v>-2275</v>
      </c>
      <c r="AQ237" s="217">
        <f>AQ12+AQ32</f>
        <v>12066</v>
      </c>
      <c r="AR237" s="66"/>
      <c r="AS237" s="66"/>
      <c r="AT237" s="66"/>
      <c r="AU237" s="66"/>
    </row>
    <row r="238" spans="1:47" ht="12.75" customHeight="1" x14ac:dyDescent="0.25">
      <c r="A238" s="132"/>
      <c r="B238" s="132"/>
      <c r="C238" s="132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66"/>
      <c r="X238" s="66"/>
      <c r="Y238" s="66"/>
      <c r="Z238" s="66"/>
      <c r="AA238" s="63"/>
      <c r="AB238" s="87"/>
      <c r="AC238" s="87"/>
      <c r="AD238" s="87"/>
      <c r="AE238" s="66"/>
      <c r="AF238" s="87"/>
      <c r="AG238" s="87"/>
      <c r="AH238" s="87"/>
      <c r="AI238" s="66"/>
      <c r="AJ238" s="87"/>
      <c r="AK238" s="87"/>
      <c r="AL238" s="66"/>
      <c r="AM238" s="87"/>
      <c r="AN238" s="87"/>
      <c r="AO238" s="66"/>
      <c r="AP238" s="87"/>
      <c r="AQ238" s="87"/>
      <c r="AR238" s="66"/>
      <c r="AS238" s="66"/>
      <c r="AT238" s="66"/>
      <c r="AU238" s="66"/>
    </row>
    <row r="239" spans="1:47" ht="12.75" customHeight="1" x14ac:dyDescent="0.25">
      <c r="A239" s="145" t="s">
        <v>557</v>
      </c>
      <c r="B239" s="132"/>
      <c r="C239" s="132"/>
      <c r="D239" s="146">
        <f>D237</f>
        <v>-33</v>
      </c>
      <c r="E239" s="146">
        <f t="shared" ref="E239:V239" si="200">E237</f>
        <v>-577</v>
      </c>
      <c r="F239" s="146">
        <f t="shared" si="200"/>
        <v>11526</v>
      </c>
      <c r="G239" s="146">
        <f t="shared" si="200"/>
        <v>395</v>
      </c>
      <c r="H239" s="146">
        <f t="shared" si="200"/>
        <v>-931</v>
      </c>
      <c r="I239" s="146">
        <f t="shared" si="200"/>
        <v>-152</v>
      </c>
      <c r="J239" s="146">
        <f t="shared" si="200"/>
        <v>-285</v>
      </c>
      <c r="K239" s="146">
        <f t="shared" si="200"/>
        <v>168</v>
      </c>
      <c r="L239" s="146">
        <f t="shared" si="200"/>
        <v>-320</v>
      </c>
      <c r="M239" s="146">
        <f t="shared" si="200"/>
        <v>-75</v>
      </c>
      <c r="N239" s="146">
        <f t="shared" si="200"/>
        <v>-77</v>
      </c>
      <c r="O239" s="146">
        <f t="shared" si="200"/>
        <v>85</v>
      </c>
      <c r="P239" s="146">
        <f t="shared" si="200"/>
        <v>9724</v>
      </c>
      <c r="Q239" s="146">
        <f t="shared" si="200"/>
        <v>9943</v>
      </c>
      <c r="R239" s="146">
        <f t="shared" si="200"/>
        <v>-219</v>
      </c>
      <c r="S239" s="87"/>
      <c r="T239" s="146">
        <f t="shared" si="200"/>
        <v>-10936</v>
      </c>
      <c r="U239" s="146">
        <f t="shared" si="200"/>
        <v>-8188</v>
      </c>
      <c r="V239" s="146">
        <f t="shared" si="200"/>
        <v>-2748</v>
      </c>
      <c r="W239" s="66"/>
      <c r="X239" s="66"/>
      <c r="Y239" s="66"/>
      <c r="Z239" s="66"/>
      <c r="AA239" s="108" t="str">
        <f>A239</f>
        <v>TOTAL " OTHER "</v>
      </c>
      <c r="AB239" s="146">
        <f>AB237</f>
        <v>9724</v>
      </c>
      <c r="AC239" s="146">
        <f t="shared" ref="AC239:AQ239" si="201">AC237</f>
        <v>9791</v>
      </c>
      <c r="AD239" s="146">
        <f t="shared" si="201"/>
        <v>-67</v>
      </c>
      <c r="AE239" s="66"/>
      <c r="AF239" s="146">
        <f t="shared" si="201"/>
        <v>-10936</v>
      </c>
      <c r="AG239" s="146">
        <f t="shared" si="201"/>
        <v>-8188</v>
      </c>
      <c r="AH239" s="146">
        <f t="shared" si="201"/>
        <v>-2748</v>
      </c>
      <c r="AI239" s="66"/>
      <c r="AJ239" s="146">
        <f t="shared" si="201"/>
        <v>17979</v>
      </c>
      <c r="AK239" s="146">
        <f t="shared" si="201"/>
        <v>20660</v>
      </c>
      <c r="AL239" s="66"/>
      <c r="AM239" s="146">
        <f t="shared" si="201"/>
        <v>-2503</v>
      </c>
      <c r="AN239" s="146">
        <f t="shared" si="201"/>
        <v>12227</v>
      </c>
      <c r="AO239" s="66"/>
      <c r="AP239" s="146">
        <f t="shared" si="201"/>
        <v>-2275</v>
      </c>
      <c r="AQ239" s="146">
        <f t="shared" si="201"/>
        <v>12066</v>
      </c>
      <c r="AR239" s="66"/>
      <c r="AS239" s="66"/>
      <c r="AT239" s="66"/>
      <c r="AU239" s="66"/>
    </row>
    <row r="240" spans="1:47" ht="12.75" customHeight="1" x14ac:dyDescent="0.25">
      <c r="A240" s="132"/>
      <c r="B240" s="132"/>
      <c r="C240" s="132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66"/>
      <c r="W240" s="66"/>
      <c r="X240" s="66"/>
      <c r="Y240" s="66"/>
      <c r="Z240" s="66"/>
      <c r="AA240" s="63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</row>
    <row r="241" spans="1:47" ht="12.75" customHeight="1" x14ac:dyDescent="0.25">
      <c r="A241" s="147" t="str">
        <f>A107</f>
        <v xml:space="preserve">      CHECK #</v>
      </c>
      <c r="B241" s="132"/>
      <c r="C241" s="132"/>
      <c r="D241" s="114">
        <f t="shared" ref="D241:R241" si="202">D138-D239</f>
        <v>0</v>
      </c>
      <c r="E241" s="114">
        <f t="shared" si="202"/>
        <v>0</v>
      </c>
      <c r="F241" s="114">
        <f t="shared" si="202"/>
        <v>0</v>
      </c>
      <c r="G241" s="114">
        <f t="shared" si="202"/>
        <v>0</v>
      </c>
      <c r="H241" s="114">
        <f t="shared" si="202"/>
        <v>0</v>
      </c>
      <c r="I241" s="114">
        <f t="shared" si="202"/>
        <v>0</v>
      </c>
      <c r="J241" s="114">
        <f t="shared" si="202"/>
        <v>0</v>
      </c>
      <c r="K241" s="114">
        <f t="shared" si="202"/>
        <v>0</v>
      </c>
      <c r="L241" s="114">
        <f t="shared" si="202"/>
        <v>0</v>
      </c>
      <c r="M241" s="114">
        <f t="shared" si="202"/>
        <v>0</v>
      </c>
      <c r="N241" s="114">
        <f t="shared" si="202"/>
        <v>0</v>
      </c>
      <c r="O241" s="114">
        <f t="shared" si="202"/>
        <v>0</v>
      </c>
      <c r="P241" s="114">
        <f t="shared" si="202"/>
        <v>0</v>
      </c>
      <c r="Q241" s="114">
        <f t="shared" si="202"/>
        <v>0</v>
      </c>
      <c r="R241" s="114">
        <f t="shared" si="202"/>
        <v>0</v>
      </c>
      <c r="S241" s="143"/>
      <c r="T241" s="114">
        <f>T138-T239</f>
        <v>0</v>
      </c>
      <c r="U241" s="114">
        <f>U138-U239</f>
        <v>0</v>
      </c>
      <c r="V241" s="114">
        <f>V138-V239</f>
        <v>0</v>
      </c>
      <c r="W241" s="114"/>
      <c r="X241" s="114"/>
      <c r="Y241" s="114"/>
      <c r="Z241" s="114"/>
      <c r="AA241" s="152" t="str">
        <f>A241</f>
        <v xml:space="preserve">      CHECK #</v>
      </c>
      <c r="AB241" s="114">
        <f>AB138-AB239</f>
        <v>0</v>
      </c>
      <c r="AC241" s="114">
        <f>AC138-AC239</f>
        <v>0</v>
      </c>
      <c r="AD241" s="114">
        <f>AD138-AD239</f>
        <v>0</v>
      </c>
      <c r="AE241" s="114"/>
      <c r="AF241" s="114">
        <f>AF138-AF239</f>
        <v>0</v>
      </c>
      <c r="AG241" s="114">
        <f>AG138-AG239</f>
        <v>0</v>
      </c>
      <c r="AH241" s="114">
        <f>AH138-AH239</f>
        <v>0</v>
      </c>
      <c r="AI241" s="114"/>
      <c r="AJ241" s="114">
        <f>AJ138-AJ239</f>
        <v>0</v>
      </c>
      <c r="AK241" s="114">
        <f>AK138-AK239</f>
        <v>0</v>
      </c>
      <c r="AL241" s="114"/>
      <c r="AM241" s="114">
        <f>AM138-AM239</f>
        <v>0</v>
      </c>
      <c r="AN241" s="114">
        <f>AN138-AN239</f>
        <v>0</v>
      </c>
      <c r="AO241" s="114"/>
      <c r="AP241" s="114">
        <f>AP138-AP239</f>
        <v>0</v>
      </c>
      <c r="AQ241" s="114">
        <f>AQ138-AQ239</f>
        <v>0</v>
      </c>
      <c r="AR241" s="114"/>
      <c r="AS241" s="66"/>
      <c r="AT241" s="66"/>
      <c r="AU241" s="66"/>
    </row>
    <row r="242" spans="1:47" ht="6" customHeight="1" x14ac:dyDescent="0.25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66"/>
      <c r="W242" s="66"/>
      <c r="X242" s="66"/>
      <c r="Y242" s="66"/>
      <c r="Z242" s="66"/>
      <c r="AA242" s="63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</row>
    <row r="243" spans="1:47" ht="12.75" customHeight="1" x14ac:dyDescent="0.25">
      <c r="A243" s="108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3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</row>
    <row r="244" spans="1:47" ht="13.2" x14ac:dyDescent="0.25">
      <c r="A244" s="67" t="str">
        <f ca="1">A1</f>
        <v>P:\Finance\2001CE\[TW3rdCECF.xls]BACKUP</v>
      </c>
      <c r="B244" s="63"/>
      <c r="C244" s="63"/>
      <c r="D244" s="63"/>
      <c r="E244" s="63"/>
      <c r="F244" s="63"/>
      <c r="G244" s="63"/>
      <c r="H244"/>
      <c r="I244" s="105" t="str">
        <f>I1</f>
        <v>TRANSWESTERN PIPELINE GROUP (Including Co. 92)</v>
      </c>
      <c r="J244" s="105"/>
      <c r="K244" s="105"/>
      <c r="L244" s="105"/>
      <c r="M244" s="63"/>
      <c r="N244" s="63"/>
      <c r="O244" s="63"/>
      <c r="P244" s="63"/>
      <c r="Q244" s="63"/>
      <c r="R244" s="63"/>
      <c r="S244" s="63"/>
      <c r="T244" s="68"/>
      <c r="U244" s="65">
        <f ca="1">NOW()</f>
        <v>37197.646944328706</v>
      </c>
      <c r="V244" s="66"/>
      <c r="W244" s="66"/>
      <c r="X244" s="66"/>
      <c r="Y244" s="66"/>
      <c r="Z244" s="66"/>
      <c r="AA244" s="63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</row>
    <row r="245" spans="1:47" ht="13.2" x14ac:dyDescent="0.25">
      <c r="A245" s="62" t="s">
        <v>558</v>
      </c>
      <c r="B245" s="63"/>
      <c r="C245" s="63"/>
      <c r="D245" s="63"/>
      <c r="E245" s="63"/>
      <c r="F245" s="63"/>
      <c r="G245" s="63"/>
      <c r="H245"/>
      <c r="I245" s="105" t="str">
        <f>I2</f>
        <v>CASH FLOW STATEMENT</v>
      </c>
      <c r="J245" s="105"/>
      <c r="K245" s="105"/>
      <c r="L245" s="105"/>
      <c r="M245" s="63"/>
      <c r="N245" s="63"/>
      <c r="O245" s="63"/>
      <c r="P245" s="63"/>
      <c r="Q245" s="63"/>
      <c r="R245" s="63"/>
      <c r="S245" s="63"/>
      <c r="T245" s="71"/>
      <c r="U245" s="70">
        <f ca="1">NOW()</f>
        <v>37197.646944328706</v>
      </c>
      <c r="V245" s="66"/>
      <c r="W245" s="66"/>
      <c r="X245" s="66"/>
      <c r="Y245" s="66"/>
      <c r="Z245" s="66"/>
      <c r="AA245" s="63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</row>
    <row r="246" spans="1:47" ht="13.2" x14ac:dyDescent="0.25">
      <c r="A246" s="63"/>
      <c r="B246" s="63"/>
      <c r="C246" s="63"/>
      <c r="D246" s="63"/>
      <c r="E246" s="63"/>
      <c r="F246" s="63"/>
      <c r="G246" s="63"/>
      <c r="H246"/>
      <c r="I246" s="105" t="str">
        <f>I3</f>
        <v>2001 ACTUAL / ESTIMATE</v>
      </c>
      <c r="J246" s="105"/>
      <c r="K246" s="105"/>
      <c r="L246" s="105"/>
      <c r="M246" s="63"/>
      <c r="N246" s="63"/>
      <c r="O246" s="63"/>
      <c r="P246" s="63"/>
      <c r="Q246" s="63"/>
      <c r="R246" s="63"/>
      <c r="S246" s="63"/>
      <c r="T246" s="63"/>
      <c r="U246" s="63"/>
      <c r="V246" s="66"/>
      <c r="W246" s="66"/>
      <c r="X246" s="66"/>
      <c r="Y246" s="66"/>
      <c r="Z246" s="66"/>
      <c r="AA246" s="63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</row>
    <row r="247" spans="1:47" ht="13.2" x14ac:dyDescent="0.25">
      <c r="A247" s="63"/>
      <c r="B247" s="63"/>
      <c r="C247" s="63"/>
      <c r="D247" s="63"/>
      <c r="E247" s="63"/>
      <c r="F247" s="63"/>
      <c r="G247" s="63"/>
      <c r="H247"/>
      <c r="I247" s="105" t="str">
        <f>I4</f>
        <v>(Thousands of Dollars)</v>
      </c>
      <c r="J247" s="105"/>
      <c r="K247" s="105"/>
      <c r="L247" s="105"/>
      <c r="M247" s="63"/>
      <c r="N247" s="63"/>
      <c r="O247" s="63"/>
      <c r="P247" s="63"/>
      <c r="Q247" s="63"/>
      <c r="R247" s="63"/>
      <c r="S247" s="63"/>
      <c r="T247" s="63"/>
      <c r="U247" s="63"/>
      <c r="V247" s="66"/>
      <c r="W247" s="66"/>
      <c r="X247" s="66"/>
      <c r="Y247" s="66"/>
      <c r="Z247" s="66"/>
      <c r="AA247" s="63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</row>
    <row r="248" spans="1:47" ht="13.2" x14ac:dyDescent="0.25">
      <c r="A248" s="64" t="s">
        <v>559</v>
      </c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6"/>
      <c r="W248" s="66"/>
      <c r="X248" s="66"/>
      <c r="Y248" s="66"/>
      <c r="Z248" s="66"/>
      <c r="AA248" s="63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</row>
    <row r="249" spans="1:47" ht="13.2" x14ac:dyDescent="0.25">
      <c r="A249" s="63"/>
      <c r="B249" s="63"/>
      <c r="C249" s="63"/>
      <c r="D249" s="63"/>
      <c r="E249" s="63"/>
      <c r="F249" s="72"/>
      <c r="G249" s="63"/>
      <c r="H249" s="63"/>
      <c r="I249" s="63"/>
      <c r="J249" s="72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6"/>
      <c r="W249" s="66"/>
      <c r="X249" s="66"/>
      <c r="Y249" s="66"/>
      <c r="Z249" s="66"/>
      <c r="AA249" s="63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</row>
    <row r="250" spans="1:47" ht="13.2" x14ac:dyDescent="0.25">
      <c r="A250" s="63"/>
      <c r="B250" s="63"/>
      <c r="C250" s="63"/>
      <c r="D250" s="73" t="str">
        <f t="shared" ref="D250:R250" si="203">D6</f>
        <v>ACT.</v>
      </c>
      <c r="E250" s="73" t="str">
        <f t="shared" si="203"/>
        <v>ACT.</v>
      </c>
      <c r="F250" s="73" t="str">
        <f t="shared" si="203"/>
        <v>ACT.</v>
      </c>
      <c r="G250" s="73" t="str">
        <f t="shared" si="203"/>
        <v>ACT.</v>
      </c>
      <c r="H250" s="73" t="str">
        <f t="shared" si="203"/>
        <v>ACT.</v>
      </c>
      <c r="I250" s="73" t="str">
        <f t="shared" si="203"/>
        <v>ACT.</v>
      </c>
      <c r="J250" s="73" t="str">
        <f t="shared" si="203"/>
        <v>ACT.</v>
      </c>
      <c r="K250" s="73" t="str">
        <f t="shared" si="203"/>
        <v>ACT.</v>
      </c>
      <c r="L250" s="73" t="str">
        <f t="shared" si="203"/>
        <v>3rd CE</v>
      </c>
      <c r="M250" s="73" t="str">
        <f t="shared" si="203"/>
        <v>3rd CE</v>
      </c>
      <c r="N250" s="73" t="str">
        <f t="shared" si="203"/>
        <v>3rd CE</v>
      </c>
      <c r="O250" s="73" t="str">
        <f t="shared" si="203"/>
        <v>3rd CE</v>
      </c>
      <c r="P250" s="73" t="str">
        <f t="shared" si="203"/>
        <v>TOTAL</v>
      </c>
      <c r="Q250" s="73" t="str">
        <f t="shared" si="203"/>
        <v>JULY</v>
      </c>
      <c r="R250" s="73" t="str">
        <f t="shared" si="203"/>
        <v>ESTIMATED</v>
      </c>
      <c r="S250" s="63"/>
      <c r="T250" s="98" t="s">
        <v>560</v>
      </c>
      <c r="U250" s="98"/>
      <c r="V250" s="66"/>
      <c r="W250" s="66"/>
      <c r="X250" s="66"/>
      <c r="Y250" s="66"/>
      <c r="Z250" s="66"/>
      <c r="AA250" s="63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</row>
    <row r="251" spans="1:47" ht="13.2" x14ac:dyDescent="0.25">
      <c r="A251" s="63"/>
      <c r="B251" s="63"/>
      <c r="C251" s="63"/>
      <c r="D251" s="76" t="str">
        <f t="shared" ref="D251:R251" si="204">D7</f>
        <v>JAN</v>
      </c>
      <c r="E251" s="76" t="str">
        <f t="shared" si="204"/>
        <v>FEB</v>
      </c>
      <c r="F251" s="76" t="str">
        <f t="shared" si="204"/>
        <v>MAR</v>
      </c>
      <c r="G251" s="76" t="str">
        <f t="shared" si="204"/>
        <v>APR</v>
      </c>
      <c r="H251" s="76" t="str">
        <f t="shared" si="204"/>
        <v>MAY</v>
      </c>
      <c r="I251" s="76" t="str">
        <f t="shared" si="204"/>
        <v>JUN</v>
      </c>
      <c r="J251" s="76" t="str">
        <f t="shared" si="204"/>
        <v>JUL</v>
      </c>
      <c r="K251" s="76" t="str">
        <f t="shared" si="204"/>
        <v>AUG</v>
      </c>
      <c r="L251" s="76" t="str">
        <f t="shared" si="204"/>
        <v>SEP</v>
      </c>
      <c r="M251" s="76" t="str">
        <f t="shared" si="204"/>
        <v>OCT</v>
      </c>
      <c r="N251" s="76" t="str">
        <f t="shared" si="204"/>
        <v>NOV</v>
      </c>
      <c r="O251" s="76" t="str">
        <f t="shared" si="204"/>
        <v>DEC</v>
      </c>
      <c r="P251" s="76">
        <f t="shared" si="204"/>
        <v>2001</v>
      </c>
      <c r="Q251" s="76" t="str">
        <f t="shared" si="204"/>
        <v>Y-T-D</v>
      </c>
      <c r="R251" s="76" t="str">
        <f t="shared" si="204"/>
        <v>R.M.</v>
      </c>
      <c r="S251" s="63"/>
      <c r="T251" s="99" t="s">
        <v>432</v>
      </c>
      <c r="U251" s="99" t="s">
        <v>4</v>
      </c>
      <c r="V251" s="66"/>
      <c r="W251" s="66"/>
      <c r="X251" s="66"/>
      <c r="Y251" s="66"/>
      <c r="Z251" s="66"/>
      <c r="AA251" s="63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</row>
    <row r="252" spans="1:47" ht="6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3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</row>
    <row r="253" spans="1:47" ht="13.2" x14ac:dyDescent="0.25">
      <c r="A253" s="102" t="str">
        <f>BACKUP!A13</f>
        <v>Cash / Temporary Cash Investments - End. Bal.</v>
      </c>
      <c r="B253" s="66"/>
      <c r="C253" s="66"/>
      <c r="D253" s="78">
        <f>BACKUP!D13</f>
        <v>4</v>
      </c>
      <c r="E253" s="78">
        <f>BACKUP!E13</f>
        <v>4</v>
      </c>
      <c r="F253" s="78">
        <f>BACKUP!F13</f>
        <v>4</v>
      </c>
      <c r="G253" s="78">
        <f>BACKUP!G13</f>
        <v>4</v>
      </c>
      <c r="H253" s="78">
        <f>BACKUP!H13</f>
        <v>4</v>
      </c>
      <c r="I253" s="78">
        <f>BACKUP!I13</f>
        <v>4</v>
      </c>
      <c r="J253" s="78">
        <f>BACKUP!J13</f>
        <v>3</v>
      </c>
      <c r="K253" s="78">
        <f>BACKUP!K13</f>
        <v>3</v>
      </c>
      <c r="L253" s="78">
        <f>BACKUP!L13</f>
        <v>3</v>
      </c>
      <c r="M253" s="78">
        <f>BACKUP!M13</f>
        <v>3</v>
      </c>
      <c r="N253" s="78">
        <f>BACKUP!N13</f>
        <v>3</v>
      </c>
      <c r="O253" s="78">
        <f>BACKUP!O13</f>
        <v>3</v>
      </c>
      <c r="P253" s="78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3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</row>
    <row r="254" spans="1:47" ht="12" customHeight="1" x14ac:dyDescent="0.25">
      <c r="A254" s="78" t="str">
        <f>BACKUP!A15</f>
        <v xml:space="preserve">      Change</v>
      </c>
      <c r="B254" s="66"/>
      <c r="C254" s="104" t="s">
        <v>561</v>
      </c>
      <c r="D254" s="78">
        <f>BACKUP!D15</f>
        <v>0</v>
      </c>
      <c r="E254" s="78">
        <f>BACKUP!E15</f>
        <v>0</v>
      </c>
      <c r="F254" s="78">
        <f>BACKUP!F15</f>
        <v>0</v>
      </c>
      <c r="G254" s="78">
        <f>BACKUP!G15</f>
        <v>0</v>
      </c>
      <c r="H254" s="78">
        <f>BACKUP!H15</f>
        <v>0</v>
      </c>
      <c r="I254" s="78">
        <f>BACKUP!I15</f>
        <v>0</v>
      </c>
      <c r="J254" s="78">
        <f>BACKUP!J15</f>
        <v>-1</v>
      </c>
      <c r="K254" s="78">
        <f>BACKUP!K15</f>
        <v>0</v>
      </c>
      <c r="L254" s="78">
        <f>BACKUP!L15</f>
        <v>0</v>
      </c>
      <c r="M254" s="78">
        <f>BACKUP!M15</f>
        <v>0</v>
      </c>
      <c r="N254" s="78">
        <f>BACKUP!N15</f>
        <v>0</v>
      </c>
      <c r="O254" s="78">
        <f>BACKUP!O15</f>
        <v>0</v>
      </c>
      <c r="P254" s="78">
        <f>SUM(D254:O254)</f>
        <v>-1</v>
      </c>
      <c r="Q254" s="79">
        <f>SUM(D254:J254)</f>
        <v>-1</v>
      </c>
      <c r="R254" s="78">
        <f>P254-Q254</f>
        <v>0</v>
      </c>
      <c r="S254" s="66"/>
      <c r="T254" s="79">
        <v>0</v>
      </c>
      <c r="U254" s="79">
        <v>0</v>
      </c>
      <c r="V254" s="66"/>
      <c r="W254" s="66"/>
      <c r="X254" s="66"/>
      <c r="Y254" s="66"/>
      <c r="Z254" s="66"/>
      <c r="AA254" s="63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</row>
    <row r="255" spans="1:47" ht="13.2" x14ac:dyDescent="0.25">
      <c r="A255" s="66"/>
      <c r="B255" s="66"/>
      <c r="C255" s="104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78"/>
      <c r="V255" s="66"/>
      <c r="W255" s="66"/>
      <c r="X255" s="66"/>
      <c r="Y255" s="66"/>
      <c r="Z255" s="66"/>
      <c r="AA255" s="63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</row>
    <row r="256" spans="1:47" ht="13.2" x14ac:dyDescent="0.25">
      <c r="A256" s="102" t="str">
        <f>BACKUP!A124</f>
        <v>Investments &amp; Other Assets - End. Balance</v>
      </c>
      <c r="B256" s="66"/>
      <c r="C256" s="104"/>
      <c r="D256" s="78">
        <f>BACKUP!D124</f>
        <v>0</v>
      </c>
      <c r="E256" s="78">
        <f>BACKUP!E124</f>
        <v>0</v>
      </c>
      <c r="F256" s="78">
        <f>BACKUP!F124</f>
        <v>0</v>
      </c>
      <c r="G256" s="78">
        <f>BACKUP!G124</f>
        <v>0</v>
      </c>
      <c r="H256" s="78">
        <f>BACKUP!H124</f>
        <v>0</v>
      </c>
      <c r="I256" s="78">
        <f>BACKUP!I124</f>
        <v>0</v>
      </c>
      <c r="J256" s="78">
        <f>BACKUP!J124</f>
        <v>0</v>
      </c>
      <c r="K256" s="78">
        <f>BACKUP!K124</f>
        <v>0</v>
      </c>
      <c r="L256" s="78">
        <f>BACKUP!L124</f>
        <v>0</v>
      </c>
      <c r="M256" s="78">
        <f>BACKUP!M124</f>
        <v>0</v>
      </c>
      <c r="N256" s="78">
        <f>BACKUP!N124</f>
        <v>0</v>
      </c>
      <c r="O256" s="78">
        <f>BACKUP!O124</f>
        <v>0</v>
      </c>
      <c r="P256" s="78"/>
      <c r="Q256" s="78"/>
      <c r="R256" s="78"/>
      <c r="S256" s="66"/>
      <c r="T256" s="78"/>
      <c r="U256" s="78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</row>
    <row r="257" spans="1:47" ht="13.2" x14ac:dyDescent="0.25">
      <c r="A257" s="78" t="str">
        <f>BACKUP!A126</f>
        <v xml:space="preserve">      Change</v>
      </c>
      <c r="B257" s="66"/>
      <c r="C257" s="104" t="s">
        <v>561</v>
      </c>
      <c r="D257" s="78">
        <f>BACKUP!D126</f>
        <v>0</v>
      </c>
      <c r="E257" s="78">
        <f>BACKUP!E126</f>
        <v>0</v>
      </c>
      <c r="F257" s="78">
        <f>BACKUP!F126</f>
        <v>0</v>
      </c>
      <c r="G257" s="78">
        <f>BACKUP!G126</f>
        <v>0</v>
      </c>
      <c r="H257" s="78">
        <f>BACKUP!H126</f>
        <v>0</v>
      </c>
      <c r="I257" s="78">
        <f>BACKUP!I126</f>
        <v>0</v>
      </c>
      <c r="J257" s="78">
        <f>BACKUP!J126</f>
        <v>0</v>
      </c>
      <c r="K257" s="78">
        <f>BACKUP!K126</f>
        <v>0</v>
      </c>
      <c r="L257" s="78">
        <f>BACKUP!L126</f>
        <v>0</v>
      </c>
      <c r="M257" s="78">
        <f>BACKUP!M126</f>
        <v>0</v>
      </c>
      <c r="N257" s="78">
        <f>BACKUP!N126</f>
        <v>0</v>
      </c>
      <c r="O257" s="78">
        <f>BACKUP!O126</f>
        <v>0</v>
      </c>
      <c r="P257" s="78">
        <f>SUM(D257:O257)</f>
        <v>0</v>
      </c>
      <c r="Q257" s="79">
        <f>SUM(D257:J257)</f>
        <v>0</v>
      </c>
      <c r="R257" s="78">
        <f>P257-Q257</f>
        <v>0</v>
      </c>
      <c r="S257" s="66"/>
      <c r="T257" s="79">
        <v>0</v>
      </c>
      <c r="U257" s="79">
        <v>0</v>
      </c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</row>
    <row r="258" spans="1:47" ht="13.2" x14ac:dyDescent="0.25">
      <c r="A258" s="66"/>
      <c r="B258" s="66"/>
      <c r="C258" s="104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78"/>
      <c r="U258" s="78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</row>
    <row r="259" spans="1:47" ht="13.2" x14ac:dyDescent="0.25">
      <c r="A259" s="102" t="str">
        <f>BACKUP!A129</f>
        <v>Plant - Beg. Balance</v>
      </c>
      <c r="B259" s="66"/>
      <c r="C259" s="104"/>
      <c r="D259" s="78">
        <f>BACKUP!D129</f>
        <v>987107</v>
      </c>
      <c r="E259" s="78">
        <f>BACKUP!E129</f>
        <v>987543</v>
      </c>
      <c r="F259" s="78">
        <f>BACKUP!F129</f>
        <v>986923</v>
      </c>
      <c r="G259" s="78">
        <f>BACKUP!G129</f>
        <v>987812</v>
      </c>
      <c r="H259" s="78">
        <f>BACKUP!H129</f>
        <v>990597</v>
      </c>
      <c r="I259" s="78">
        <f>BACKUP!I129</f>
        <v>1006548</v>
      </c>
      <c r="J259" s="78">
        <f>BACKUP!J129</f>
        <v>1010004</v>
      </c>
      <c r="K259" s="78">
        <f>BACKUP!K129</f>
        <v>1011084</v>
      </c>
      <c r="L259" s="78">
        <f>BACKUP!L129</f>
        <v>1012984</v>
      </c>
      <c r="M259" s="78">
        <f>BACKUP!M129</f>
        <v>1026027</v>
      </c>
      <c r="N259" s="78">
        <f>BACKUP!N129</f>
        <v>1031844</v>
      </c>
      <c r="O259" s="78">
        <f>BACKUP!O129</f>
        <v>1043696</v>
      </c>
      <c r="P259" s="78"/>
      <c r="Q259" s="78"/>
      <c r="R259" s="78"/>
      <c r="S259" s="66"/>
      <c r="T259" s="78"/>
      <c r="U259" s="78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</row>
    <row r="260" spans="1:47" ht="13.2" x14ac:dyDescent="0.25">
      <c r="A260" s="78" t="str">
        <f>BACKUP!A130</f>
        <v xml:space="preserve">   Capital Expend. (Rudy) - Additions to Property</v>
      </c>
      <c r="B260" s="66"/>
      <c r="C260" s="104" t="s">
        <v>562</v>
      </c>
      <c r="D260" s="78">
        <f>BACKUP!D130</f>
        <v>719</v>
      </c>
      <c r="E260" s="78">
        <f>BACKUP!E130</f>
        <v>242</v>
      </c>
      <c r="F260" s="78">
        <f>BACKUP!F130</f>
        <v>906</v>
      </c>
      <c r="G260" s="78">
        <f>BACKUP!G130</f>
        <v>1317</v>
      </c>
      <c r="H260" s="78">
        <f>BACKUP!H130</f>
        <v>1105</v>
      </c>
      <c r="I260" s="78">
        <f>BACKUP!I130</f>
        <v>3523</v>
      </c>
      <c r="J260" s="78">
        <f>BACKUP!J130</f>
        <v>1280</v>
      </c>
      <c r="K260" s="78">
        <f>BACKUP!K130</f>
        <v>1900</v>
      </c>
      <c r="L260" s="78">
        <f>BACKUP!L130</f>
        <v>9483</v>
      </c>
      <c r="M260" s="78">
        <f>BACKUP!M130</f>
        <v>5817</v>
      </c>
      <c r="N260" s="78">
        <f>BACKUP!N130</f>
        <v>11852</v>
      </c>
      <c r="O260" s="78">
        <f>BACKUP!O130</f>
        <v>11195</v>
      </c>
      <c r="P260" s="78">
        <f t="shared" ref="P260:P269" si="205">SUM(D260:O260)</f>
        <v>49339</v>
      </c>
      <c r="Q260" s="79">
        <f t="shared" ref="Q260:Q270" si="206">SUM(D260:J260)</f>
        <v>9092</v>
      </c>
      <c r="R260" s="78">
        <f t="shared" ref="R260:R270" si="207">P260-Q260</f>
        <v>40247</v>
      </c>
      <c r="S260" s="66"/>
      <c r="T260" s="78"/>
      <c r="U260" s="78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</row>
    <row r="261" spans="1:47" ht="13.2" x14ac:dyDescent="0.25">
      <c r="A261" s="78" t="str">
        <f>BACKUP!A131</f>
        <v xml:space="preserve">         - Other CAPEX (Gas Reclass to Finished Plant)</v>
      </c>
      <c r="B261" s="66"/>
      <c r="C261" s="158" t="s">
        <v>563</v>
      </c>
      <c r="D261" s="78">
        <f>BACKUP!D131</f>
        <v>0</v>
      </c>
      <c r="E261" s="78">
        <f>BACKUP!E131</f>
        <v>0</v>
      </c>
      <c r="F261" s="78">
        <f>BACKUP!F131</f>
        <v>0</v>
      </c>
      <c r="G261" s="78">
        <f>BACKUP!G131</f>
        <v>0</v>
      </c>
      <c r="H261" s="78">
        <f>BACKUP!H131</f>
        <v>0</v>
      </c>
      <c r="I261" s="78">
        <f>BACKUP!I131</f>
        <v>0</v>
      </c>
      <c r="J261" s="78">
        <f>BACKUP!J131</f>
        <v>0</v>
      </c>
      <c r="K261" s="78">
        <f>BACKUP!K131</f>
        <v>0</v>
      </c>
      <c r="L261" s="78">
        <f>BACKUP!L131</f>
        <v>0</v>
      </c>
      <c r="M261" s="78">
        <f>BACKUP!M131</f>
        <v>0</v>
      </c>
      <c r="N261" s="78">
        <f>BACKUP!N131</f>
        <v>0</v>
      </c>
      <c r="O261" s="78">
        <f>BACKUP!O131</f>
        <v>0</v>
      </c>
      <c r="P261" s="78">
        <f t="shared" si="205"/>
        <v>0</v>
      </c>
      <c r="Q261" s="79">
        <f t="shared" si="206"/>
        <v>0</v>
      </c>
      <c r="R261" s="78">
        <f t="shared" si="207"/>
        <v>0</v>
      </c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</row>
    <row r="262" spans="1:47" ht="13.2" x14ac:dyDescent="0.25">
      <c r="A262" s="78" t="str">
        <f>BACKUP!A132</f>
        <v xml:space="preserve">         - Yr. End Accrual Activity / Add. O&amp;M Capitalization</v>
      </c>
      <c r="B262" s="66"/>
      <c r="C262" s="104" t="s">
        <v>562</v>
      </c>
      <c r="D262" s="78">
        <f>BACKUP!D132</f>
        <v>-353</v>
      </c>
      <c r="E262" s="78">
        <f>BACKUP!E132</f>
        <v>0</v>
      </c>
      <c r="F262" s="78">
        <f>BACKUP!F132</f>
        <v>0</v>
      </c>
      <c r="G262" s="78">
        <f>BACKUP!G132</f>
        <v>0</v>
      </c>
      <c r="H262" s="78">
        <f>BACKUP!H132</f>
        <v>0</v>
      </c>
      <c r="I262" s="78">
        <f>BACKUP!I132</f>
        <v>0</v>
      </c>
      <c r="J262" s="78">
        <f>BACKUP!J132</f>
        <v>0</v>
      </c>
      <c r="K262" s="78">
        <f>BACKUP!K132</f>
        <v>0</v>
      </c>
      <c r="L262" s="78">
        <f>BACKUP!L132</f>
        <v>0</v>
      </c>
      <c r="M262" s="78">
        <f>BACKUP!M132</f>
        <v>0</v>
      </c>
      <c r="N262" s="78">
        <f>BACKUP!N132</f>
        <v>0</v>
      </c>
      <c r="O262" s="78">
        <f>BACKUP!O132</f>
        <v>353</v>
      </c>
      <c r="P262" s="78">
        <f t="shared" si="205"/>
        <v>0</v>
      </c>
      <c r="Q262" s="79">
        <f t="shared" si="206"/>
        <v>-353</v>
      </c>
      <c r="R262" s="78">
        <f t="shared" si="207"/>
        <v>353</v>
      </c>
      <c r="S262" s="66"/>
      <c r="T262" s="66"/>
      <c r="U262" s="78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</row>
    <row r="263" spans="1:47" ht="13.2" x14ac:dyDescent="0.25">
      <c r="A263" s="78" t="str">
        <f>BACKUP!A133</f>
        <v xml:space="preserve">         - Laguna (Nov.) &amp; Navajo (May) ROW Settlements</v>
      </c>
      <c r="B263" s="66"/>
      <c r="C263" s="104" t="s">
        <v>562</v>
      </c>
      <c r="D263" s="78">
        <f>BACKUP!D133</f>
        <v>0</v>
      </c>
      <c r="E263" s="78">
        <f>BACKUP!E133</f>
        <v>0</v>
      </c>
      <c r="F263" s="78">
        <f>BACKUP!F133</f>
        <v>0</v>
      </c>
      <c r="G263" s="78">
        <f>BACKUP!G133</f>
        <v>0</v>
      </c>
      <c r="H263" s="78">
        <f>BACKUP!H133</f>
        <v>15000</v>
      </c>
      <c r="I263" s="78">
        <f>BACKUP!I133</f>
        <v>0</v>
      </c>
      <c r="J263" s="78">
        <f>BACKUP!J133</f>
        <v>0</v>
      </c>
      <c r="K263" s="78">
        <f>BACKUP!K133</f>
        <v>0</v>
      </c>
      <c r="L263" s="78">
        <f>BACKUP!L133</f>
        <v>3560</v>
      </c>
      <c r="M263" s="78">
        <f>BACKUP!M133</f>
        <v>0</v>
      </c>
      <c r="N263" s="78">
        <f>BACKUP!N133</f>
        <v>0</v>
      </c>
      <c r="O263" s="78">
        <f>BACKUP!O133</f>
        <v>0</v>
      </c>
      <c r="P263" s="78">
        <f t="shared" si="205"/>
        <v>18560</v>
      </c>
      <c r="Q263" s="79">
        <f t="shared" si="206"/>
        <v>15000</v>
      </c>
      <c r="R263" s="78">
        <f t="shared" si="207"/>
        <v>3560</v>
      </c>
      <c r="S263" s="66"/>
      <c r="T263" s="66"/>
      <c r="U263" s="78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</row>
    <row r="264" spans="1:47" ht="13.2" x14ac:dyDescent="0.25">
      <c r="A264" s="78" t="str">
        <f>BACKUP!A134</f>
        <v xml:space="preserve">   AFUDC</v>
      </c>
      <c r="B264" s="66"/>
      <c r="C264" s="104" t="s">
        <v>561</v>
      </c>
      <c r="D264" s="78">
        <f>BACKUP!D134</f>
        <v>0</v>
      </c>
      <c r="E264" s="78">
        <f>BACKUP!E134</f>
        <v>0</v>
      </c>
      <c r="F264" s="78">
        <f>BACKUP!F134</f>
        <v>0</v>
      </c>
      <c r="G264" s="78">
        <f>BACKUP!G134</f>
        <v>0</v>
      </c>
      <c r="H264" s="78">
        <f>BACKUP!H134</f>
        <v>0</v>
      </c>
      <c r="I264" s="78">
        <f>BACKUP!I134</f>
        <v>0</v>
      </c>
      <c r="J264" s="78">
        <f>BACKUP!J134</f>
        <v>0</v>
      </c>
      <c r="K264" s="78">
        <f>BACKUP!K134</f>
        <v>0</v>
      </c>
      <c r="L264" s="78">
        <f>BACKUP!L134</f>
        <v>0</v>
      </c>
      <c r="M264" s="78">
        <f>BACKUP!M134</f>
        <v>0</v>
      </c>
      <c r="N264" s="78">
        <f>BACKUP!N134</f>
        <v>0</v>
      </c>
      <c r="O264" s="78">
        <f>BACKUP!O134</f>
        <v>0</v>
      </c>
      <c r="P264" s="78">
        <f t="shared" si="205"/>
        <v>0</v>
      </c>
      <c r="Q264" s="79">
        <f t="shared" si="206"/>
        <v>0</v>
      </c>
      <c r="R264" s="78">
        <f t="shared" si="207"/>
        <v>0</v>
      </c>
      <c r="S264" s="66"/>
      <c r="T264" s="79"/>
      <c r="U264" s="79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</row>
    <row r="265" spans="1:47" ht="13.2" x14ac:dyDescent="0.25">
      <c r="A265" s="78" t="str">
        <f>BACKUP!A135</f>
        <v xml:space="preserve">   Asset Sales - Net Plant (KN Energy #1)</v>
      </c>
      <c r="B265" s="66"/>
      <c r="C265" s="104" t="s">
        <v>564</v>
      </c>
      <c r="D265" s="78">
        <f>BACKUP!D135</f>
        <v>0</v>
      </c>
      <c r="E265" s="78">
        <f>BACKUP!E135</f>
        <v>0</v>
      </c>
      <c r="F265" s="78">
        <f>BACKUP!F135</f>
        <v>0</v>
      </c>
      <c r="G265" s="78">
        <f>BACKUP!G135</f>
        <v>0</v>
      </c>
      <c r="H265" s="78">
        <f>BACKUP!H135</f>
        <v>0</v>
      </c>
      <c r="I265" s="78">
        <f>BACKUP!I135</f>
        <v>0</v>
      </c>
      <c r="J265" s="78">
        <f>BACKUP!J135</f>
        <v>0</v>
      </c>
      <c r="K265" s="78">
        <f>BACKUP!K135</f>
        <v>0</v>
      </c>
      <c r="L265" s="78">
        <f>BACKUP!L135</f>
        <v>0</v>
      </c>
      <c r="M265" s="78">
        <f>BACKUP!M135</f>
        <v>0</v>
      </c>
      <c r="N265" s="78">
        <f>BACKUP!N135</f>
        <v>0</v>
      </c>
      <c r="O265" s="78">
        <f>BACKUP!O135</f>
        <v>0</v>
      </c>
      <c r="P265" s="78">
        <f t="shared" si="205"/>
        <v>0</v>
      </c>
      <c r="Q265" s="79">
        <f t="shared" si="206"/>
        <v>0</v>
      </c>
      <c r="R265" s="78">
        <f t="shared" si="207"/>
        <v>0</v>
      </c>
      <c r="S265" s="66"/>
      <c r="T265" s="66"/>
      <c r="U265" s="78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</row>
    <row r="266" spans="1:47" ht="13.2" x14ac:dyDescent="0.25">
      <c r="A266" s="78" t="str">
        <f>BACKUP!A136</f>
        <v xml:space="preserve">                      - Net Plant (KN Energy #2)</v>
      </c>
      <c r="B266" s="66"/>
      <c r="C266" s="104" t="s">
        <v>564</v>
      </c>
      <c r="D266" s="78">
        <f>BACKUP!D136</f>
        <v>0</v>
      </c>
      <c r="E266" s="78">
        <f>BACKUP!E136</f>
        <v>0</v>
      </c>
      <c r="F266" s="78">
        <f>BACKUP!F136</f>
        <v>0</v>
      </c>
      <c r="G266" s="78">
        <f>BACKUP!G136</f>
        <v>0</v>
      </c>
      <c r="H266" s="78">
        <f>BACKUP!H136</f>
        <v>0</v>
      </c>
      <c r="I266" s="78">
        <f>BACKUP!I136</f>
        <v>0</v>
      </c>
      <c r="J266" s="78">
        <f>BACKUP!J136</f>
        <v>0</v>
      </c>
      <c r="K266" s="78">
        <f>BACKUP!K136</f>
        <v>0</v>
      </c>
      <c r="L266" s="78">
        <f>BACKUP!L136</f>
        <v>0</v>
      </c>
      <c r="M266" s="78">
        <f>BACKUP!M136</f>
        <v>0</v>
      </c>
      <c r="N266" s="78">
        <f>BACKUP!N136</f>
        <v>0</v>
      </c>
      <c r="O266" s="78">
        <f>BACKUP!O136</f>
        <v>0</v>
      </c>
      <c r="P266" s="78">
        <f t="shared" si="205"/>
        <v>0</v>
      </c>
      <c r="Q266" s="79">
        <f t="shared" si="206"/>
        <v>0</v>
      </c>
      <c r="R266" s="78">
        <f t="shared" si="207"/>
        <v>0</v>
      </c>
      <c r="S266" s="66"/>
      <c r="T266" s="66"/>
      <c r="U266" s="78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</row>
    <row r="267" spans="1:47" ht="13.2" x14ac:dyDescent="0.25">
      <c r="A267" s="78" t="str">
        <f>BACKUP!A137</f>
        <v xml:space="preserve">   Plant / Reserve Adjustments</v>
      </c>
      <c r="B267" s="66"/>
      <c r="C267" s="104" t="s">
        <v>561</v>
      </c>
      <c r="D267" s="78">
        <f>BACKUP!D137</f>
        <v>0</v>
      </c>
      <c r="E267" s="78">
        <f>BACKUP!E137</f>
        <v>0</v>
      </c>
      <c r="F267" s="78">
        <f>BACKUP!F137</f>
        <v>0</v>
      </c>
      <c r="G267" s="78">
        <f>BACKUP!G137</f>
        <v>0</v>
      </c>
      <c r="H267" s="78">
        <f>BACKUP!H137</f>
        <v>0</v>
      </c>
      <c r="I267" s="78">
        <f>BACKUP!I137</f>
        <v>0</v>
      </c>
      <c r="J267" s="78">
        <f>BACKUP!J137</f>
        <v>0</v>
      </c>
      <c r="K267" s="78">
        <f>BACKUP!K137</f>
        <v>0</v>
      </c>
      <c r="L267" s="78">
        <f>BACKUP!L137</f>
        <v>0</v>
      </c>
      <c r="M267" s="78">
        <f>BACKUP!M137</f>
        <v>0</v>
      </c>
      <c r="N267" s="78">
        <f>BACKUP!N137</f>
        <v>0</v>
      </c>
      <c r="O267" s="78">
        <f>BACKUP!O137</f>
        <v>0</v>
      </c>
      <c r="P267" s="78">
        <f t="shared" si="205"/>
        <v>0</v>
      </c>
      <c r="Q267" s="79">
        <f t="shared" si="206"/>
        <v>0</v>
      </c>
      <c r="R267" s="78">
        <f t="shared" si="207"/>
        <v>0</v>
      </c>
      <c r="S267" s="66"/>
      <c r="T267" s="66"/>
      <c r="U267" s="78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</row>
    <row r="268" spans="1:47" ht="13.2" x14ac:dyDescent="0.25">
      <c r="A268" s="78" t="str">
        <f>BACKUP!A138</f>
        <v xml:space="preserve">   Linepack Revaluation vs. Other CAPEX (3/98 Forward)</v>
      </c>
      <c r="B268" s="66"/>
      <c r="C268" s="158" t="s">
        <v>563</v>
      </c>
      <c r="D268" s="78">
        <f>BACKUP!D138</f>
        <v>70</v>
      </c>
      <c r="E268" s="78">
        <f>BACKUP!E138</f>
        <v>-862</v>
      </c>
      <c r="F268" s="78">
        <f>BACKUP!F138</f>
        <v>-17</v>
      </c>
      <c r="G268" s="78">
        <f>BACKUP!G138</f>
        <v>1468</v>
      </c>
      <c r="H268" s="78">
        <f>BACKUP!H138</f>
        <v>-154</v>
      </c>
      <c r="I268" s="78">
        <f>BACKUP!I138</f>
        <v>-67</v>
      </c>
      <c r="J268" s="78">
        <f>BACKUP!J138</f>
        <v>-200</v>
      </c>
      <c r="K268" s="78">
        <f>BACKUP!K138</f>
        <v>0</v>
      </c>
      <c r="L268" s="78">
        <f>BACKUP!L138</f>
        <v>0</v>
      </c>
      <c r="M268" s="78">
        <f>BACKUP!M138</f>
        <v>0</v>
      </c>
      <c r="N268" s="78">
        <f>BACKUP!N138</f>
        <v>0</v>
      </c>
      <c r="O268" s="78">
        <f>BACKUP!O138</f>
        <v>0</v>
      </c>
      <c r="P268" s="78">
        <f t="shared" si="205"/>
        <v>238</v>
      </c>
      <c r="Q268" s="79">
        <f t="shared" si="206"/>
        <v>238</v>
      </c>
      <c r="R268" s="78">
        <f t="shared" si="207"/>
        <v>0</v>
      </c>
      <c r="S268" s="66"/>
      <c r="T268" s="79">
        <v>0</v>
      </c>
      <c r="U268" s="79">
        <v>0</v>
      </c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</row>
    <row r="269" spans="1:47" ht="13.2" x14ac:dyDescent="0.25">
      <c r="A269" s="78" t="str">
        <f>BACKUP!A139</f>
        <v xml:space="preserve">   Retirements at Cost (Was 12/00 Compressors)</v>
      </c>
      <c r="B269" s="66"/>
      <c r="C269" s="104" t="s">
        <v>561</v>
      </c>
      <c r="D269" s="78">
        <f>BACKUP!D139</f>
        <v>0</v>
      </c>
      <c r="E269" s="78">
        <f>BACKUP!E139</f>
        <v>0</v>
      </c>
      <c r="F269" s="78">
        <f>BACKUP!F139</f>
        <v>0</v>
      </c>
      <c r="G269" s="78">
        <f>BACKUP!G139</f>
        <v>0</v>
      </c>
      <c r="H269" s="78">
        <f>BACKUP!H139</f>
        <v>0</v>
      </c>
      <c r="I269" s="78">
        <f>BACKUP!I139</f>
        <v>0</v>
      </c>
      <c r="J269" s="78">
        <f>BACKUP!J139</f>
        <v>0</v>
      </c>
      <c r="K269" s="78">
        <f>BACKUP!K139</f>
        <v>0</v>
      </c>
      <c r="L269" s="78">
        <f>BACKUP!L139</f>
        <v>0</v>
      </c>
      <c r="M269" s="78">
        <f>BACKUP!M139</f>
        <v>0</v>
      </c>
      <c r="N269" s="78">
        <f>BACKUP!N139</f>
        <v>0</v>
      </c>
      <c r="O269" s="78">
        <f>BACKUP!O139</f>
        <v>0</v>
      </c>
      <c r="P269" s="78">
        <f t="shared" si="205"/>
        <v>0</v>
      </c>
      <c r="Q269" s="79">
        <f t="shared" si="206"/>
        <v>0</v>
      </c>
      <c r="R269" s="78">
        <f t="shared" si="207"/>
        <v>0</v>
      </c>
      <c r="S269" s="66"/>
      <c r="T269" s="66"/>
      <c r="U269" s="78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</row>
    <row r="270" spans="1:47" ht="13.2" x14ac:dyDescent="0.25">
      <c r="A270" s="78" t="str">
        <f>BACKUP!A140</f>
        <v xml:space="preserve">   Actual / Estimate Adjustment</v>
      </c>
      <c r="B270" s="66"/>
      <c r="C270" s="104" t="s">
        <v>565</v>
      </c>
      <c r="D270" s="83">
        <f>BACKUP!D140</f>
        <v>0</v>
      </c>
      <c r="E270" s="83">
        <f>BACKUP!E140</f>
        <v>0</v>
      </c>
      <c r="F270" s="83">
        <f>BACKUP!F140</f>
        <v>0</v>
      </c>
      <c r="G270" s="83">
        <f>BACKUP!G140</f>
        <v>0</v>
      </c>
      <c r="H270" s="83">
        <f>BACKUP!H140</f>
        <v>0</v>
      </c>
      <c r="I270" s="83">
        <f>BACKUP!I140</f>
        <v>0</v>
      </c>
      <c r="J270" s="83">
        <f>BACKUP!J140</f>
        <v>0</v>
      </c>
      <c r="K270" s="83">
        <f>BACKUP!K140</f>
        <v>0</v>
      </c>
      <c r="L270" s="83">
        <f>BACKUP!L140</f>
        <v>0</v>
      </c>
      <c r="M270" s="83">
        <f>BACKUP!M140</f>
        <v>0</v>
      </c>
      <c r="N270" s="83">
        <f>BACKUP!N140</f>
        <v>0</v>
      </c>
      <c r="O270" s="83">
        <f>BACKUP!O140</f>
        <v>0</v>
      </c>
      <c r="P270" s="78">
        <f>SUM(D263:O263)</f>
        <v>18560</v>
      </c>
      <c r="Q270" s="79">
        <f t="shared" si="206"/>
        <v>0</v>
      </c>
      <c r="R270" s="78">
        <f t="shared" si="207"/>
        <v>18560</v>
      </c>
      <c r="S270" s="66"/>
      <c r="T270" s="78"/>
      <c r="U270" s="78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</row>
    <row r="271" spans="1:47" ht="3.9" customHeight="1" x14ac:dyDescent="0.25">
      <c r="A271" s="66"/>
      <c r="B271" s="66"/>
      <c r="C271" s="104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66"/>
      <c r="T271" s="78"/>
      <c r="U271" s="78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</row>
    <row r="272" spans="1:47" ht="13.2" x14ac:dyDescent="0.25">
      <c r="A272" s="86" t="str">
        <f>BACKUP!A142</f>
        <v>Plant - End. Balance</v>
      </c>
      <c r="B272" s="66"/>
      <c r="C272" s="104"/>
      <c r="D272" s="83">
        <f>BACKUP!D142</f>
        <v>987543</v>
      </c>
      <c r="E272" s="83">
        <f>BACKUP!E142</f>
        <v>986923</v>
      </c>
      <c r="F272" s="83">
        <f>BACKUP!F142</f>
        <v>987812</v>
      </c>
      <c r="G272" s="83">
        <f>BACKUP!G142</f>
        <v>990597</v>
      </c>
      <c r="H272" s="83">
        <f>BACKUP!H142</f>
        <v>1006548</v>
      </c>
      <c r="I272" s="83">
        <f>BACKUP!I142</f>
        <v>1010004</v>
      </c>
      <c r="J272" s="83">
        <f>BACKUP!J142</f>
        <v>1011084</v>
      </c>
      <c r="K272" s="83">
        <f>BACKUP!K142</f>
        <v>1012984</v>
      </c>
      <c r="L272" s="83">
        <f>BACKUP!L142</f>
        <v>1026027</v>
      </c>
      <c r="M272" s="83">
        <f>BACKUP!M142</f>
        <v>1031844</v>
      </c>
      <c r="N272" s="83">
        <f>BACKUP!N142</f>
        <v>1043696</v>
      </c>
      <c r="O272" s="83">
        <f>BACKUP!O142</f>
        <v>1055244</v>
      </c>
      <c r="P272" s="78"/>
      <c r="Q272" s="78"/>
      <c r="R272" s="78"/>
      <c r="S272" s="66"/>
      <c r="T272" s="78"/>
      <c r="U272" s="78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</row>
    <row r="273" spans="1:47" ht="13.2" x14ac:dyDescent="0.25">
      <c r="A273" s="66"/>
      <c r="B273" s="66"/>
      <c r="C273" s="104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78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</row>
    <row r="274" spans="1:47" ht="13.2" x14ac:dyDescent="0.25">
      <c r="A274" s="102" t="str">
        <f>BACKUP!A146</f>
        <v>Accumulated Depreciation - Beg. Balance</v>
      </c>
      <c r="B274" s="66"/>
      <c r="C274" s="104"/>
      <c r="D274" s="78">
        <f>BACKUP!D146</f>
        <v>104364</v>
      </c>
      <c r="E274" s="78">
        <f>BACKUP!E146</f>
        <v>105907</v>
      </c>
      <c r="F274" s="78">
        <f>BACKUP!F146</f>
        <v>107444</v>
      </c>
      <c r="G274" s="78">
        <f>BACKUP!G146</f>
        <v>109084</v>
      </c>
      <c r="H274" s="78">
        <f>BACKUP!H146</f>
        <v>110716</v>
      </c>
      <c r="I274" s="78">
        <f>BACKUP!I146</f>
        <v>112236</v>
      </c>
      <c r="J274" s="78">
        <f>BACKUP!J146</f>
        <v>113908</v>
      </c>
      <c r="K274" s="78">
        <f>BACKUP!K146</f>
        <v>115443</v>
      </c>
      <c r="L274" s="78">
        <f>BACKUP!L146</f>
        <v>117028</v>
      </c>
      <c r="M274" s="78">
        <f>BACKUP!M146</f>
        <v>118664</v>
      </c>
      <c r="N274" s="78">
        <f>BACKUP!N146</f>
        <v>120400</v>
      </c>
      <c r="O274" s="78">
        <f>BACKUP!O146</f>
        <v>122235</v>
      </c>
      <c r="P274" s="66"/>
      <c r="Q274" s="66"/>
      <c r="R274" s="66"/>
      <c r="S274" s="66"/>
      <c r="T274" s="78"/>
      <c r="U274" s="78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</row>
    <row r="275" spans="1:47" ht="13.2" x14ac:dyDescent="0.25">
      <c r="A275" s="78" t="str">
        <f>BACKUP!A147</f>
        <v xml:space="preserve">   Depreciation Expense</v>
      </c>
      <c r="B275" s="66"/>
      <c r="C275" s="104" t="s">
        <v>566</v>
      </c>
      <c r="D275" s="78">
        <f>BACKUP!D147</f>
        <v>1027</v>
      </c>
      <c r="E275" s="78">
        <f>BACKUP!E147</f>
        <v>992</v>
      </c>
      <c r="F275" s="78">
        <f>BACKUP!F147</f>
        <v>1037</v>
      </c>
      <c r="G275" s="78">
        <f>BACKUP!G147</f>
        <v>1050</v>
      </c>
      <c r="H275" s="78">
        <f>BACKUP!H147</f>
        <v>1006</v>
      </c>
      <c r="I275" s="78">
        <f>BACKUP!I147</f>
        <v>1116</v>
      </c>
      <c r="J275" s="78">
        <f>BACKUP!J147</f>
        <v>1054</v>
      </c>
      <c r="K275" s="78">
        <f>BACKUP!K147</f>
        <v>1056</v>
      </c>
      <c r="L275" s="78">
        <f>BACKUP!L147</f>
        <v>1106</v>
      </c>
      <c r="M275" s="78">
        <f>BACKUP!M147</f>
        <v>1206</v>
      </c>
      <c r="N275" s="78">
        <f>BACKUP!N147</f>
        <v>1306</v>
      </c>
      <c r="O275" s="78">
        <f>BACKUP!O147</f>
        <v>1356</v>
      </c>
      <c r="P275" s="78">
        <f t="shared" ref="P275:P283" si="208">SUM(D275:O275)</f>
        <v>13312</v>
      </c>
      <c r="Q275" s="79">
        <f t="shared" ref="Q275:Q283" si="209">SUM(D275:J275)</f>
        <v>7282</v>
      </c>
      <c r="R275" s="78">
        <f t="shared" ref="R275:R283" si="210">P275-Q275</f>
        <v>6030</v>
      </c>
      <c r="S275" s="66"/>
      <c r="T275" s="78"/>
      <c r="U275" s="78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</row>
    <row r="276" spans="1:47" ht="13.2" x14ac:dyDescent="0.25">
      <c r="A276" s="78" t="str">
        <f>BACKUP!A148</f>
        <v xml:space="preserve">   Plant Amortization</v>
      </c>
      <c r="B276" s="66"/>
      <c r="C276" s="104" t="s">
        <v>566</v>
      </c>
      <c r="D276" s="78">
        <f>BACKUP!D148</f>
        <v>594</v>
      </c>
      <c r="E276" s="78">
        <f>BACKUP!E148</f>
        <v>594</v>
      </c>
      <c r="F276" s="78">
        <f>BACKUP!F148</f>
        <v>594</v>
      </c>
      <c r="G276" s="78">
        <f>BACKUP!G148</f>
        <v>594</v>
      </c>
      <c r="H276" s="78">
        <f>BACKUP!H148</f>
        <v>594</v>
      </c>
      <c r="I276" s="78">
        <f>BACKUP!I148</f>
        <v>594</v>
      </c>
      <c r="J276" s="78">
        <f>BACKUP!J148</f>
        <v>594</v>
      </c>
      <c r="K276" s="78">
        <f>BACKUP!K148</f>
        <v>594</v>
      </c>
      <c r="L276" s="78">
        <f>BACKUP!L148</f>
        <v>594</v>
      </c>
      <c r="M276" s="78">
        <f>BACKUP!M148</f>
        <v>594</v>
      </c>
      <c r="N276" s="78">
        <f>BACKUP!N148</f>
        <v>594</v>
      </c>
      <c r="O276" s="78">
        <f>BACKUP!O148</f>
        <v>594</v>
      </c>
      <c r="P276" s="78">
        <f t="shared" si="208"/>
        <v>7128</v>
      </c>
      <c r="Q276" s="79">
        <f t="shared" si="209"/>
        <v>4158</v>
      </c>
      <c r="R276" s="78">
        <f t="shared" si="210"/>
        <v>2970</v>
      </c>
      <c r="S276" s="66"/>
      <c r="T276" s="66"/>
      <c r="U276" s="78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</row>
    <row r="277" spans="1:47" ht="13.2" x14ac:dyDescent="0.25">
      <c r="A277" s="78" t="str">
        <f>BACKUP!A149</f>
        <v xml:space="preserve">   Removals </v>
      </c>
      <c r="B277" s="66"/>
      <c r="C277" s="158" t="s">
        <v>567</v>
      </c>
      <c r="D277" s="78">
        <f>BACKUP!D149</f>
        <v>-14</v>
      </c>
      <c r="E277" s="78">
        <f>BACKUP!E149</f>
        <v>-19</v>
      </c>
      <c r="F277" s="78">
        <f>BACKUP!F149</f>
        <v>77</v>
      </c>
      <c r="G277" s="78">
        <f>BACKUP!G149</f>
        <v>56</v>
      </c>
      <c r="H277" s="78">
        <f>BACKUP!H149</f>
        <v>-12</v>
      </c>
      <c r="I277" s="78">
        <f>BACKUP!I149</f>
        <v>29</v>
      </c>
      <c r="J277" s="78">
        <f>BACKUP!J149</f>
        <v>-45</v>
      </c>
      <c r="K277" s="78">
        <f>BACKUP!K149</f>
        <v>0</v>
      </c>
      <c r="L277" s="78">
        <f>BACKUP!L149</f>
        <v>0</v>
      </c>
      <c r="M277" s="78">
        <f>BACKUP!M149</f>
        <v>0</v>
      </c>
      <c r="N277" s="78">
        <f>BACKUP!N149</f>
        <v>0</v>
      </c>
      <c r="O277" s="78">
        <f>BACKUP!O149</f>
        <v>0</v>
      </c>
      <c r="P277" s="78">
        <f t="shared" si="208"/>
        <v>72</v>
      </c>
      <c r="Q277" s="79">
        <f t="shared" si="209"/>
        <v>72</v>
      </c>
      <c r="R277" s="78">
        <f t="shared" si="210"/>
        <v>0</v>
      </c>
      <c r="S277" s="66"/>
      <c r="T277" s="66"/>
      <c r="U277" s="78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</row>
    <row r="278" spans="1:47" ht="13.2" x14ac:dyDescent="0.25">
      <c r="A278" s="78" t="str">
        <f>BACKUP!A150</f>
        <v xml:space="preserve">   Salvage </v>
      </c>
      <c r="B278" s="66"/>
      <c r="C278" s="158" t="s">
        <v>567</v>
      </c>
      <c r="D278" s="78">
        <f>BACKUP!D150</f>
        <v>0</v>
      </c>
      <c r="E278" s="78">
        <f>BACKUP!E150</f>
        <v>0</v>
      </c>
      <c r="F278" s="78">
        <f>BACKUP!F150</f>
        <v>0</v>
      </c>
      <c r="G278" s="78">
        <f>BACKUP!G150</f>
        <v>0</v>
      </c>
      <c r="H278" s="78">
        <f>BACKUP!H150</f>
        <v>0</v>
      </c>
      <c r="I278" s="78">
        <f>BACKUP!I150</f>
        <v>0</v>
      </c>
      <c r="J278" s="78">
        <f>BACKUP!J150</f>
        <v>0</v>
      </c>
      <c r="K278" s="78">
        <f>BACKUP!K150</f>
        <v>0</v>
      </c>
      <c r="L278" s="78">
        <f>BACKUP!L150</f>
        <v>0</v>
      </c>
      <c r="M278" s="78">
        <f>BACKUP!M150</f>
        <v>0</v>
      </c>
      <c r="N278" s="78">
        <f>BACKUP!N150</f>
        <v>0</v>
      </c>
      <c r="O278" s="78">
        <f>BACKUP!O150</f>
        <v>0</v>
      </c>
      <c r="P278" s="78">
        <f t="shared" si="208"/>
        <v>0</v>
      </c>
      <c r="Q278" s="79">
        <f t="shared" si="209"/>
        <v>0</v>
      </c>
      <c r="R278" s="78">
        <f t="shared" si="210"/>
        <v>0</v>
      </c>
      <c r="S278" s="66"/>
      <c r="T278" s="78"/>
      <c r="U278" s="78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</row>
    <row r="279" spans="1:47" ht="13.2" x14ac:dyDescent="0.25">
      <c r="A279" s="78" t="str">
        <f>BACKUP!A151</f>
        <v xml:space="preserve">   Rate Case Adjustment</v>
      </c>
      <c r="B279" s="66"/>
      <c r="C279" s="104" t="s">
        <v>566</v>
      </c>
      <c r="D279" s="78">
        <f>BACKUP!D151</f>
        <v>0</v>
      </c>
      <c r="E279" s="78">
        <f>BACKUP!E151</f>
        <v>0</v>
      </c>
      <c r="F279" s="78">
        <f>BACKUP!F151</f>
        <v>0</v>
      </c>
      <c r="G279" s="78">
        <f>BACKUP!G151</f>
        <v>0</v>
      </c>
      <c r="H279" s="78">
        <f>BACKUP!H151</f>
        <v>0</v>
      </c>
      <c r="I279" s="78">
        <f>BACKUP!I151</f>
        <v>0</v>
      </c>
      <c r="J279" s="78">
        <f>BACKUP!J151</f>
        <v>0</v>
      </c>
      <c r="K279" s="78">
        <f>BACKUP!K151</f>
        <v>0</v>
      </c>
      <c r="L279" s="78">
        <f>BACKUP!L151</f>
        <v>0</v>
      </c>
      <c r="M279" s="78">
        <f>BACKUP!M151</f>
        <v>0</v>
      </c>
      <c r="N279" s="78">
        <f>BACKUP!N151</f>
        <v>0</v>
      </c>
      <c r="O279" s="78">
        <f>BACKUP!O151</f>
        <v>0</v>
      </c>
      <c r="P279" s="78">
        <f t="shared" si="208"/>
        <v>0</v>
      </c>
      <c r="Q279" s="79">
        <f t="shared" si="209"/>
        <v>0</v>
      </c>
      <c r="R279" s="78">
        <f t="shared" si="210"/>
        <v>0</v>
      </c>
      <c r="S279" s="66"/>
      <c r="T279" s="78"/>
      <c r="U279" s="78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</row>
    <row r="280" spans="1:47" ht="13.2" x14ac:dyDescent="0.25">
      <c r="A280" s="78" t="str">
        <f>BACKUP!A152</f>
        <v xml:space="preserve">   Pipe Recoating / Accumulated Reserve Adjustment</v>
      </c>
      <c r="B280" s="66"/>
      <c r="C280" s="104" t="s">
        <v>561</v>
      </c>
      <c r="D280" s="78">
        <f>BACKUP!D152</f>
        <v>-67</v>
      </c>
      <c r="E280" s="78">
        <f>BACKUP!E152</f>
        <v>-33</v>
      </c>
      <c r="F280" s="78">
        <f>BACKUP!F152</f>
        <v>-71</v>
      </c>
      <c r="G280" s="78">
        <f>BACKUP!G152</f>
        <v>-71</v>
      </c>
      <c r="H280" s="78">
        <f>BACKUP!H152</f>
        <v>-71</v>
      </c>
      <c r="I280" s="78">
        <f>BACKUP!I152</f>
        <v>-70</v>
      </c>
      <c r="J280" s="78">
        <f>BACKUP!J152</f>
        <v>-71</v>
      </c>
      <c r="K280" s="78">
        <f>BACKUP!K152</f>
        <v>-68</v>
      </c>
      <c r="L280" s="78">
        <f>BACKUP!L152</f>
        <v>-67</v>
      </c>
      <c r="M280" s="78">
        <f>BACKUP!M152</f>
        <v>-67</v>
      </c>
      <c r="N280" s="78">
        <f>BACKUP!N152</f>
        <v>-68</v>
      </c>
      <c r="O280" s="78">
        <f>BACKUP!O152</f>
        <v>-68</v>
      </c>
      <c r="P280" s="78">
        <f t="shared" si="208"/>
        <v>-792</v>
      </c>
      <c r="Q280" s="79">
        <f t="shared" si="209"/>
        <v>-454</v>
      </c>
      <c r="R280" s="78">
        <f t="shared" si="210"/>
        <v>-338</v>
      </c>
      <c r="S280" s="66"/>
      <c r="T280" s="79">
        <v>0</v>
      </c>
      <c r="U280" s="79">
        <v>0</v>
      </c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</row>
    <row r="281" spans="1:47" ht="13.2" x14ac:dyDescent="0.25">
      <c r="A281" s="78" t="str">
        <f>BACKUP!A153</f>
        <v xml:space="preserve">   Asset Sales </v>
      </c>
      <c r="B281" s="66"/>
      <c r="C281" s="104" t="s">
        <v>564</v>
      </c>
      <c r="D281" s="78">
        <f>BACKUP!D153</f>
        <v>0</v>
      </c>
      <c r="E281" s="78">
        <f>BACKUP!E153</f>
        <v>0</v>
      </c>
      <c r="F281" s="78">
        <f>BACKUP!F153</f>
        <v>0</v>
      </c>
      <c r="G281" s="78">
        <f>BACKUP!G153</f>
        <v>0</v>
      </c>
      <c r="H281" s="78">
        <f>BACKUP!H153</f>
        <v>0</v>
      </c>
      <c r="I281" s="78">
        <f>BACKUP!I153</f>
        <v>0</v>
      </c>
      <c r="J281" s="78">
        <f>BACKUP!J153</f>
        <v>0</v>
      </c>
      <c r="K281" s="78">
        <f>BACKUP!K153</f>
        <v>0</v>
      </c>
      <c r="L281" s="78">
        <f>BACKUP!L153</f>
        <v>0</v>
      </c>
      <c r="M281" s="78">
        <f>BACKUP!M153</f>
        <v>0</v>
      </c>
      <c r="N281" s="78">
        <f>BACKUP!N153</f>
        <v>0</v>
      </c>
      <c r="O281" s="78">
        <f>BACKUP!O153</f>
        <v>0</v>
      </c>
      <c r="P281" s="78">
        <f t="shared" si="208"/>
        <v>0</v>
      </c>
      <c r="Q281" s="79">
        <f t="shared" si="209"/>
        <v>0</v>
      </c>
      <c r="R281" s="78">
        <f t="shared" si="210"/>
        <v>0</v>
      </c>
      <c r="S281" s="66"/>
      <c r="T281" s="79">
        <v>0</v>
      </c>
      <c r="U281" s="79">
        <v>0</v>
      </c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</row>
    <row r="282" spans="1:47" ht="13.2" x14ac:dyDescent="0.25">
      <c r="A282" s="78" t="str">
        <f>BACKUP!A154</f>
        <v xml:space="preserve">   Retirement of Reserves / Non-Utility Depreciation</v>
      </c>
      <c r="B282" s="66"/>
      <c r="C282" s="104" t="s">
        <v>561</v>
      </c>
      <c r="D282" s="78">
        <f>BACKUP!D154</f>
        <v>3</v>
      </c>
      <c r="E282" s="78">
        <f>BACKUP!E154</f>
        <v>3</v>
      </c>
      <c r="F282" s="78">
        <f>BACKUP!F154</f>
        <v>3</v>
      </c>
      <c r="G282" s="78">
        <f>BACKUP!G154</f>
        <v>3</v>
      </c>
      <c r="H282" s="78">
        <f>BACKUP!H154</f>
        <v>3</v>
      </c>
      <c r="I282" s="78">
        <f>BACKUP!I154</f>
        <v>3</v>
      </c>
      <c r="J282" s="78">
        <f>BACKUP!J154</f>
        <v>3</v>
      </c>
      <c r="K282" s="78">
        <f>BACKUP!K154</f>
        <v>3</v>
      </c>
      <c r="L282" s="78">
        <f>BACKUP!L154</f>
        <v>3</v>
      </c>
      <c r="M282" s="78">
        <f>BACKUP!M154</f>
        <v>3</v>
      </c>
      <c r="N282" s="78">
        <f>BACKUP!N154</f>
        <v>3</v>
      </c>
      <c r="O282" s="78">
        <f>BACKUP!O154</f>
        <v>3</v>
      </c>
      <c r="P282" s="78">
        <f t="shared" si="208"/>
        <v>36</v>
      </c>
      <c r="Q282" s="79">
        <f t="shared" si="209"/>
        <v>21</v>
      </c>
      <c r="R282" s="78">
        <f t="shared" si="210"/>
        <v>15</v>
      </c>
      <c r="S282" s="66"/>
      <c r="T282" s="66"/>
      <c r="U282" s="78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</row>
    <row r="283" spans="1:47" ht="13.2" x14ac:dyDescent="0.25">
      <c r="A283" s="78" t="str">
        <f>BACKUP!A155</f>
        <v xml:space="preserve">   Actual / Estimate Adjustment</v>
      </c>
      <c r="B283" s="66"/>
      <c r="C283" s="104" t="s">
        <v>565</v>
      </c>
      <c r="D283" s="83">
        <f>BACKUP!D155</f>
        <v>0</v>
      </c>
      <c r="E283" s="83">
        <f>BACKUP!E155</f>
        <v>0</v>
      </c>
      <c r="F283" s="83">
        <f>BACKUP!F155</f>
        <v>0</v>
      </c>
      <c r="G283" s="83">
        <f>BACKUP!G155</f>
        <v>0</v>
      </c>
      <c r="H283" s="83">
        <f>BACKUP!H155</f>
        <v>0</v>
      </c>
      <c r="I283" s="83">
        <f>BACKUP!I155</f>
        <v>0</v>
      </c>
      <c r="J283" s="83">
        <f>BACKUP!J155</f>
        <v>0</v>
      </c>
      <c r="K283" s="83">
        <f>BACKUP!K155</f>
        <v>0</v>
      </c>
      <c r="L283" s="83">
        <f>BACKUP!L155</f>
        <v>0</v>
      </c>
      <c r="M283" s="83">
        <f>BACKUP!M155</f>
        <v>0</v>
      </c>
      <c r="N283" s="83">
        <f>BACKUP!N155</f>
        <v>0</v>
      </c>
      <c r="O283" s="83">
        <f>BACKUP!O155</f>
        <v>0</v>
      </c>
      <c r="P283" s="78">
        <f t="shared" si="208"/>
        <v>0</v>
      </c>
      <c r="Q283" s="79">
        <f t="shared" si="209"/>
        <v>0</v>
      </c>
      <c r="R283" s="78">
        <f t="shared" si="210"/>
        <v>0</v>
      </c>
      <c r="S283" s="66"/>
      <c r="T283" s="78"/>
      <c r="U283" s="78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</row>
    <row r="284" spans="1:47" ht="3.9" customHeight="1" x14ac:dyDescent="0.25">
      <c r="A284" s="66"/>
      <c r="B284" s="66"/>
      <c r="C284" s="104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66"/>
      <c r="Q284" s="66"/>
      <c r="R284" s="66"/>
      <c r="S284" s="66"/>
      <c r="T284" s="78"/>
      <c r="U284" s="78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</row>
    <row r="285" spans="1:47" ht="13.2" x14ac:dyDescent="0.25">
      <c r="A285" s="86" t="str">
        <f>BACKUP!A157</f>
        <v>Accumulated Depreciation - End. Balance</v>
      </c>
      <c r="B285" s="66"/>
      <c r="C285" s="104"/>
      <c r="D285" s="83">
        <f>BACKUP!D157</f>
        <v>105907</v>
      </c>
      <c r="E285" s="83">
        <f>BACKUP!E157</f>
        <v>107444</v>
      </c>
      <c r="F285" s="83">
        <f>BACKUP!F157</f>
        <v>109084</v>
      </c>
      <c r="G285" s="83">
        <f>BACKUP!G157</f>
        <v>110716</v>
      </c>
      <c r="H285" s="83">
        <f>BACKUP!H157</f>
        <v>112236</v>
      </c>
      <c r="I285" s="83">
        <f>BACKUP!I157</f>
        <v>113908</v>
      </c>
      <c r="J285" s="83">
        <f>BACKUP!J157</f>
        <v>115443</v>
      </c>
      <c r="K285" s="83">
        <f>BACKUP!K157</f>
        <v>117028</v>
      </c>
      <c r="L285" s="83">
        <f>BACKUP!L157</f>
        <v>118664</v>
      </c>
      <c r="M285" s="83">
        <f>BACKUP!M157</f>
        <v>120400</v>
      </c>
      <c r="N285" s="83">
        <f>BACKUP!N157</f>
        <v>122235</v>
      </c>
      <c r="O285" s="83">
        <f>BACKUP!O157</f>
        <v>124120</v>
      </c>
      <c r="P285" s="66"/>
      <c r="Q285" s="66"/>
      <c r="R285" s="66"/>
      <c r="S285" s="66"/>
      <c r="T285" s="78"/>
      <c r="U285" s="78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</row>
    <row r="286" spans="1:47" ht="13.2" x14ac:dyDescent="0.25">
      <c r="A286" s="66"/>
      <c r="B286" s="66"/>
      <c r="C286" s="104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78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</row>
    <row r="287" spans="1:47" ht="13.2" x14ac:dyDescent="0.25">
      <c r="A287" s="86" t="str">
        <f>BACKUP!A167</f>
        <v>Deferred Contract Reform. Costs (NonCur.) - End. Balance</v>
      </c>
      <c r="B287" s="66"/>
      <c r="C287" s="104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66"/>
      <c r="Q287" s="66"/>
      <c r="R287" s="66"/>
      <c r="S287" s="66"/>
      <c r="T287" s="78"/>
      <c r="U287" s="78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</row>
    <row r="288" spans="1:47" ht="13.2" x14ac:dyDescent="0.25">
      <c r="A288" s="78" t="str">
        <f>BACKUP!A169</f>
        <v xml:space="preserve">      Change</v>
      </c>
      <c r="B288" s="66"/>
      <c r="C288" s="104" t="s">
        <v>568</v>
      </c>
      <c r="D288" s="78">
        <f>BACKUP!D169</f>
        <v>0</v>
      </c>
      <c r="E288" s="78">
        <f>BACKUP!E169</f>
        <v>0</v>
      </c>
      <c r="F288" s="78">
        <f>BACKUP!F169</f>
        <v>0</v>
      </c>
      <c r="G288" s="78">
        <f>BACKUP!G169</f>
        <v>0</v>
      </c>
      <c r="H288" s="78">
        <f>BACKUP!H169</f>
        <v>0</v>
      </c>
      <c r="I288" s="78">
        <f>BACKUP!I169</f>
        <v>0</v>
      </c>
      <c r="J288" s="78">
        <f>BACKUP!J169</f>
        <v>0</v>
      </c>
      <c r="K288" s="78">
        <f>BACKUP!K169</f>
        <v>0</v>
      </c>
      <c r="L288" s="78">
        <f>BACKUP!L169</f>
        <v>0</v>
      </c>
      <c r="M288" s="78">
        <f>BACKUP!M169</f>
        <v>0</v>
      </c>
      <c r="N288" s="78">
        <f>BACKUP!N169</f>
        <v>0</v>
      </c>
      <c r="O288" s="78">
        <f>BACKUP!O169</f>
        <v>0</v>
      </c>
      <c r="P288" s="78">
        <f>SUM(D288:O288)</f>
        <v>0</v>
      </c>
      <c r="Q288" s="79">
        <f>SUM(D288:J288)</f>
        <v>0</v>
      </c>
      <c r="R288" s="78">
        <f>P288-Q288</f>
        <v>0</v>
      </c>
      <c r="S288" s="66"/>
      <c r="T288" s="78"/>
      <c r="U288" s="78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</row>
    <row r="289" spans="1:47" ht="13.2" x14ac:dyDescent="0.25">
      <c r="A289" s="66"/>
      <c r="B289" s="66"/>
      <c r="C289" s="104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78"/>
      <c r="U289" s="78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</row>
    <row r="290" spans="1:47" ht="13.2" x14ac:dyDescent="0.25">
      <c r="A290" s="102" t="str">
        <f>BACKUP!A231</f>
        <v>Deferred Charges - Beg. Balance</v>
      </c>
      <c r="B290" s="66"/>
      <c r="C290" s="104"/>
      <c r="D290" s="78">
        <f>BACKUP!D231</f>
        <v>2254</v>
      </c>
      <c r="E290" s="78">
        <f>BACKUP!E231</f>
        <v>2205</v>
      </c>
      <c r="F290" s="78">
        <f>BACKUP!F231</f>
        <v>2928</v>
      </c>
      <c r="G290" s="78">
        <f>BACKUP!G231</f>
        <v>2560</v>
      </c>
      <c r="H290" s="78">
        <f>BACKUP!H231</f>
        <v>2828</v>
      </c>
      <c r="I290" s="78">
        <f>BACKUP!I231</f>
        <v>3401</v>
      </c>
      <c r="J290" s="78">
        <f>BACKUP!J231</f>
        <v>3786</v>
      </c>
      <c r="K290" s="78">
        <f>BACKUP!K231</f>
        <v>4026</v>
      </c>
      <c r="L290" s="78">
        <f>BACKUP!L231</f>
        <v>4013</v>
      </c>
      <c r="M290" s="78">
        <f>BACKUP!M231</f>
        <v>4001</v>
      </c>
      <c r="N290" s="78">
        <f>BACKUP!N231</f>
        <v>3988</v>
      </c>
      <c r="O290" s="78">
        <f>BACKUP!O231</f>
        <v>3976</v>
      </c>
      <c r="P290" s="78"/>
      <c r="Q290" s="78"/>
      <c r="R290" s="78"/>
      <c r="S290" s="66"/>
      <c r="T290" s="78"/>
      <c r="U290" s="78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</row>
    <row r="291" spans="1:47" ht="13.2" x14ac:dyDescent="0.25">
      <c r="A291" s="78" t="str">
        <f>BACKUP!A232</f>
        <v xml:space="preserve">   Amortized Loss on Reacquired Debt</v>
      </c>
      <c r="B291" s="66"/>
      <c r="C291" s="104" t="s">
        <v>561</v>
      </c>
      <c r="D291" s="78">
        <f>BACKUP!D232</f>
        <v>0</v>
      </c>
      <c r="E291" s="78">
        <f>BACKUP!E232</f>
        <v>0</v>
      </c>
      <c r="F291" s="78">
        <f>BACKUP!F232</f>
        <v>0</v>
      </c>
      <c r="G291" s="78">
        <f>BACKUP!G232</f>
        <v>0</v>
      </c>
      <c r="H291" s="78">
        <f>BACKUP!H232</f>
        <v>0</v>
      </c>
      <c r="I291" s="78">
        <f>BACKUP!I232</f>
        <v>0</v>
      </c>
      <c r="J291" s="78">
        <f>BACKUP!J232</f>
        <v>0</v>
      </c>
      <c r="K291" s="78">
        <f>BACKUP!K232</f>
        <v>0</v>
      </c>
      <c r="L291" s="78">
        <f>BACKUP!L232</f>
        <v>0</v>
      </c>
      <c r="M291" s="78">
        <f>BACKUP!M232</f>
        <v>0</v>
      </c>
      <c r="N291" s="78">
        <f>BACKUP!N232</f>
        <v>0</v>
      </c>
      <c r="O291" s="78">
        <f>BACKUP!O232</f>
        <v>0</v>
      </c>
      <c r="P291" s="78">
        <f t="shared" ref="P291:P302" si="211">SUM(D291:O291)</f>
        <v>0</v>
      </c>
      <c r="Q291" s="79">
        <f t="shared" ref="Q291:Q302" si="212">SUM(D291:J291)</f>
        <v>0</v>
      </c>
      <c r="R291" s="78">
        <f t="shared" ref="R291:R302" si="213">P291-Q291</f>
        <v>0</v>
      </c>
      <c r="S291" s="66"/>
      <c r="T291" s="79">
        <v>0</v>
      </c>
      <c r="U291" s="79">
        <v>0</v>
      </c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</row>
    <row r="292" spans="1:47" ht="13.2" x14ac:dyDescent="0.25">
      <c r="A292" s="78" t="str">
        <f>BACKUP!A233</f>
        <v xml:space="preserve">   Non Construc.WIP (Incl. Temp. Holding) - Normal</v>
      </c>
      <c r="B292" s="66"/>
      <c r="C292" s="104" t="s">
        <v>561</v>
      </c>
      <c r="D292" s="78">
        <f>BACKUP!D233</f>
        <v>-26</v>
      </c>
      <c r="E292" s="78">
        <f>BACKUP!E233</f>
        <v>746</v>
      </c>
      <c r="F292" s="78">
        <f>BACKUP!F233</f>
        <v>-316</v>
      </c>
      <c r="G292" s="78">
        <f>BACKUP!G233</f>
        <v>281</v>
      </c>
      <c r="H292" s="78">
        <f>BACKUP!H233</f>
        <v>586</v>
      </c>
      <c r="I292" s="78">
        <f>BACKUP!I233</f>
        <v>398</v>
      </c>
      <c r="J292" s="78">
        <f>BACKUP!J233</f>
        <v>252</v>
      </c>
      <c r="K292" s="78">
        <f>BACKUP!K233</f>
        <v>0</v>
      </c>
      <c r="L292" s="78">
        <f>BACKUP!L233</f>
        <v>0</v>
      </c>
      <c r="M292" s="78">
        <f>BACKUP!M233</f>
        <v>0</v>
      </c>
      <c r="N292" s="78">
        <f>BACKUP!N233</f>
        <v>0</v>
      </c>
      <c r="O292" s="78">
        <f>BACKUP!O233</f>
        <v>0</v>
      </c>
      <c r="P292" s="78">
        <f t="shared" si="211"/>
        <v>1921</v>
      </c>
      <c r="Q292" s="79">
        <f t="shared" si="212"/>
        <v>1921</v>
      </c>
      <c r="R292" s="78">
        <f t="shared" si="213"/>
        <v>0</v>
      </c>
      <c r="S292" s="66"/>
      <c r="T292" s="78"/>
      <c r="U292" s="78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</row>
    <row r="293" spans="1:47" ht="13.2" x14ac:dyDescent="0.25">
      <c r="A293" s="78" t="str">
        <f>BACKUP!A234</f>
        <v xml:space="preserve">          - Y2K Cost Deferrals (Reclass to Reg. Assets 7/00)</v>
      </c>
      <c r="B293" s="66"/>
      <c r="C293" s="104" t="s">
        <v>561</v>
      </c>
      <c r="D293" s="78">
        <f>BACKUP!D234</f>
        <v>0</v>
      </c>
      <c r="E293" s="78">
        <f>BACKUP!E234</f>
        <v>0</v>
      </c>
      <c r="F293" s="78">
        <f>BACKUP!F234</f>
        <v>0</v>
      </c>
      <c r="G293" s="78">
        <f>BACKUP!G234</f>
        <v>0</v>
      </c>
      <c r="H293" s="78">
        <f>BACKUP!H234</f>
        <v>0</v>
      </c>
      <c r="I293" s="78">
        <f>BACKUP!I234</f>
        <v>0</v>
      </c>
      <c r="J293" s="78">
        <f>BACKUP!J234</f>
        <v>0</v>
      </c>
      <c r="K293" s="78">
        <f>BACKUP!K234</f>
        <v>0</v>
      </c>
      <c r="L293" s="78">
        <f>BACKUP!L234</f>
        <v>0</v>
      </c>
      <c r="M293" s="78">
        <f>BACKUP!M234</f>
        <v>0</v>
      </c>
      <c r="N293" s="78">
        <f>BACKUP!N234</f>
        <v>0</v>
      </c>
      <c r="O293" s="78">
        <f>BACKUP!O234</f>
        <v>0</v>
      </c>
      <c r="P293" s="78">
        <f t="shared" si="211"/>
        <v>0</v>
      </c>
      <c r="Q293" s="79">
        <f t="shared" si="212"/>
        <v>0</v>
      </c>
      <c r="R293" s="78">
        <f t="shared" si="213"/>
        <v>0</v>
      </c>
      <c r="S293" s="66"/>
      <c r="T293" s="66"/>
      <c r="U293" s="78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</row>
    <row r="294" spans="1:47" ht="13.2" x14ac:dyDescent="0.25">
      <c r="A294" s="78" t="str">
        <f>BACKUP!A235</f>
        <v xml:space="preserve">          - Navajo ROW</v>
      </c>
      <c r="B294" s="66"/>
      <c r="C294" s="104" t="s">
        <v>561</v>
      </c>
      <c r="D294" s="78">
        <f>BACKUP!D235</f>
        <v>0</v>
      </c>
      <c r="E294" s="78">
        <f>BACKUP!E235</f>
        <v>0</v>
      </c>
      <c r="F294" s="78">
        <f>BACKUP!F235</f>
        <v>0</v>
      </c>
      <c r="G294" s="78">
        <f>BACKUP!G235</f>
        <v>0</v>
      </c>
      <c r="H294" s="78">
        <f>BACKUP!H235</f>
        <v>0</v>
      </c>
      <c r="I294" s="78">
        <f>BACKUP!I235</f>
        <v>0</v>
      </c>
      <c r="J294" s="78">
        <f>BACKUP!J235</f>
        <v>0</v>
      </c>
      <c r="K294" s="78">
        <f>BACKUP!K235</f>
        <v>0</v>
      </c>
      <c r="L294" s="78">
        <f>BACKUP!L235</f>
        <v>0</v>
      </c>
      <c r="M294" s="78">
        <f>BACKUP!M235</f>
        <v>0</v>
      </c>
      <c r="N294" s="78">
        <f>BACKUP!N235</f>
        <v>0</v>
      </c>
      <c r="O294" s="78">
        <f>BACKUP!O235</f>
        <v>0</v>
      </c>
      <c r="P294" s="78">
        <f t="shared" si="211"/>
        <v>0</v>
      </c>
      <c r="Q294" s="79">
        <f t="shared" si="212"/>
        <v>0</v>
      </c>
      <c r="R294" s="78">
        <f t="shared" si="213"/>
        <v>0</v>
      </c>
      <c r="S294" s="66"/>
      <c r="T294" s="79">
        <v>0</v>
      </c>
      <c r="U294" s="79">
        <v>0</v>
      </c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</row>
    <row r="295" spans="1:47" ht="13.2" x14ac:dyDescent="0.25">
      <c r="A295" s="78" t="str">
        <f>BACKUP!A236</f>
        <v xml:space="preserve">   Unamortized Debt Expense</v>
      </c>
      <c r="B295" s="66"/>
      <c r="C295" s="104" t="s">
        <v>561</v>
      </c>
      <c r="D295" s="78">
        <f>BACKUP!D236</f>
        <v>-1</v>
      </c>
      <c r="E295" s="78">
        <f>BACKUP!E236</f>
        <v>0</v>
      </c>
      <c r="F295" s="78">
        <f>BACKUP!F236</f>
        <v>-1</v>
      </c>
      <c r="G295" s="78">
        <f>BACKUP!G236</f>
        <v>0</v>
      </c>
      <c r="H295" s="78">
        <f>BACKUP!H236</f>
        <v>-1</v>
      </c>
      <c r="I295" s="78">
        <f>BACKUP!I236</f>
        <v>0</v>
      </c>
      <c r="J295" s="78">
        <f>BACKUP!J236</f>
        <v>0</v>
      </c>
      <c r="K295" s="78">
        <f>BACKUP!K236</f>
        <v>0</v>
      </c>
      <c r="L295" s="78">
        <f>BACKUP!L236</f>
        <v>0</v>
      </c>
      <c r="M295" s="78">
        <f>BACKUP!M236</f>
        <v>0</v>
      </c>
      <c r="N295" s="78">
        <f>BACKUP!N236</f>
        <v>0</v>
      </c>
      <c r="O295" s="78">
        <f>BACKUP!O236</f>
        <v>0</v>
      </c>
      <c r="P295" s="78">
        <f t="shared" si="211"/>
        <v>-3</v>
      </c>
      <c r="Q295" s="79">
        <f t="shared" si="212"/>
        <v>-3</v>
      </c>
      <c r="R295" s="78">
        <f t="shared" si="213"/>
        <v>0</v>
      </c>
      <c r="S295" s="66"/>
      <c r="T295" s="79">
        <v>0</v>
      </c>
      <c r="U295" s="79">
        <v>0</v>
      </c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</row>
    <row r="296" spans="1:47" ht="13.2" x14ac:dyDescent="0.25">
      <c r="A296" s="78" t="str">
        <f>BACKUP!A237</f>
        <v xml:space="preserve">   Operation Information Costs</v>
      </c>
      <c r="B296" s="66"/>
      <c r="C296" s="104" t="s">
        <v>561</v>
      </c>
      <c r="D296" s="78">
        <f>BACKUP!D237</f>
        <v>-10</v>
      </c>
      <c r="E296" s="78">
        <f>BACKUP!E237</f>
        <v>-10</v>
      </c>
      <c r="F296" s="78">
        <f>BACKUP!F237</f>
        <v>-39</v>
      </c>
      <c r="G296" s="78">
        <f>BACKUP!G237</f>
        <v>0</v>
      </c>
      <c r="H296" s="78">
        <f>BACKUP!H237</f>
        <v>0</v>
      </c>
      <c r="I296" s="78">
        <f>BACKUP!I237</f>
        <v>0</v>
      </c>
      <c r="J296" s="78">
        <f>BACKUP!J237</f>
        <v>0</v>
      </c>
      <c r="K296" s="78">
        <f>BACKUP!K237</f>
        <v>0</v>
      </c>
      <c r="L296" s="78">
        <f>BACKUP!L237</f>
        <v>0</v>
      </c>
      <c r="M296" s="78">
        <f>BACKUP!M237</f>
        <v>0</v>
      </c>
      <c r="N296" s="78">
        <f>BACKUP!N237</f>
        <v>0</v>
      </c>
      <c r="O296" s="78">
        <f>BACKUP!O237</f>
        <v>0</v>
      </c>
      <c r="P296" s="78">
        <f t="shared" si="211"/>
        <v>-59</v>
      </c>
      <c r="Q296" s="79">
        <f t="shared" si="212"/>
        <v>-59</v>
      </c>
      <c r="R296" s="78">
        <f t="shared" si="213"/>
        <v>0</v>
      </c>
      <c r="S296" s="66"/>
      <c r="T296" s="79"/>
      <c r="U296" s="79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</row>
    <row r="297" spans="1:47" ht="13.2" x14ac:dyDescent="0.25">
      <c r="A297" s="78" t="str">
        <f>BACKUP!A238</f>
        <v xml:space="preserve">   Other</v>
      </c>
      <c r="B297" s="66"/>
      <c r="C297" s="104" t="s">
        <v>561</v>
      </c>
      <c r="D297" s="78">
        <f>BACKUP!D238</f>
        <v>0</v>
      </c>
      <c r="E297" s="78">
        <f>BACKUP!E238</f>
        <v>0</v>
      </c>
      <c r="F297" s="78">
        <f>BACKUP!F238</f>
        <v>0</v>
      </c>
      <c r="G297" s="78">
        <f>BACKUP!G238</f>
        <v>0</v>
      </c>
      <c r="H297" s="78">
        <f>BACKUP!H238</f>
        <v>0</v>
      </c>
      <c r="I297" s="78">
        <f>BACKUP!I238</f>
        <v>0</v>
      </c>
      <c r="J297" s="78">
        <f>BACKUP!J238</f>
        <v>0</v>
      </c>
      <c r="K297" s="78">
        <f>BACKUP!K238</f>
        <v>0</v>
      </c>
      <c r="L297" s="78">
        <f>BACKUP!L238</f>
        <v>0</v>
      </c>
      <c r="M297" s="78">
        <f>BACKUP!M238</f>
        <v>0</v>
      </c>
      <c r="N297" s="78">
        <f>BACKUP!N238</f>
        <v>0</v>
      </c>
      <c r="O297" s="78">
        <f>BACKUP!O238</f>
        <v>0</v>
      </c>
      <c r="P297" s="78">
        <f t="shared" si="211"/>
        <v>0</v>
      </c>
      <c r="Q297" s="79">
        <f t="shared" si="212"/>
        <v>0</v>
      </c>
      <c r="R297" s="78">
        <f t="shared" si="213"/>
        <v>0</v>
      </c>
      <c r="S297" s="66"/>
      <c r="T297" s="79">
        <v>0</v>
      </c>
      <c r="U297" s="79">
        <v>0</v>
      </c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</row>
    <row r="298" spans="1:47" ht="13.2" x14ac:dyDescent="0.25">
      <c r="A298" s="78" t="str">
        <f>BACKUP!A239</f>
        <v xml:space="preserve">   Santa Fe Amortization</v>
      </c>
      <c r="B298" s="66"/>
      <c r="C298" s="104" t="s">
        <v>561</v>
      </c>
      <c r="D298" s="78">
        <f>BACKUP!D239</f>
        <v>-12</v>
      </c>
      <c r="E298" s="78">
        <f>BACKUP!E239</f>
        <v>-13</v>
      </c>
      <c r="F298" s="78">
        <f>BACKUP!F239</f>
        <v>-12</v>
      </c>
      <c r="G298" s="78">
        <f>BACKUP!G239</f>
        <v>-13</v>
      </c>
      <c r="H298" s="78">
        <f>BACKUP!H239</f>
        <v>-12</v>
      </c>
      <c r="I298" s="78">
        <f>BACKUP!I239</f>
        <v>-13</v>
      </c>
      <c r="J298" s="78">
        <f>BACKUP!J239</f>
        <v>-12</v>
      </c>
      <c r="K298" s="78">
        <f>BACKUP!K239</f>
        <v>-13</v>
      </c>
      <c r="L298" s="78">
        <f>BACKUP!L239</f>
        <v>-12</v>
      </c>
      <c r="M298" s="78">
        <f>BACKUP!M239</f>
        <v>-13</v>
      </c>
      <c r="N298" s="78">
        <f>BACKUP!N239</f>
        <v>-12</v>
      </c>
      <c r="O298" s="78">
        <f>BACKUP!O239</f>
        <v>-13</v>
      </c>
      <c r="P298" s="78">
        <f t="shared" si="211"/>
        <v>-150</v>
      </c>
      <c r="Q298" s="79">
        <f t="shared" si="212"/>
        <v>-87</v>
      </c>
      <c r="R298" s="78">
        <f t="shared" si="213"/>
        <v>-63</v>
      </c>
      <c r="S298" s="66"/>
      <c r="T298" s="79">
        <v>0</v>
      </c>
      <c r="U298" s="79">
        <v>0</v>
      </c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</row>
    <row r="299" spans="1:47" ht="13.2" x14ac:dyDescent="0.25">
      <c r="A299" s="78" t="str">
        <f>BACKUP!A240</f>
        <v xml:space="preserve">   Other</v>
      </c>
      <c r="B299" s="66"/>
      <c r="C299" s="104" t="s">
        <v>561</v>
      </c>
      <c r="D299" s="78">
        <f>BACKUP!D240</f>
        <v>0</v>
      </c>
      <c r="E299" s="78">
        <f>BACKUP!E240</f>
        <v>0</v>
      </c>
      <c r="F299" s="78">
        <f>BACKUP!F240</f>
        <v>0</v>
      </c>
      <c r="G299" s="78">
        <f>BACKUP!G240</f>
        <v>0</v>
      </c>
      <c r="H299" s="78">
        <f>BACKUP!H240</f>
        <v>0</v>
      </c>
      <c r="I299" s="78">
        <f>BACKUP!I240</f>
        <v>0</v>
      </c>
      <c r="J299" s="78">
        <f>BACKUP!J240</f>
        <v>0</v>
      </c>
      <c r="K299" s="78">
        <f>BACKUP!K240</f>
        <v>0</v>
      </c>
      <c r="L299" s="78">
        <f>BACKUP!L240</f>
        <v>0</v>
      </c>
      <c r="M299" s="78">
        <f>BACKUP!M240</f>
        <v>0</v>
      </c>
      <c r="N299" s="78">
        <f>BACKUP!N240</f>
        <v>0</v>
      </c>
      <c r="O299" s="78">
        <f>BACKUP!O240</f>
        <v>0</v>
      </c>
      <c r="P299" s="78">
        <f t="shared" si="211"/>
        <v>0</v>
      </c>
      <c r="Q299" s="79">
        <f t="shared" si="212"/>
        <v>0</v>
      </c>
      <c r="R299" s="78">
        <f t="shared" si="213"/>
        <v>0</v>
      </c>
      <c r="S299" s="66"/>
      <c r="T299" s="79">
        <v>0</v>
      </c>
      <c r="U299" s="79">
        <v>0</v>
      </c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</row>
    <row r="300" spans="1:47" ht="13.2" x14ac:dyDescent="0.25">
      <c r="A300" s="78" t="str">
        <f>BACKUP!A241</f>
        <v xml:space="preserve">   Unidentified "Stretch" (Non Cash)</v>
      </c>
      <c r="B300" s="66"/>
      <c r="C300" s="104" t="s">
        <v>561</v>
      </c>
      <c r="D300" s="78">
        <f>BACKUP!D241</f>
        <v>0</v>
      </c>
      <c r="E300" s="78">
        <f>BACKUP!E241</f>
        <v>0</v>
      </c>
      <c r="F300" s="78">
        <f>BACKUP!F241</f>
        <v>0</v>
      </c>
      <c r="G300" s="78">
        <f>BACKUP!G241</f>
        <v>0</v>
      </c>
      <c r="H300" s="78">
        <f>BACKUP!H241</f>
        <v>0</v>
      </c>
      <c r="I300" s="78">
        <f>BACKUP!I241</f>
        <v>0</v>
      </c>
      <c r="J300" s="78">
        <f>BACKUP!J241</f>
        <v>0</v>
      </c>
      <c r="K300" s="78">
        <f>BACKUP!K241</f>
        <v>0</v>
      </c>
      <c r="L300" s="78">
        <f>BACKUP!L241</f>
        <v>0</v>
      </c>
      <c r="M300" s="78">
        <f>BACKUP!M241</f>
        <v>0</v>
      </c>
      <c r="N300" s="78">
        <f>BACKUP!N241</f>
        <v>0</v>
      </c>
      <c r="O300" s="78">
        <f>BACKUP!O241</f>
        <v>0</v>
      </c>
      <c r="P300" s="78">
        <f t="shared" si="211"/>
        <v>0</v>
      </c>
      <c r="Q300" s="79">
        <f t="shared" si="212"/>
        <v>0</v>
      </c>
      <c r="R300" s="78">
        <f t="shared" si="213"/>
        <v>0</v>
      </c>
      <c r="S300" s="66"/>
      <c r="T300" s="79">
        <v>0</v>
      </c>
      <c r="U300" s="79">
        <v>0</v>
      </c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</row>
    <row r="301" spans="1:47" ht="13.2" x14ac:dyDescent="0.25">
      <c r="A301" s="78" t="str">
        <f>BACKUP!A242</f>
        <v xml:space="preserve">   Quarterly Actual vs. Flash Variance (Hyperion Adjust.)</v>
      </c>
      <c r="B301" s="66"/>
      <c r="C301" s="104" t="s">
        <v>561</v>
      </c>
      <c r="D301" s="78">
        <f>BACKUP!D242</f>
        <v>0</v>
      </c>
      <c r="E301" s="78">
        <f>BACKUP!E242</f>
        <v>0</v>
      </c>
      <c r="F301" s="78">
        <f>BACKUP!F242</f>
        <v>0</v>
      </c>
      <c r="G301" s="78">
        <f>BACKUP!G242</f>
        <v>0</v>
      </c>
      <c r="H301" s="78">
        <f>BACKUP!H242</f>
        <v>0</v>
      </c>
      <c r="I301" s="78">
        <f>BACKUP!I242</f>
        <v>0</v>
      </c>
      <c r="J301" s="78">
        <f>BACKUP!J242</f>
        <v>0</v>
      </c>
      <c r="K301" s="78">
        <f>BACKUP!K242</f>
        <v>0</v>
      </c>
      <c r="L301" s="78">
        <f>BACKUP!L242</f>
        <v>0</v>
      </c>
      <c r="M301" s="78">
        <f>BACKUP!M242</f>
        <v>0</v>
      </c>
      <c r="N301" s="78">
        <f>BACKUP!N242</f>
        <v>0</v>
      </c>
      <c r="O301" s="78">
        <f>BACKUP!O242</f>
        <v>0</v>
      </c>
      <c r="P301" s="78">
        <f t="shared" si="211"/>
        <v>0</v>
      </c>
      <c r="Q301" s="79">
        <f t="shared" si="212"/>
        <v>0</v>
      </c>
      <c r="R301" s="78">
        <f t="shared" si="213"/>
        <v>0</v>
      </c>
      <c r="S301" s="66"/>
      <c r="T301" s="79">
        <v>0</v>
      </c>
      <c r="U301" s="79">
        <v>0</v>
      </c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</row>
    <row r="302" spans="1:47" ht="13.2" x14ac:dyDescent="0.25">
      <c r="A302" s="78" t="str">
        <f>BACKUP!A243</f>
        <v xml:space="preserve">   Actual / Estimate Adjustment</v>
      </c>
      <c r="B302" s="66"/>
      <c r="C302" s="104" t="s">
        <v>561</v>
      </c>
      <c r="D302" s="83">
        <f>BACKUP!D243</f>
        <v>0</v>
      </c>
      <c r="E302" s="83">
        <f>BACKUP!E243</f>
        <v>0</v>
      </c>
      <c r="F302" s="83">
        <f>BACKUP!F243</f>
        <v>0</v>
      </c>
      <c r="G302" s="83">
        <f>BACKUP!G243</f>
        <v>0</v>
      </c>
      <c r="H302" s="83">
        <f>BACKUP!H243</f>
        <v>0</v>
      </c>
      <c r="I302" s="83">
        <f>BACKUP!I243</f>
        <v>0</v>
      </c>
      <c r="J302" s="83">
        <f>BACKUP!J243</f>
        <v>0</v>
      </c>
      <c r="K302" s="83">
        <f>BACKUP!K243</f>
        <v>0</v>
      </c>
      <c r="L302" s="83">
        <f>BACKUP!L243</f>
        <v>0</v>
      </c>
      <c r="M302" s="83">
        <f>BACKUP!M243</f>
        <v>0</v>
      </c>
      <c r="N302" s="83">
        <f>BACKUP!N243</f>
        <v>0</v>
      </c>
      <c r="O302" s="83">
        <f>BACKUP!O243</f>
        <v>0</v>
      </c>
      <c r="P302" s="78">
        <f t="shared" si="211"/>
        <v>0</v>
      </c>
      <c r="Q302" s="79">
        <f t="shared" si="212"/>
        <v>0</v>
      </c>
      <c r="R302" s="78">
        <f t="shared" si="213"/>
        <v>0</v>
      </c>
      <c r="S302" s="66"/>
      <c r="T302" s="79">
        <v>0</v>
      </c>
      <c r="U302" s="79">
        <v>0</v>
      </c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</row>
    <row r="303" spans="1:47" ht="3.9" customHeight="1" x14ac:dyDescent="0.25">
      <c r="A303" s="66"/>
      <c r="B303" s="66"/>
      <c r="C303" s="104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66"/>
      <c r="Q303" s="66"/>
      <c r="R303" s="66"/>
      <c r="S303" s="66"/>
      <c r="T303" s="78"/>
      <c r="U303" s="78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</row>
    <row r="304" spans="1:47" ht="13.2" x14ac:dyDescent="0.25">
      <c r="A304" s="86" t="str">
        <f>BACKUP!A245</f>
        <v>Deferred Charges - End. Balance</v>
      </c>
      <c r="B304" s="66"/>
      <c r="C304" s="104"/>
      <c r="D304" s="83">
        <f>BACKUP!D245</f>
        <v>2205</v>
      </c>
      <c r="E304" s="83">
        <f>BACKUP!E245</f>
        <v>2928</v>
      </c>
      <c r="F304" s="83">
        <f>BACKUP!F245</f>
        <v>2560</v>
      </c>
      <c r="G304" s="83">
        <f>BACKUP!G245</f>
        <v>2828</v>
      </c>
      <c r="H304" s="83">
        <f>BACKUP!H245</f>
        <v>3401</v>
      </c>
      <c r="I304" s="83">
        <f>BACKUP!I245</f>
        <v>3786</v>
      </c>
      <c r="J304" s="83">
        <f>BACKUP!J245</f>
        <v>4026</v>
      </c>
      <c r="K304" s="83">
        <f>BACKUP!K245</f>
        <v>4013</v>
      </c>
      <c r="L304" s="83">
        <f>BACKUP!L245</f>
        <v>4001</v>
      </c>
      <c r="M304" s="83">
        <f>BACKUP!M245</f>
        <v>3988</v>
      </c>
      <c r="N304" s="83">
        <f>BACKUP!N245</f>
        <v>3976</v>
      </c>
      <c r="O304" s="83">
        <f>BACKUP!O245</f>
        <v>3963</v>
      </c>
      <c r="P304" s="66"/>
      <c r="Q304" s="66"/>
      <c r="R304" s="66"/>
      <c r="S304" s="66"/>
      <c r="T304" s="78"/>
      <c r="U304" s="78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</row>
    <row r="305" spans="1:47" ht="13.2" x14ac:dyDescent="0.25">
      <c r="A305" s="66"/>
      <c r="B305" s="66"/>
      <c r="C305" s="104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78"/>
      <c r="U305" s="78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</row>
    <row r="306" spans="1:47" ht="13.2" x14ac:dyDescent="0.25">
      <c r="A306" s="96" t="s">
        <v>569</v>
      </c>
      <c r="B306" s="66"/>
      <c r="C306" s="104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78"/>
      <c r="U306" s="78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</row>
    <row r="307" spans="1:47" ht="13.2" x14ac:dyDescent="0.25">
      <c r="A307" s="78" t="str">
        <f>BACKUP!A378</f>
        <v xml:space="preserve">   Reserve Issues - Other</v>
      </c>
      <c r="B307" s="66"/>
      <c r="C307" s="104"/>
      <c r="D307" s="78">
        <f>BACKUP!D378</f>
        <v>0</v>
      </c>
      <c r="E307" s="78">
        <f>BACKUP!E378</f>
        <v>0</v>
      </c>
      <c r="F307" s="78">
        <f>BACKUP!F378</f>
        <v>0</v>
      </c>
      <c r="G307" s="78">
        <f>BACKUP!G378</f>
        <v>0</v>
      </c>
      <c r="H307" s="78">
        <f>BACKUP!H378</f>
        <v>0</v>
      </c>
      <c r="I307" s="78">
        <f>BACKUP!I378</f>
        <v>0</v>
      </c>
      <c r="J307" s="78">
        <f>BACKUP!J378</f>
        <v>0</v>
      </c>
      <c r="K307" s="78">
        <f>BACKUP!K378</f>
        <v>0</v>
      </c>
      <c r="L307" s="78">
        <f>BACKUP!L378</f>
        <v>0</v>
      </c>
      <c r="M307" s="78">
        <f>BACKUP!M378</f>
        <v>0</v>
      </c>
      <c r="N307" s="78">
        <f>BACKUP!N378</f>
        <v>0</v>
      </c>
      <c r="O307" s="78">
        <f>BACKUP!O378</f>
        <v>0</v>
      </c>
      <c r="P307" s="78">
        <f>SUM(D307:O307)</f>
        <v>0</v>
      </c>
      <c r="Q307" s="79">
        <f>SUM(D307:J307)</f>
        <v>0</v>
      </c>
      <c r="R307" s="78">
        <f>P307-Q307</f>
        <v>0</v>
      </c>
      <c r="S307" s="66"/>
      <c r="T307" s="78"/>
      <c r="U307" s="78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</row>
    <row r="308" spans="1:47" ht="13.2" x14ac:dyDescent="0.25">
      <c r="A308" s="78" t="str">
        <f>BACKUP!A379</f>
        <v xml:space="preserve">        - Deferred Interest Income (Starting in 1997)</v>
      </c>
      <c r="B308" s="66"/>
      <c r="C308" s="104"/>
      <c r="D308" s="78">
        <f>BACKUP!D379</f>
        <v>9</v>
      </c>
      <c r="E308" s="78">
        <f>BACKUP!E379</f>
        <v>0</v>
      </c>
      <c r="F308" s="78">
        <f>BACKUP!F379</f>
        <v>12</v>
      </c>
      <c r="G308" s="78">
        <f>BACKUP!G379</f>
        <v>9</v>
      </c>
      <c r="H308" s="78">
        <f>BACKUP!H379</f>
        <v>5</v>
      </c>
      <c r="I308" s="78">
        <f>BACKUP!I379</f>
        <v>0</v>
      </c>
      <c r="J308" s="78">
        <f>BACKUP!J379</f>
        <v>36</v>
      </c>
      <c r="K308" s="78">
        <f>BACKUP!K379</f>
        <v>0</v>
      </c>
      <c r="L308" s="78">
        <f>BACKUP!L379</f>
        <v>0</v>
      </c>
      <c r="M308" s="78">
        <f>BACKUP!M379</f>
        <v>0</v>
      </c>
      <c r="N308" s="78">
        <f>BACKUP!N379</f>
        <v>0</v>
      </c>
      <c r="O308" s="78">
        <f>BACKUP!O379</f>
        <v>0</v>
      </c>
      <c r="P308" s="78">
        <f>SUM(D308:O308)</f>
        <v>71</v>
      </c>
      <c r="Q308" s="79">
        <f>SUM(D308:J308)</f>
        <v>71</v>
      </c>
      <c r="R308" s="78">
        <f>P308-Q308</f>
        <v>0</v>
      </c>
      <c r="S308" s="66"/>
      <c r="T308" s="78"/>
      <c r="U308" s="78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</row>
    <row r="309" spans="1:47" ht="13.2" x14ac:dyDescent="0.25">
      <c r="A309" s="78" t="str">
        <f>BACKUP!A380</f>
        <v xml:space="preserve">        - Other (Earning Management)</v>
      </c>
      <c r="B309" s="66"/>
      <c r="C309" s="104"/>
      <c r="D309" s="78">
        <f>BACKUP!D380</f>
        <v>0</v>
      </c>
      <c r="E309" s="78">
        <f>BACKUP!E380</f>
        <v>0</v>
      </c>
      <c r="F309" s="78">
        <f>BACKUP!F380</f>
        <v>0</v>
      </c>
      <c r="G309" s="78">
        <f>BACKUP!G380</f>
        <v>379</v>
      </c>
      <c r="H309" s="78">
        <f>BACKUP!H380</f>
        <v>-331</v>
      </c>
      <c r="I309" s="78">
        <f>BACKUP!I380</f>
        <v>0</v>
      </c>
      <c r="J309" s="78">
        <f>BACKUP!J380</f>
        <v>0</v>
      </c>
      <c r="K309" s="78">
        <f>BACKUP!K380</f>
        <v>0</v>
      </c>
      <c r="L309" s="78">
        <f>BACKUP!L380</f>
        <v>0</v>
      </c>
      <c r="M309" s="78">
        <f>BACKUP!M380</f>
        <v>0</v>
      </c>
      <c r="N309" s="78">
        <f>BACKUP!N380</f>
        <v>0</v>
      </c>
      <c r="O309" s="78">
        <f>BACKUP!O380</f>
        <v>0</v>
      </c>
      <c r="P309" s="78">
        <f>SUM(D309:O309)</f>
        <v>48</v>
      </c>
      <c r="Q309" s="79">
        <f>SUM(D309:J309)</f>
        <v>48</v>
      </c>
      <c r="R309" s="78">
        <f>P309-Q309</f>
        <v>0</v>
      </c>
      <c r="S309" s="66"/>
      <c r="T309" s="78"/>
      <c r="U309" s="78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</row>
    <row r="310" spans="1:47" ht="13.2" x14ac:dyDescent="0.25">
      <c r="A310" s="78" t="str">
        <f>BACKUP!A381</f>
        <v xml:space="preserve">        - Negotiated Rates / SoCal Issue </v>
      </c>
      <c r="B310" s="66"/>
      <c r="C310" s="104"/>
      <c r="D310" s="78">
        <f>BACKUP!D381</f>
        <v>0</v>
      </c>
      <c r="E310" s="78">
        <f>BACKUP!E381</f>
        <v>0</v>
      </c>
      <c r="F310" s="78">
        <f>BACKUP!F381</f>
        <v>11540</v>
      </c>
      <c r="G310" s="78">
        <f>BACKUP!G381</f>
        <v>367</v>
      </c>
      <c r="H310" s="78">
        <f>BACKUP!H381</f>
        <v>0</v>
      </c>
      <c r="I310" s="78">
        <f>BACKUP!I381</f>
        <v>325</v>
      </c>
      <c r="J310" s="78">
        <f>BACKUP!J381</f>
        <v>8</v>
      </c>
      <c r="K310" s="78">
        <f>BACKUP!K381</f>
        <v>244</v>
      </c>
      <c r="L310" s="78">
        <f>BACKUP!L381</f>
        <v>-244</v>
      </c>
      <c r="M310" s="78">
        <f>BACKUP!M381</f>
        <v>0</v>
      </c>
      <c r="N310" s="78">
        <f>BACKUP!N381</f>
        <v>0</v>
      </c>
      <c r="O310" s="78">
        <f>BACKUP!O381</f>
        <v>161</v>
      </c>
      <c r="P310" s="78">
        <f>SUM(D310:O310)</f>
        <v>12401</v>
      </c>
      <c r="Q310" s="79">
        <f>SUM(D310:J310)</f>
        <v>12240</v>
      </c>
      <c r="R310" s="78">
        <f>P310-Q310</f>
        <v>161</v>
      </c>
      <c r="S310" s="66"/>
      <c r="T310" s="78"/>
      <c r="U310" s="78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</row>
    <row r="311" spans="1:47" ht="13.2" x14ac:dyDescent="0.25">
      <c r="A311" s="78" t="str">
        <f>BACKUP!A382</f>
        <v xml:space="preserve">        - Misc. (2/01 Grynberg Legal, 3/01 Fuel Issue)</v>
      </c>
      <c r="B311" s="66"/>
      <c r="C311" s="104"/>
      <c r="D311" s="83">
        <f>BACKUP!D382</f>
        <v>0</v>
      </c>
      <c r="E311" s="83">
        <f>BACKUP!E382</f>
        <v>200</v>
      </c>
      <c r="F311" s="83">
        <f>BACKUP!F382</f>
        <v>0</v>
      </c>
      <c r="G311" s="83">
        <f>BACKUP!G382</f>
        <v>0</v>
      </c>
      <c r="H311" s="83">
        <f>BACKUP!H382</f>
        <v>0</v>
      </c>
      <c r="I311" s="83">
        <f>BACKUP!I382</f>
        <v>0</v>
      </c>
      <c r="J311" s="83">
        <f>BACKUP!J382</f>
        <v>0</v>
      </c>
      <c r="K311" s="83">
        <f>BACKUP!K382</f>
        <v>0</v>
      </c>
      <c r="L311" s="83">
        <f>BACKUP!L382</f>
        <v>0</v>
      </c>
      <c r="M311" s="83">
        <f>BACKUP!M382</f>
        <v>0</v>
      </c>
      <c r="N311" s="83">
        <f>BACKUP!N382</f>
        <v>0</v>
      </c>
      <c r="O311" s="83">
        <f>BACKUP!O382</f>
        <v>0</v>
      </c>
      <c r="P311" s="83">
        <f>SUM(D311:O311)</f>
        <v>200</v>
      </c>
      <c r="Q311" s="101">
        <f>SUM(D311:J311)</f>
        <v>200</v>
      </c>
      <c r="R311" s="83">
        <f>P311-Q311</f>
        <v>0</v>
      </c>
      <c r="S311" s="66"/>
      <c r="T311" s="78"/>
      <c r="U311" s="78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</row>
    <row r="312" spans="1:47" ht="3.9" customHeight="1" x14ac:dyDescent="0.25">
      <c r="A312" s="78"/>
      <c r="B312" s="66"/>
      <c r="C312" s="104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78"/>
      <c r="U312" s="78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</row>
    <row r="313" spans="1:47" ht="13.2" x14ac:dyDescent="0.25">
      <c r="A313" s="110" t="s">
        <v>570</v>
      </c>
      <c r="B313" s="66"/>
      <c r="C313" s="104" t="s">
        <v>561</v>
      </c>
      <c r="D313" s="116">
        <f>SUM(D307:D311)</f>
        <v>9</v>
      </c>
      <c r="E313" s="116">
        <f t="shared" ref="E313:R313" si="214">SUM(E307:E311)</f>
        <v>200</v>
      </c>
      <c r="F313" s="116">
        <f t="shared" si="214"/>
        <v>11552</v>
      </c>
      <c r="G313" s="116">
        <f t="shared" si="214"/>
        <v>755</v>
      </c>
      <c r="H313" s="116">
        <f t="shared" si="214"/>
        <v>-326</v>
      </c>
      <c r="I313" s="116">
        <f t="shared" si="214"/>
        <v>325</v>
      </c>
      <c r="J313" s="116">
        <f t="shared" si="214"/>
        <v>44</v>
      </c>
      <c r="K313" s="116">
        <f t="shared" si="214"/>
        <v>244</v>
      </c>
      <c r="L313" s="116">
        <f t="shared" si="214"/>
        <v>-244</v>
      </c>
      <c r="M313" s="116">
        <f t="shared" si="214"/>
        <v>0</v>
      </c>
      <c r="N313" s="116">
        <f t="shared" si="214"/>
        <v>0</v>
      </c>
      <c r="O313" s="116">
        <f t="shared" si="214"/>
        <v>161</v>
      </c>
      <c r="P313" s="116">
        <f t="shared" si="214"/>
        <v>12720</v>
      </c>
      <c r="Q313" s="116">
        <f t="shared" si="214"/>
        <v>12559</v>
      </c>
      <c r="R313" s="116">
        <f t="shared" si="214"/>
        <v>161</v>
      </c>
      <c r="S313" s="66"/>
      <c r="T313" s="78"/>
      <c r="U313" s="78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</row>
    <row r="314" spans="1:47" ht="13.2" x14ac:dyDescent="0.25">
      <c r="A314" s="66"/>
      <c r="B314" s="66"/>
      <c r="C314" s="104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78"/>
      <c r="U314" s="78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</row>
    <row r="315" spans="1:47" ht="13.2" x14ac:dyDescent="0.25">
      <c r="A315" s="102" t="str">
        <f>BACKUP!A415</f>
        <v>Other Deferred Credits - Beg. Balance</v>
      </c>
      <c r="B315" s="66"/>
      <c r="C315" s="104"/>
      <c r="D315" s="78">
        <f>BACKUP!D415</f>
        <v>2661</v>
      </c>
      <c r="E315" s="78">
        <f>BACKUP!E415</f>
        <v>2637</v>
      </c>
      <c r="F315" s="78">
        <f>BACKUP!F415</f>
        <v>2614</v>
      </c>
      <c r="G315" s="78">
        <f>BACKUP!G415</f>
        <v>2592</v>
      </c>
      <c r="H315" s="78">
        <f>BACKUP!H415</f>
        <v>2570</v>
      </c>
      <c r="I315" s="78">
        <f>BACKUP!I415</f>
        <v>2542</v>
      </c>
      <c r="J315" s="78">
        <f>BACKUP!J415</f>
        <v>2520</v>
      </c>
      <c r="K315" s="78">
        <f>BACKUP!K415</f>
        <v>2497</v>
      </c>
      <c r="L315" s="78">
        <f>BACKUP!L415</f>
        <v>2473</v>
      </c>
      <c r="M315" s="78">
        <f>BACKUP!M415</f>
        <v>2449</v>
      </c>
      <c r="N315" s="78">
        <f>BACKUP!N415</f>
        <v>2425</v>
      </c>
      <c r="O315" s="78">
        <f>BACKUP!O415</f>
        <v>2401</v>
      </c>
      <c r="P315" s="78"/>
      <c r="Q315" s="78"/>
      <c r="R315" s="78"/>
      <c r="S315" s="66"/>
      <c r="T315" s="78"/>
      <c r="U315" s="78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</row>
    <row r="316" spans="1:47" ht="13.2" x14ac:dyDescent="0.25">
      <c r="A316" s="78" t="str">
        <f>BACKUP!A416</f>
        <v xml:space="preserve">   Unamortized Gain on Reacquired Debt</v>
      </c>
      <c r="B316" s="66"/>
      <c r="C316" s="104" t="s">
        <v>561</v>
      </c>
      <c r="D316" s="78">
        <f>BACKUP!D416</f>
        <v>0</v>
      </c>
      <c r="E316" s="78">
        <f>BACKUP!E416</f>
        <v>0</v>
      </c>
      <c r="F316" s="78">
        <f>BACKUP!F416</f>
        <v>0</v>
      </c>
      <c r="G316" s="78">
        <f>BACKUP!G416</f>
        <v>0</v>
      </c>
      <c r="H316" s="78">
        <f>BACKUP!H416</f>
        <v>0</v>
      </c>
      <c r="I316" s="78">
        <f>BACKUP!I416</f>
        <v>0</v>
      </c>
      <c r="J316" s="78">
        <f>BACKUP!J416</f>
        <v>0</v>
      </c>
      <c r="K316" s="78">
        <f>BACKUP!K416</f>
        <v>0</v>
      </c>
      <c r="L316" s="78">
        <f>BACKUP!L416</f>
        <v>0</v>
      </c>
      <c r="M316" s="78">
        <f>BACKUP!M416</f>
        <v>0</v>
      </c>
      <c r="N316" s="78">
        <f>BACKUP!N416</f>
        <v>0</v>
      </c>
      <c r="O316" s="78">
        <f>BACKUP!O416</f>
        <v>0</v>
      </c>
      <c r="P316" s="78">
        <f t="shared" ref="P316:P322" si="215">SUM(D316:O316)</f>
        <v>0</v>
      </c>
      <c r="Q316" s="79">
        <f t="shared" ref="Q316:Q322" si="216">SUM(D316:J316)</f>
        <v>0</v>
      </c>
      <c r="R316" s="78">
        <f t="shared" ref="R316:R322" si="217">P316-Q316</f>
        <v>0</v>
      </c>
      <c r="S316" s="66"/>
      <c r="T316" s="79">
        <v>0</v>
      </c>
      <c r="U316" s="79">
        <v>0</v>
      </c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</row>
    <row r="317" spans="1:47" ht="13.2" x14ac:dyDescent="0.25">
      <c r="A317" s="78" t="str">
        <f>BACKUP!A417</f>
        <v xml:space="preserve">   Other </v>
      </c>
      <c r="B317" s="66"/>
      <c r="C317" s="104" t="s">
        <v>561</v>
      </c>
      <c r="D317" s="78">
        <f>BACKUP!D417</f>
        <v>0</v>
      </c>
      <c r="E317" s="78">
        <f>BACKUP!E417</f>
        <v>0</v>
      </c>
      <c r="F317" s="78">
        <f>BACKUP!F417</f>
        <v>0</v>
      </c>
      <c r="G317" s="78">
        <f>BACKUP!G417</f>
        <v>0</v>
      </c>
      <c r="H317" s="78">
        <f>BACKUP!H417</f>
        <v>0</v>
      </c>
      <c r="I317" s="78">
        <f>BACKUP!I417</f>
        <v>0</v>
      </c>
      <c r="J317" s="78">
        <f>BACKUP!J417</f>
        <v>0</v>
      </c>
      <c r="K317" s="78">
        <f>BACKUP!K417</f>
        <v>0</v>
      </c>
      <c r="L317" s="78">
        <f>BACKUP!L417</f>
        <v>0</v>
      </c>
      <c r="M317" s="78">
        <f>BACKUP!M417</f>
        <v>0</v>
      </c>
      <c r="N317" s="78">
        <f>BACKUP!N417</f>
        <v>0</v>
      </c>
      <c r="O317" s="78">
        <f>BACKUP!O417</f>
        <v>0</v>
      </c>
      <c r="P317" s="78">
        <f t="shared" si="215"/>
        <v>0</v>
      </c>
      <c r="Q317" s="79">
        <f t="shared" si="216"/>
        <v>0</v>
      </c>
      <c r="R317" s="78">
        <f t="shared" si="217"/>
        <v>0</v>
      </c>
      <c r="S317" s="66"/>
      <c r="T317" s="79">
        <v>0</v>
      </c>
      <c r="U317" s="79">
        <v>0</v>
      </c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</row>
    <row r="318" spans="1:47" ht="13.2" x14ac:dyDescent="0.25">
      <c r="A318" s="78" t="str">
        <f>BACKUP!A418</f>
        <v xml:space="preserve">   PG&amp;E ($430) and UAF ($244) Accruals</v>
      </c>
      <c r="B318" s="66"/>
      <c r="C318" s="104" t="s">
        <v>561</v>
      </c>
      <c r="D318" s="78">
        <f>BACKUP!D418</f>
        <v>0</v>
      </c>
      <c r="E318" s="78">
        <f>BACKUP!E418</f>
        <v>0</v>
      </c>
      <c r="F318" s="78">
        <f>BACKUP!F418</f>
        <v>0</v>
      </c>
      <c r="G318" s="78">
        <f>BACKUP!G418</f>
        <v>0</v>
      </c>
      <c r="H318" s="78">
        <f>BACKUP!H418</f>
        <v>0</v>
      </c>
      <c r="I318" s="78">
        <f>BACKUP!I418</f>
        <v>0</v>
      </c>
      <c r="J318" s="78">
        <f>BACKUP!J418</f>
        <v>0</v>
      </c>
      <c r="K318" s="78">
        <f>BACKUP!K418</f>
        <v>0</v>
      </c>
      <c r="L318" s="78">
        <f>BACKUP!L418</f>
        <v>0</v>
      </c>
      <c r="M318" s="78">
        <f>BACKUP!M418</f>
        <v>0</v>
      </c>
      <c r="N318" s="78">
        <f>BACKUP!N418</f>
        <v>0</v>
      </c>
      <c r="O318" s="78">
        <f>BACKUP!O418</f>
        <v>0</v>
      </c>
      <c r="P318" s="78">
        <f t="shared" si="215"/>
        <v>0</v>
      </c>
      <c r="Q318" s="79">
        <f t="shared" si="216"/>
        <v>0</v>
      </c>
      <c r="R318" s="78">
        <f t="shared" si="217"/>
        <v>0</v>
      </c>
      <c r="S318" s="66"/>
      <c r="T318" s="79">
        <v>0</v>
      </c>
      <c r="U318" s="79">
        <v>0</v>
      </c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</row>
    <row r="319" spans="1:47" ht="13.2" x14ac:dyDescent="0.25">
      <c r="A319" s="78" t="str">
        <f>BACKUP!A419</f>
        <v xml:space="preserve">   Provision for Rate Refund</v>
      </c>
      <c r="B319" s="66"/>
      <c r="C319" s="104" t="s">
        <v>561</v>
      </c>
      <c r="D319" s="78">
        <f>BACKUP!D419</f>
        <v>0</v>
      </c>
      <c r="E319" s="78">
        <f>BACKUP!E419</f>
        <v>0</v>
      </c>
      <c r="F319" s="78">
        <f>BACKUP!F419</f>
        <v>0</v>
      </c>
      <c r="G319" s="78">
        <f>BACKUP!G419</f>
        <v>0</v>
      </c>
      <c r="H319" s="78">
        <f>BACKUP!H419</f>
        <v>0</v>
      </c>
      <c r="I319" s="78">
        <f>BACKUP!I419</f>
        <v>0</v>
      </c>
      <c r="J319" s="78">
        <f>BACKUP!J419</f>
        <v>0</v>
      </c>
      <c r="K319" s="78">
        <f>BACKUP!K419</f>
        <v>0</v>
      </c>
      <c r="L319" s="78">
        <f>BACKUP!L419</f>
        <v>0</v>
      </c>
      <c r="M319" s="78">
        <f>BACKUP!M419</f>
        <v>0</v>
      </c>
      <c r="N319" s="78">
        <f>BACKUP!N419</f>
        <v>0</v>
      </c>
      <c r="O319" s="78">
        <f>BACKUP!O419</f>
        <v>0</v>
      </c>
      <c r="P319" s="78">
        <f t="shared" si="215"/>
        <v>0</v>
      </c>
      <c r="Q319" s="79">
        <f t="shared" si="216"/>
        <v>0</v>
      </c>
      <c r="R319" s="78">
        <f t="shared" si="217"/>
        <v>0</v>
      </c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</row>
    <row r="320" spans="1:47" ht="13.2" x14ac:dyDescent="0.25">
      <c r="A320" s="78" t="str">
        <f>BACKUP!A420</f>
        <v xml:space="preserve">   Misc. (Acct. 2530-999-9999)</v>
      </c>
      <c r="B320" s="66"/>
      <c r="C320" s="104" t="s">
        <v>561</v>
      </c>
      <c r="D320" s="78">
        <f>BACKUP!D420</f>
        <v>0</v>
      </c>
      <c r="E320" s="78">
        <f>BACKUP!E420</f>
        <v>0</v>
      </c>
      <c r="F320" s="78">
        <f>BACKUP!F420</f>
        <v>0</v>
      </c>
      <c r="G320" s="78">
        <f>BACKUP!G420</f>
        <v>0</v>
      </c>
      <c r="H320" s="78">
        <f>BACKUP!H420</f>
        <v>0</v>
      </c>
      <c r="I320" s="78">
        <f>BACKUP!I420</f>
        <v>0</v>
      </c>
      <c r="J320" s="78">
        <f>BACKUP!J420</f>
        <v>0</v>
      </c>
      <c r="K320" s="78">
        <f>BACKUP!K420</f>
        <v>0</v>
      </c>
      <c r="L320" s="78">
        <f>BACKUP!L420</f>
        <v>0</v>
      </c>
      <c r="M320" s="78">
        <f>BACKUP!M420</f>
        <v>0</v>
      </c>
      <c r="N320" s="78">
        <f>BACKUP!N420</f>
        <v>0</v>
      </c>
      <c r="O320" s="78">
        <f>BACKUP!O420</f>
        <v>0</v>
      </c>
      <c r="P320" s="78">
        <f t="shared" si="215"/>
        <v>0</v>
      </c>
      <c r="Q320" s="79">
        <f t="shared" si="216"/>
        <v>0</v>
      </c>
      <c r="R320" s="78">
        <f t="shared" si="217"/>
        <v>0</v>
      </c>
      <c r="S320" s="66"/>
      <c r="T320" s="79">
        <v>0</v>
      </c>
      <c r="U320" s="79">
        <v>0</v>
      </c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</row>
    <row r="321" spans="1:47" ht="13.2" x14ac:dyDescent="0.25">
      <c r="A321" s="78" t="str">
        <f>BACKUP!A421</f>
        <v xml:space="preserve">   Gallup Issue</v>
      </c>
      <c r="B321" s="66"/>
      <c r="C321" s="104" t="s">
        <v>561</v>
      </c>
      <c r="D321" s="78">
        <f>BACKUP!D421</f>
        <v>-24</v>
      </c>
      <c r="E321" s="78">
        <f>BACKUP!E421</f>
        <v>-23</v>
      </c>
      <c r="F321" s="78">
        <f>BACKUP!F421</f>
        <v>-22</v>
      </c>
      <c r="G321" s="78">
        <f>BACKUP!G421</f>
        <v>-22</v>
      </c>
      <c r="H321" s="78">
        <f>BACKUP!H421</f>
        <v>-24</v>
      </c>
      <c r="I321" s="78">
        <f>BACKUP!I421</f>
        <v>-24</v>
      </c>
      <c r="J321" s="78">
        <f>BACKUP!J421</f>
        <v>-24</v>
      </c>
      <c r="K321" s="78">
        <f>BACKUP!K421</f>
        <v>-24</v>
      </c>
      <c r="L321" s="78">
        <f>BACKUP!L421</f>
        <v>-24</v>
      </c>
      <c r="M321" s="78">
        <f>BACKUP!M421</f>
        <v>-24</v>
      </c>
      <c r="N321" s="78">
        <f>BACKUP!N421</f>
        <v>-24</v>
      </c>
      <c r="O321" s="78">
        <f>BACKUP!O421</f>
        <v>-24</v>
      </c>
      <c r="P321" s="78">
        <f t="shared" si="215"/>
        <v>-283</v>
      </c>
      <c r="Q321" s="79">
        <f t="shared" si="216"/>
        <v>-163</v>
      </c>
      <c r="R321" s="78">
        <f t="shared" si="217"/>
        <v>-120</v>
      </c>
      <c r="S321" s="66"/>
      <c r="T321" s="79"/>
      <c r="U321" s="79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</row>
    <row r="322" spans="1:47" ht="13.2" x14ac:dyDescent="0.25">
      <c r="A322" s="78" t="str">
        <f>BACKUP!A422</f>
        <v xml:space="preserve">   Actual / Estimate Adjustment </v>
      </c>
      <c r="B322" s="66"/>
      <c r="C322" s="104" t="s">
        <v>561</v>
      </c>
      <c r="D322" s="83">
        <f>BACKUP!D422</f>
        <v>0</v>
      </c>
      <c r="E322" s="83">
        <f>BACKUP!E422</f>
        <v>0</v>
      </c>
      <c r="F322" s="83">
        <f>BACKUP!F422</f>
        <v>0</v>
      </c>
      <c r="G322" s="83">
        <f>BACKUP!G422</f>
        <v>0</v>
      </c>
      <c r="H322" s="83">
        <f>BACKUP!H422</f>
        <v>-4</v>
      </c>
      <c r="I322" s="83">
        <f>BACKUP!I422</f>
        <v>2</v>
      </c>
      <c r="J322" s="83">
        <f>BACKUP!J422</f>
        <v>1</v>
      </c>
      <c r="K322" s="83">
        <f>BACKUP!K422</f>
        <v>0</v>
      </c>
      <c r="L322" s="83">
        <f>BACKUP!L422</f>
        <v>0</v>
      </c>
      <c r="M322" s="83">
        <f>BACKUP!M422</f>
        <v>0</v>
      </c>
      <c r="N322" s="83">
        <f>BACKUP!N422</f>
        <v>0</v>
      </c>
      <c r="O322" s="83">
        <f>BACKUP!O422</f>
        <v>0</v>
      </c>
      <c r="P322" s="78">
        <f t="shared" si="215"/>
        <v>-1</v>
      </c>
      <c r="Q322" s="79">
        <f t="shared" si="216"/>
        <v>-1</v>
      </c>
      <c r="R322" s="78">
        <f t="shared" si="217"/>
        <v>0</v>
      </c>
      <c r="S322" s="66"/>
      <c r="T322" s="79"/>
      <c r="U322" s="79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</row>
    <row r="323" spans="1:47" ht="3.9" customHeight="1" x14ac:dyDescent="0.25">
      <c r="A323" s="66"/>
      <c r="B323" s="66"/>
      <c r="C323" s="104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66"/>
      <c r="Q323" s="66"/>
      <c r="R323" s="66"/>
      <c r="S323" s="66"/>
      <c r="T323" s="66"/>
      <c r="U323" s="78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</row>
    <row r="324" spans="1:47" ht="13.2" x14ac:dyDescent="0.25">
      <c r="A324" s="102" t="str">
        <f>BACKUP!A424</f>
        <v>Other Deferred Credits - End. Balance</v>
      </c>
      <c r="B324" s="66"/>
      <c r="C324" s="104"/>
      <c r="D324" s="83">
        <f>BACKUP!D424</f>
        <v>2637</v>
      </c>
      <c r="E324" s="83">
        <f>BACKUP!E424</f>
        <v>2614</v>
      </c>
      <c r="F324" s="83">
        <f>BACKUP!F424</f>
        <v>2592</v>
      </c>
      <c r="G324" s="83">
        <f>BACKUP!G424</f>
        <v>2570</v>
      </c>
      <c r="H324" s="83">
        <f>BACKUP!H424</f>
        <v>2542</v>
      </c>
      <c r="I324" s="83">
        <f>BACKUP!I424</f>
        <v>2520</v>
      </c>
      <c r="J324" s="83">
        <f>BACKUP!J424</f>
        <v>2497</v>
      </c>
      <c r="K324" s="83">
        <f>BACKUP!K424</f>
        <v>2473</v>
      </c>
      <c r="L324" s="83">
        <f>BACKUP!L424</f>
        <v>2449</v>
      </c>
      <c r="M324" s="83">
        <f>BACKUP!M424</f>
        <v>2425</v>
      </c>
      <c r="N324" s="83">
        <f>BACKUP!N424</f>
        <v>2401</v>
      </c>
      <c r="O324" s="83">
        <f>BACKUP!O424</f>
        <v>2377</v>
      </c>
      <c r="P324" s="66"/>
      <c r="Q324" s="66"/>
      <c r="R324" s="66"/>
      <c r="S324" s="66"/>
      <c r="T324" s="66"/>
      <c r="U324" s="78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</row>
    <row r="325" spans="1:47" ht="13.2" x14ac:dyDescent="0.25">
      <c r="A325" s="66"/>
      <c r="B325" s="66"/>
      <c r="C325" s="104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</row>
    <row r="326" spans="1:47" ht="13.2" x14ac:dyDescent="0.25">
      <c r="A326" s="102" t="str">
        <f>BACKUP!A226</f>
        <v>Regulatory Assets (Noncurrent) - End. Balance</v>
      </c>
      <c r="B326" s="66"/>
      <c r="C326" s="104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</row>
    <row r="327" spans="1:47" ht="13.2" x14ac:dyDescent="0.25">
      <c r="A327" s="78" t="str">
        <f>BACKUP!A228</f>
        <v xml:space="preserve">      Change</v>
      </c>
      <c r="B327" s="66"/>
      <c r="C327" s="104" t="s">
        <v>571</v>
      </c>
      <c r="D327" s="78">
        <f>BACKUP!D228</f>
        <v>-463</v>
      </c>
      <c r="E327" s="78">
        <f>BACKUP!E228</f>
        <v>-429</v>
      </c>
      <c r="F327" s="78">
        <f>BACKUP!F228</f>
        <v>-469</v>
      </c>
      <c r="G327" s="78">
        <f>BACKUP!G228</f>
        <v>-469</v>
      </c>
      <c r="H327" s="78">
        <f>BACKUP!H228</f>
        <v>-469</v>
      </c>
      <c r="I327" s="78">
        <f>BACKUP!I228</f>
        <v>-467</v>
      </c>
      <c r="J327" s="78">
        <f>BACKUP!J228</f>
        <v>-428</v>
      </c>
      <c r="K327" s="78">
        <f>BACKUP!K228</f>
        <v>-452</v>
      </c>
      <c r="L327" s="78">
        <f>BACKUP!L228</f>
        <v>-461</v>
      </c>
      <c r="M327" s="78">
        <f>BACKUP!M228</f>
        <v>-468</v>
      </c>
      <c r="N327" s="78">
        <f>BACKUP!N228</f>
        <v>-462</v>
      </c>
      <c r="O327" s="78">
        <f>BACKUP!O228</f>
        <v>36</v>
      </c>
      <c r="P327" s="78">
        <f>SUM(D327:O327)</f>
        <v>-5001</v>
      </c>
      <c r="Q327" s="79">
        <f>SUM(D327:J327)</f>
        <v>-3194</v>
      </c>
      <c r="R327" s="78">
        <f>P327-Q327</f>
        <v>-1807</v>
      </c>
      <c r="S327" s="66"/>
      <c r="T327" s="66"/>
      <c r="U327" s="79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</row>
    <row r="328" spans="1:47" ht="13.2" x14ac:dyDescent="0.25">
      <c r="A328" s="63"/>
      <c r="B328" s="66"/>
      <c r="C328" s="104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</row>
    <row r="329" spans="1:47" ht="13.2" x14ac:dyDescent="0.25">
      <c r="A329" s="102" t="str">
        <f>BACKUP!A411</f>
        <v>Regulatory Liabilities (Noncurrent) - End. Balance</v>
      </c>
      <c r="B329" s="66"/>
      <c r="C329" s="104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</row>
    <row r="330" spans="1:47" ht="13.2" x14ac:dyDescent="0.25">
      <c r="A330" s="78" t="str">
        <f>BACKUP!A413</f>
        <v xml:space="preserve">      Change</v>
      </c>
      <c r="B330" s="66"/>
      <c r="C330" s="104" t="s">
        <v>571</v>
      </c>
      <c r="D330" s="78">
        <f>BACKUP!D413</f>
        <v>0</v>
      </c>
      <c r="E330" s="78">
        <f>BACKUP!E413</f>
        <v>0</v>
      </c>
      <c r="F330" s="78">
        <f>BACKUP!F413</f>
        <v>0</v>
      </c>
      <c r="G330" s="78">
        <f>BACKUP!G413</f>
        <v>0</v>
      </c>
      <c r="H330" s="78">
        <f>BACKUP!H413</f>
        <v>0</v>
      </c>
      <c r="I330" s="78">
        <f>BACKUP!I413</f>
        <v>0</v>
      </c>
      <c r="J330" s="78">
        <f>BACKUP!J413</f>
        <v>0</v>
      </c>
      <c r="K330" s="78">
        <f>BACKUP!K413</f>
        <v>0</v>
      </c>
      <c r="L330" s="78">
        <f>BACKUP!L413</f>
        <v>0</v>
      </c>
      <c r="M330" s="78">
        <f>BACKUP!M413</f>
        <v>0</v>
      </c>
      <c r="N330" s="78">
        <f>BACKUP!N413</f>
        <v>0</v>
      </c>
      <c r="O330" s="78">
        <f>BACKUP!O413</f>
        <v>0</v>
      </c>
      <c r="P330" s="78">
        <f>SUM(D330:O330)</f>
        <v>0</v>
      </c>
      <c r="Q330" s="79">
        <f>SUM(D330:J330)</f>
        <v>0</v>
      </c>
      <c r="R330" s="78">
        <f>P330-Q330</f>
        <v>0</v>
      </c>
      <c r="S330" s="66"/>
      <c r="T330" s="66"/>
      <c r="U330" s="79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</row>
    <row r="331" spans="1:47" ht="13.2" x14ac:dyDescent="0.25">
      <c r="A331" s="66"/>
      <c r="B331" s="66"/>
      <c r="C331" s="104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78"/>
      <c r="U331" s="78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</row>
    <row r="332" spans="1:47" ht="13.2" x14ac:dyDescent="0.25">
      <c r="A332" s="102" t="str">
        <f>BACKUP!A467</f>
        <v>Capitalization - Beg. Balance</v>
      </c>
      <c r="B332" s="66"/>
      <c r="C332" s="104"/>
      <c r="D332" s="78">
        <f>BACKUP!D467</f>
        <v>942827</v>
      </c>
      <c r="E332" s="78">
        <f>BACKUP!E467</f>
        <v>923268</v>
      </c>
      <c r="F332" s="78">
        <f>BACKUP!F467</f>
        <v>940277</v>
      </c>
      <c r="G332" s="78">
        <f>BACKUP!G467</f>
        <v>939317</v>
      </c>
      <c r="H332" s="78">
        <f>BACKUP!H467</f>
        <v>953449</v>
      </c>
      <c r="I332" s="78">
        <f>BACKUP!I467</f>
        <v>980136</v>
      </c>
      <c r="J332" s="78">
        <f>BACKUP!J467</f>
        <v>1003347</v>
      </c>
      <c r="K332" s="78">
        <f>BACKUP!K467</f>
        <v>1009761</v>
      </c>
      <c r="L332" s="78">
        <f>BACKUP!L467</f>
        <v>1016213</v>
      </c>
      <c r="M332" s="78">
        <f>BACKUP!M467</f>
        <v>1022771</v>
      </c>
      <c r="N332" s="78">
        <f>BACKUP!N467</f>
        <v>1028769</v>
      </c>
      <c r="O332" s="78">
        <f>BACKUP!O467</f>
        <v>1034255</v>
      </c>
      <c r="P332" s="66"/>
      <c r="Q332" s="66"/>
      <c r="R332" s="66"/>
      <c r="S332" s="66"/>
      <c r="T332" s="66"/>
      <c r="U332" s="78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</row>
    <row r="333" spans="1:47" ht="13.2" x14ac:dyDescent="0.25">
      <c r="A333" s="78" t="str">
        <f>BACKUP!A468</f>
        <v xml:space="preserve">   Net Income Before Capital Costs-w/o Asset Sales</v>
      </c>
      <c r="B333" s="66"/>
      <c r="C333" s="104"/>
      <c r="D333" s="78">
        <f>BACKUP!D468</f>
        <v>6658</v>
      </c>
      <c r="E333" s="78">
        <f>BACKUP!E468</f>
        <v>8540</v>
      </c>
      <c r="F333" s="78">
        <f>BACKUP!F468</f>
        <v>3341</v>
      </c>
      <c r="G333" s="78">
        <f>BACKUP!G468</f>
        <v>8154</v>
      </c>
      <c r="H333" s="78">
        <f>BACKUP!H468</f>
        <v>7578</v>
      </c>
      <c r="I333" s="78">
        <f>BACKUP!I468</f>
        <v>6296</v>
      </c>
      <c r="J333" s="78">
        <f>BACKUP!J468</f>
        <v>6915</v>
      </c>
      <c r="K333" s="78">
        <f>BACKUP!K468</f>
        <v>6452</v>
      </c>
      <c r="L333" s="78">
        <f>BACKUP!L468</f>
        <v>6558</v>
      </c>
      <c r="M333" s="78">
        <f>BACKUP!M468</f>
        <v>5998</v>
      </c>
      <c r="N333" s="78">
        <f>BACKUP!N468</f>
        <v>5486</v>
      </c>
      <c r="O333" s="78">
        <f>BACKUP!O468</f>
        <v>5977</v>
      </c>
      <c r="P333" s="78">
        <f t="shared" ref="P333:P339" si="218">SUM(D333:O333)</f>
        <v>77953</v>
      </c>
      <c r="Q333" s="79">
        <f t="shared" ref="Q333:Q339" si="219">SUM(D333:J333)</f>
        <v>47482</v>
      </c>
      <c r="R333" s="78">
        <f t="shared" ref="R333:R339" si="220">P333-Q333</f>
        <v>30471</v>
      </c>
      <c r="S333" s="66"/>
      <c r="T333" s="66"/>
      <c r="U333" s="78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</row>
    <row r="334" spans="1:47" ht="13.2" x14ac:dyDescent="0.25">
      <c r="A334" s="78" t="str">
        <f>BACKUP!A469</f>
        <v xml:space="preserve">         - Net Gain / (Loss) on Asset Sales (External)</v>
      </c>
      <c r="B334" s="66"/>
      <c r="C334" s="104" t="s">
        <v>564</v>
      </c>
      <c r="D334" s="78">
        <f>BACKUP!D469</f>
        <v>0</v>
      </c>
      <c r="E334" s="78">
        <f>BACKUP!E469</f>
        <v>0</v>
      </c>
      <c r="F334" s="78">
        <f>BACKUP!F469</f>
        <v>0</v>
      </c>
      <c r="G334" s="78">
        <f>BACKUP!G469</f>
        <v>0</v>
      </c>
      <c r="H334" s="78">
        <f>BACKUP!H469</f>
        <v>0</v>
      </c>
      <c r="I334" s="78">
        <f>BACKUP!I469</f>
        <v>0</v>
      </c>
      <c r="J334" s="78">
        <f>BACKUP!J469</f>
        <v>0</v>
      </c>
      <c r="K334" s="78">
        <f>BACKUP!K469</f>
        <v>0</v>
      </c>
      <c r="L334" s="78">
        <f>BACKUP!L469</f>
        <v>0</v>
      </c>
      <c r="M334" s="78">
        <f>BACKUP!M469</f>
        <v>0</v>
      </c>
      <c r="N334" s="78">
        <f>BACKUP!N469</f>
        <v>0</v>
      </c>
      <c r="O334" s="78">
        <f>BACKUP!O469</f>
        <v>0</v>
      </c>
      <c r="P334" s="78">
        <f t="shared" si="218"/>
        <v>0</v>
      </c>
      <c r="Q334" s="79">
        <f t="shared" si="219"/>
        <v>0</v>
      </c>
      <c r="R334" s="78">
        <f t="shared" si="220"/>
        <v>0</v>
      </c>
      <c r="S334" s="66"/>
      <c r="T334" s="66"/>
      <c r="U334" s="78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</row>
    <row r="335" spans="1:47" ht="13.2" x14ac:dyDescent="0.25">
      <c r="A335" s="78" t="str">
        <f>BACKUP!A470</f>
        <v xml:space="preserve">         - Net Gain / (Loss) on Asset Sales (Assoc. Co.)</v>
      </c>
      <c r="B335" s="66"/>
      <c r="C335" s="104" t="s">
        <v>564</v>
      </c>
      <c r="D335" s="78">
        <f>BACKUP!D470</f>
        <v>0</v>
      </c>
      <c r="E335" s="78">
        <f>BACKUP!E470</f>
        <v>0</v>
      </c>
      <c r="F335" s="78">
        <f>BACKUP!F470</f>
        <v>0</v>
      </c>
      <c r="G335" s="78">
        <f>BACKUP!G470</f>
        <v>0</v>
      </c>
      <c r="H335" s="78">
        <f>BACKUP!H470</f>
        <v>0</v>
      </c>
      <c r="I335" s="78">
        <f>BACKUP!I470</f>
        <v>0</v>
      </c>
      <c r="J335" s="78">
        <f>BACKUP!J470</f>
        <v>0</v>
      </c>
      <c r="K335" s="78">
        <f>BACKUP!K470</f>
        <v>0</v>
      </c>
      <c r="L335" s="78">
        <f>BACKUP!L470</f>
        <v>0</v>
      </c>
      <c r="M335" s="78">
        <f>BACKUP!M470</f>
        <v>0</v>
      </c>
      <c r="N335" s="78">
        <f>BACKUP!N470</f>
        <v>0</v>
      </c>
      <c r="O335" s="78">
        <f>BACKUP!O470</f>
        <v>0</v>
      </c>
      <c r="P335" s="78">
        <f t="shared" si="218"/>
        <v>0</v>
      </c>
      <c r="Q335" s="79">
        <f t="shared" si="219"/>
        <v>0</v>
      </c>
      <c r="R335" s="78">
        <f t="shared" si="220"/>
        <v>0</v>
      </c>
      <c r="S335" s="66"/>
      <c r="T335" s="66"/>
      <c r="U335" s="78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</row>
    <row r="336" spans="1:47" ht="13.2" x14ac:dyDescent="0.25">
      <c r="A336" s="78" t="str">
        <f>BACKUP!A471</f>
        <v xml:space="preserve">   Dividends to Corporate</v>
      </c>
      <c r="B336" s="66"/>
      <c r="C336" s="104"/>
      <c r="D336" s="78">
        <f>BACKUP!D471</f>
        <v>0</v>
      </c>
      <c r="E336" s="78">
        <f>BACKUP!E471</f>
        <v>0</v>
      </c>
      <c r="F336" s="78">
        <f>BACKUP!F471</f>
        <v>0</v>
      </c>
      <c r="G336" s="78">
        <f>BACKUP!G471</f>
        <v>0</v>
      </c>
      <c r="H336" s="78">
        <f>BACKUP!H471</f>
        <v>0</v>
      </c>
      <c r="I336" s="78">
        <f>BACKUP!I471</f>
        <v>0</v>
      </c>
      <c r="J336" s="78">
        <f>BACKUP!J471</f>
        <v>0</v>
      </c>
      <c r="K336" s="78">
        <f>BACKUP!K471</f>
        <v>0</v>
      </c>
      <c r="L336" s="78">
        <f>BACKUP!L471</f>
        <v>0</v>
      </c>
      <c r="M336" s="78">
        <f>BACKUP!M471</f>
        <v>0</v>
      </c>
      <c r="N336" s="78">
        <f>BACKUP!N471</f>
        <v>0</v>
      </c>
      <c r="O336" s="78">
        <f>BACKUP!O471</f>
        <v>0</v>
      </c>
      <c r="P336" s="78">
        <f t="shared" si="218"/>
        <v>0</v>
      </c>
      <c r="Q336" s="79">
        <f t="shared" si="219"/>
        <v>0</v>
      </c>
      <c r="R336" s="78">
        <f t="shared" si="220"/>
        <v>0</v>
      </c>
      <c r="S336" s="66"/>
      <c r="T336" s="66"/>
      <c r="U336" s="78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</row>
    <row r="337" spans="1:47" ht="13.2" x14ac:dyDescent="0.25">
      <c r="A337" s="78" t="str">
        <f>BACKUP!A472</f>
        <v xml:space="preserve">   FASB 133 - Comprehensive Income / (Loss)</v>
      </c>
      <c r="B337" s="66"/>
      <c r="C337" s="104"/>
      <c r="D337" s="78">
        <f>BACKUP!D472</f>
        <v>-26217</v>
      </c>
      <c r="E337" s="78">
        <f>BACKUP!E472</f>
        <v>8469</v>
      </c>
      <c r="F337" s="78">
        <f>BACKUP!F472</f>
        <v>-18333</v>
      </c>
      <c r="G337" s="78">
        <f>BACKUP!G472</f>
        <v>9782</v>
      </c>
      <c r="H337" s="78">
        <f>BACKUP!H472</f>
        <v>31272</v>
      </c>
      <c r="I337" s="78">
        <f>BACKUP!I472</f>
        <v>14980</v>
      </c>
      <c r="J337" s="78">
        <f>BACKUP!J472</f>
        <v>-501</v>
      </c>
      <c r="K337" s="78">
        <f>BACKUP!K472</f>
        <v>0</v>
      </c>
      <c r="L337" s="78">
        <f>BACKUP!L472</f>
        <v>0</v>
      </c>
      <c r="M337" s="78">
        <f>BACKUP!M472</f>
        <v>0</v>
      </c>
      <c r="N337" s="78">
        <f>BACKUP!N472</f>
        <v>0</v>
      </c>
      <c r="O337" s="78">
        <f>BACKUP!O472</f>
        <v>0</v>
      </c>
      <c r="P337" s="78">
        <f>SUM(D337:O337)</f>
        <v>19452</v>
      </c>
      <c r="Q337" s="79">
        <f t="shared" si="219"/>
        <v>19452</v>
      </c>
      <c r="R337" s="78">
        <f>P337-Q337</f>
        <v>0</v>
      </c>
      <c r="S337" s="66"/>
      <c r="T337" s="66"/>
      <c r="U337" s="78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</row>
    <row r="338" spans="1:47" ht="13.2" x14ac:dyDescent="0.25">
      <c r="A338" s="78" t="str">
        <f>BACKUP!A473</f>
        <v xml:space="preserve">                   - Tax Adjustment (1/01-4/01)</v>
      </c>
      <c r="B338" s="66"/>
      <c r="C338" s="104" t="s">
        <v>561</v>
      </c>
      <c r="D338" s="78">
        <f>BACKUP!D473</f>
        <v>0</v>
      </c>
      <c r="E338" s="78">
        <f>BACKUP!E473</f>
        <v>0</v>
      </c>
      <c r="F338" s="78">
        <f>BACKUP!F473</f>
        <v>14032</v>
      </c>
      <c r="G338" s="78">
        <f>BACKUP!G473</f>
        <v>-3804</v>
      </c>
      <c r="H338" s="78">
        <f>BACKUP!H473</f>
        <v>-12163</v>
      </c>
      <c r="I338" s="78">
        <f>BACKUP!I473</f>
        <v>1935</v>
      </c>
      <c r="J338" s="78">
        <f>BACKUP!J473</f>
        <v>0</v>
      </c>
      <c r="K338" s="78">
        <f>BACKUP!K473</f>
        <v>0</v>
      </c>
      <c r="L338" s="78">
        <f>BACKUP!L473</f>
        <v>0</v>
      </c>
      <c r="M338" s="78">
        <f>BACKUP!M473</f>
        <v>0</v>
      </c>
      <c r="N338" s="78">
        <f>BACKUP!N473</f>
        <v>0</v>
      </c>
      <c r="O338" s="78">
        <f>BACKUP!O473</f>
        <v>0</v>
      </c>
      <c r="P338" s="78">
        <f>SUM(D338:O338)</f>
        <v>0</v>
      </c>
      <c r="Q338" s="79">
        <f t="shared" si="219"/>
        <v>0</v>
      </c>
      <c r="R338" s="78">
        <f>P338-Q338</f>
        <v>0</v>
      </c>
      <c r="S338" s="66"/>
      <c r="T338" s="66"/>
      <c r="U338" s="78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</row>
    <row r="339" spans="1:47" ht="13.2" x14ac:dyDescent="0.25">
      <c r="A339" s="78" t="str">
        <f>BACKUP!A474</f>
        <v xml:space="preserve">   Actual / Estimate Adjustment </v>
      </c>
      <c r="B339" s="66"/>
      <c r="C339" s="104"/>
      <c r="D339" s="83">
        <f>BACKUP!D474</f>
        <v>0</v>
      </c>
      <c r="E339" s="83">
        <f>BACKUP!E474</f>
        <v>0</v>
      </c>
      <c r="F339" s="83">
        <f>BACKUP!F474</f>
        <v>0</v>
      </c>
      <c r="G339" s="83">
        <f>BACKUP!G474</f>
        <v>0</v>
      </c>
      <c r="H339" s="83">
        <f>BACKUP!H474</f>
        <v>0</v>
      </c>
      <c r="I339" s="83">
        <f>BACKUP!I474</f>
        <v>0</v>
      </c>
      <c r="J339" s="83">
        <f>BACKUP!J474</f>
        <v>0</v>
      </c>
      <c r="K339" s="83">
        <f>BACKUP!K474</f>
        <v>0</v>
      </c>
      <c r="L339" s="83">
        <f>BACKUP!L474</f>
        <v>0</v>
      </c>
      <c r="M339" s="83">
        <f>BACKUP!M474</f>
        <v>0</v>
      </c>
      <c r="N339" s="83">
        <f>BACKUP!N474</f>
        <v>0</v>
      </c>
      <c r="O339" s="83">
        <f>BACKUP!O474</f>
        <v>0</v>
      </c>
      <c r="P339" s="78">
        <f t="shared" si="218"/>
        <v>0</v>
      </c>
      <c r="Q339" s="79">
        <f t="shared" si="219"/>
        <v>0</v>
      </c>
      <c r="R339" s="78">
        <f t="shared" si="220"/>
        <v>0</v>
      </c>
      <c r="S339" s="66"/>
      <c r="T339" s="66"/>
      <c r="U339" s="78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</row>
    <row r="340" spans="1:47" ht="3.9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78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</row>
    <row r="341" spans="1:47" ht="13.2" x14ac:dyDescent="0.25">
      <c r="A341" s="86" t="str">
        <f>BACKUP!A476</f>
        <v>Capitalization - End. Balance</v>
      </c>
      <c r="B341" s="66"/>
      <c r="C341" s="66"/>
      <c r="D341" s="83">
        <f>BACKUP!D476</f>
        <v>923268</v>
      </c>
      <c r="E341" s="83">
        <f>BACKUP!E476</f>
        <v>940277</v>
      </c>
      <c r="F341" s="83">
        <f>BACKUP!F476</f>
        <v>939317</v>
      </c>
      <c r="G341" s="83">
        <f>BACKUP!G476</f>
        <v>953449</v>
      </c>
      <c r="H341" s="83">
        <f>BACKUP!H476</f>
        <v>980136</v>
      </c>
      <c r="I341" s="83">
        <f>BACKUP!I476</f>
        <v>1003347</v>
      </c>
      <c r="J341" s="83">
        <f>BACKUP!J476</f>
        <v>1009761</v>
      </c>
      <c r="K341" s="83">
        <f>BACKUP!K476</f>
        <v>1016213</v>
      </c>
      <c r="L341" s="83">
        <f>BACKUP!L476</f>
        <v>1022771</v>
      </c>
      <c r="M341" s="83">
        <f>BACKUP!M476</f>
        <v>1028769</v>
      </c>
      <c r="N341" s="83">
        <f>BACKUP!N476</f>
        <v>1034255</v>
      </c>
      <c r="O341" s="83">
        <f>BACKUP!O476</f>
        <v>1040232</v>
      </c>
      <c r="P341" s="66"/>
      <c r="Q341" s="66"/>
      <c r="R341" s="66"/>
      <c r="S341" s="66"/>
      <c r="T341" s="66"/>
      <c r="U341" s="78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</row>
    <row r="342" spans="1:47" ht="8.1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78"/>
      <c r="U342" s="78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</row>
    <row r="343" spans="1:47" ht="13.2" x14ac:dyDescent="0.25">
      <c r="A343" s="87" t="s">
        <v>572</v>
      </c>
      <c r="B343" s="87" t="s">
        <v>572</v>
      </c>
      <c r="C343" s="87" t="s">
        <v>572</v>
      </c>
      <c r="D343" s="87" t="s">
        <v>572</v>
      </c>
      <c r="E343" s="87" t="s">
        <v>572</v>
      </c>
      <c r="F343" s="87" t="s">
        <v>572</v>
      </c>
      <c r="G343" s="87" t="s">
        <v>572</v>
      </c>
      <c r="H343" s="87" t="s">
        <v>572</v>
      </c>
      <c r="I343" s="87" t="s">
        <v>572</v>
      </c>
      <c r="J343" s="87" t="s">
        <v>572</v>
      </c>
      <c r="K343" s="87" t="s">
        <v>572</v>
      </c>
      <c r="L343" s="87" t="s">
        <v>572</v>
      </c>
      <c r="M343" s="87" t="s">
        <v>572</v>
      </c>
      <c r="N343" s="87" t="s">
        <v>572</v>
      </c>
      <c r="O343" s="87" t="s">
        <v>572</v>
      </c>
      <c r="P343" s="87" t="s">
        <v>572</v>
      </c>
      <c r="Q343" s="66"/>
      <c r="R343" s="66"/>
      <c r="S343" s="66"/>
      <c r="T343" s="78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</row>
    <row r="344" spans="1:47" ht="13.2" x14ac:dyDescent="0.25">
      <c r="A344" s="67" t="str">
        <f ca="1">A1</f>
        <v>P:\Finance\2001CE\[TW3rdCECF.xls]BACKUP</v>
      </c>
      <c r="B344" s="63"/>
      <c r="C344" s="63" t="str">
        <f>I1</f>
        <v>TRANSWESTERN PIPELINE GROUP (Including Co. 92)</v>
      </c>
      <c r="D344" s="63"/>
      <c r="E344" s="63"/>
      <c r="F344" s="63"/>
      <c r="G344" s="63"/>
      <c r="H344" s="63"/>
      <c r="I344" s="63"/>
      <c r="J344" s="63"/>
      <c r="K344" s="66"/>
      <c r="L344" s="66"/>
      <c r="M344" s="88">
        <f ca="1">NOW()</f>
        <v>37197.646944328706</v>
      </c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</row>
    <row r="345" spans="1:47" ht="13.2" x14ac:dyDescent="0.25">
      <c r="A345" s="69" t="s">
        <v>573</v>
      </c>
      <c r="B345" s="63"/>
      <c r="C345" s="63" t="str">
        <f>I2</f>
        <v>CASH FLOW STATEMENT</v>
      </c>
      <c r="D345" s="63"/>
      <c r="E345" s="63"/>
      <c r="F345" s="63"/>
      <c r="G345" s="63"/>
      <c r="H345" s="63"/>
      <c r="I345" s="63"/>
      <c r="J345" s="63"/>
      <c r="K345" s="66"/>
      <c r="L345" s="66"/>
      <c r="M345" s="89">
        <f ca="1">NOW()</f>
        <v>37197.646944328706</v>
      </c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</row>
    <row r="346" spans="1:47" ht="13.2" x14ac:dyDescent="0.25">
      <c r="A346" s="63"/>
      <c r="B346" s="63"/>
      <c r="C346" s="63" t="str">
        <f>I3</f>
        <v>2001 ACTUAL / ESTIMATE</v>
      </c>
      <c r="D346" s="63"/>
      <c r="E346" s="63"/>
      <c r="F346" s="63"/>
      <c r="G346" s="63"/>
      <c r="H346" s="63"/>
      <c r="I346" s="63"/>
      <c r="J346" s="63"/>
      <c r="K346" s="63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</row>
    <row r="347" spans="1:47" ht="13.2" x14ac:dyDescent="0.25">
      <c r="A347" s="63"/>
      <c r="B347" s="63"/>
      <c r="C347" s="63" t="str">
        <f>I4</f>
        <v>(Thousands of Dollars)</v>
      </c>
      <c r="D347" s="63"/>
      <c r="E347" s="63"/>
      <c r="F347" s="63"/>
      <c r="G347" s="63"/>
      <c r="H347" s="63"/>
      <c r="I347" s="63"/>
      <c r="J347" s="63"/>
      <c r="K347" s="63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</row>
    <row r="348" spans="1:47" ht="13.2" x14ac:dyDescent="0.2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</row>
    <row r="349" spans="1:47" ht="13.2" x14ac:dyDescent="0.25">
      <c r="A349" s="63"/>
      <c r="B349" s="63"/>
      <c r="C349" s="63"/>
      <c r="D349" s="63"/>
      <c r="E349" s="63"/>
      <c r="F349" s="63"/>
      <c r="G349" s="63"/>
      <c r="H349" s="63"/>
      <c r="I349" s="75" t="s">
        <v>574</v>
      </c>
      <c r="J349" s="75"/>
      <c r="K349" s="75"/>
      <c r="L349" s="66"/>
      <c r="M349" s="74" t="s">
        <v>575</v>
      </c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</row>
    <row r="350" spans="1:47" ht="12.9" customHeight="1" x14ac:dyDescent="0.25">
      <c r="A350" s="63"/>
      <c r="B350" s="63"/>
      <c r="C350" s="63"/>
      <c r="D350" s="63"/>
      <c r="E350" s="63"/>
      <c r="F350" s="63"/>
      <c r="G350" s="63"/>
      <c r="H350" s="63"/>
      <c r="I350" s="76" t="s">
        <v>576</v>
      </c>
      <c r="J350" s="63"/>
      <c r="K350" s="76" t="s">
        <v>577</v>
      </c>
      <c r="L350" s="66"/>
      <c r="M350" s="76" t="s">
        <v>578</v>
      </c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</row>
    <row r="351" spans="1:47" ht="3.9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</row>
    <row r="352" spans="1:47" ht="13.2" x14ac:dyDescent="0.25">
      <c r="A352" s="64" t="s">
        <v>579</v>
      </c>
      <c r="B352" s="66"/>
      <c r="C352" s="66"/>
      <c r="D352" s="66"/>
      <c r="E352" s="66"/>
      <c r="F352" s="66"/>
      <c r="G352" s="66"/>
      <c r="H352" s="66"/>
      <c r="I352" s="90">
        <f>T45</f>
        <v>34340</v>
      </c>
      <c r="J352" s="66"/>
      <c r="K352" s="90" t="e">
        <f>#REF!</f>
        <v>#REF!</v>
      </c>
      <c r="L352" s="66"/>
      <c r="M352" s="90">
        <f>T55</f>
        <v>30490</v>
      </c>
      <c r="N352" s="66"/>
      <c r="O352" s="66"/>
      <c r="P352" s="66"/>
      <c r="Q352" s="66"/>
      <c r="R352" s="66"/>
      <c r="S352" s="66"/>
      <c r="T352" s="78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</row>
    <row r="353" spans="1:47" ht="3.9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</row>
    <row r="354" spans="1:47" ht="13.2" x14ac:dyDescent="0.25">
      <c r="A354" s="80" t="s">
        <v>580</v>
      </c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</row>
    <row r="355" spans="1:47" ht="13.2" x14ac:dyDescent="0.25">
      <c r="A355" s="66" t="str">
        <f>A9</f>
        <v xml:space="preserve">   Net Income </v>
      </c>
      <c r="B355" s="66"/>
      <c r="C355" s="66"/>
      <c r="D355" s="66"/>
      <c r="E355" s="66"/>
      <c r="F355" s="66"/>
      <c r="G355" s="78">
        <f>AK9</f>
        <v>5156</v>
      </c>
      <c r="H355" s="66"/>
      <c r="I355" s="91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78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</row>
    <row r="356" spans="1:47" ht="13.2" x14ac:dyDescent="0.25">
      <c r="A356" s="66" t="str">
        <f>A11</f>
        <v xml:space="preserve">      Depreciation and Amortization</v>
      </c>
      <c r="B356" s="66"/>
      <c r="C356" s="66"/>
      <c r="D356" s="66"/>
      <c r="E356" s="66"/>
      <c r="F356" s="66"/>
      <c r="G356" s="78">
        <f>AK11</f>
        <v>-1556</v>
      </c>
      <c r="H356" s="66"/>
      <c r="I356" s="91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78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</row>
    <row r="357" spans="1:47" ht="13.2" x14ac:dyDescent="0.25">
      <c r="A357" s="66" t="str">
        <f>A12</f>
        <v xml:space="preserve">      Regulatory Amortization - TCR</v>
      </c>
      <c r="B357" s="91"/>
      <c r="C357" s="91"/>
      <c r="D357" s="66"/>
      <c r="E357" s="91"/>
      <c r="F357" s="66"/>
      <c r="G357" s="78">
        <f>AK12</f>
        <v>0</v>
      </c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</row>
    <row r="358" spans="1:47" ht="13.2" x14ac:dyDescent="0.25">
      <c r="A358" s="66" t="e">
        <f>#REF!</f>
        <v>#REF!</v>
      </c>
      <c r="B358" s="66"/>
      <c r="C358" s="66"/>
      <c r="D358" s="66"/>
      <c r="E358" s="66"/>
      <c r="F358" s="66"/>
      <c r="G358" s="78" t="e">
        <f>#REF!</f>
        <v>#REF!</v>
      </c>
      <c r="H358" s="66"/>
      <c r="I358" s="91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78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</row>
    <row r="359" spans="1:47" ht="13.2" x14ac:dyDescent="0.25">
      <c r="A359" s="66" t="str">
        <f>A13</f>
        <v xml:space="preserve">      Deferred Income Taxes - Both Current and Noncurrent</v>
      </c>
      <c r="B359" s="66"/>
      <c r="C359" s="66"/>
      <c r="D359" s="66"/>
      <c r="E359" s="66"/>
      <c r="F359" s="66"/>
      <c r="G359" s="78">
        <f>AK13</f>
        <v>-135</v>
      </c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</row>
    <row r="360" spans="1:47" ht="13.2" x14ac:dyDescent="0.25">
      <c r="A360" s="66" t="e">
        <f>#REF!</f>
        <v>#REF!</v>
      </c>
      <c r="B360" s="66"/>
      <c r="C360" s="66"/>
      <c r="D360" s="66"/>
      <c r="E360" s="66"/>
      <c r="F360" s="66"/>
      <c r="G360" s="78" t="e">
        <f>#REF!</f>
        <v>#REF!</v>
      </c>
      <c r="H360" s="66"/>
      <c r="I360" s="78" t="e">
        <f>SUM(G355:G360)</f>
        <v>#REF!</v>
      </c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</row>
    <row r="361" spans="1:47" ht="3.9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</row>
    <row r="362" spans="1:47" ht="13.2" x14ac:dyDescent="0.25">
      <c r="A362" s="80" t="s">
        <v>581</v>
      </c>
      <c r="B362" s="66"/>
      <c r="C362" s="66"/>
      <c r="D362" s="66"/>
      <c r="E362" s="66"/>
      <c r="F362" s="66"/>
      <c r="G362" s="78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</row>
    <row r="363" spans="1:47" ht="13.2" x14ac:dyDescent="0.25">
      <c r="A363" s="66" t="str">
        <f>A16</f>
        <v xml:space="preserve">      Accounts and Notes Receivable</v>
      </c>
      <c r="B363" s="91"/>
      <c r="C363" s="91"/>
      <c r="D363" s="66"/>
      <c r="E363" s="66"/>
      <c r="F363" s="66"/>
      <c r="G363" s="78">
        <f>AK16</f>
        <v>-15694</v>
      </c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</row>
    <row r="364" spans="1:47" ht="13.2" x14ac:dyDescent="0.25">
      <c r="A364" s="66" t="str">
        <f>A17</f>
        <v xml:space="preserve">      Inventories (Materials &amp; Supplies)</v>
      </c>
      <c r="B364" s="91"/>
      <c r="C364" s="91"/>
      <c r="D364" s="66"/>
      <c r="E364" s="66"/>
      <c r="F364" s="66"/>
      <c r="G364" s="78">
        <f>AK17</f>
        <v>101</v>
      </c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</row>
    <row r="365" spans="1:47" ht="13.2" x14ac:dyDescent="0.25">
      <c r="A365" s="66" t="str">
        <f>A18</f>
        <v xml:space="preserve">      Accounts Payable - Assoc. Companies / Trade</v>
      </c>
      <c r="B365" s="91"/>
      <c r="C365" s="91"/>
      <c r="D365" s="66"/>
      <c r="E365" s="66"/>
      <c r="F365" s="66"/>
      <c r="G365" s="78">
        <f>AK18</f>
        <v>136</v>
      </c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</row>
    <row r="366" spans="1:47" ht="13.2" x14ac:dyDescent="0.25">
      <c r="A366" s="66" t="e">
        <f>#REF!</f>
        <v>#REF!</v>
      </c>
      <c r="B366" s="91"/>
      <c r="C366" s="91"/>
      <c r="D366" s="66"/>
      <c r="E366" s="66"/>
      <c r="F366" s="66"/>
      <c r="G366" s="78" t="e">
        <f>#REF!</f>
        <v>#REF!</v>
      </c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</row>
    <row r="367" spans="1:47" ht="13.2" x14ac:dyDescent="0.25">
      <c r="A367" s="66" t="str">
        <f>A20</f>
        <v xml:space="preserve">      Exchange Gas - Receivable</v>
      </c>
      <c r="B367" s="91"/>
      <c r="C367" s="91"/>
      <c r="D367" s="66"/>
      <c r="E367" s="66"/>
      <c r="F367" s="66"/>
      <c r="G367" s="78">
        <f>AK20</f>
        <v>-2552</v>
      </c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</row>
    <row r="368" spans="1:47" ht="13.2" x14ac:dyDescent="0.25">
      <c r="A368" s="66" t="str">
        <f>A22</f>
        <v xml:space="preserve">      Prepayments</v>
      </c>
      <c r="B368" s="91"/>
      <c r="C368" s="91"/>
      <c r="D368" s="66"/>
      <c r="E368" s="66"/>
      <c r="F368" s="66"/>
      <c r="G368" s="78">
        <f>AK22</f>
        <v>-157</v>
      </c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</row>
    <row r="369" spans="1:47" ht="13.2" x14ac:dyDescent="0.25">
      <c r="A369" s="66" t="e">
        <f>#REF!</f>
        <v>#REF!</v>
      </c>
      <c r="B369" s="91"/>
      <c r="C369" s="91"/>
      <c r="D369" s="66"/>
      <c r="E369" s="66"/>
      <c r="F369" s="66"/>
      <c r="G369" s="78" t="e">
        <f>#REF!</f>
        <v>#REF!</v>
      </c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</row>
    <row r="370" spans="1:47" ht="13.2" x14ac:dyDescent="0.25">
      <c r="A370" s="66" t="str">
        <f>A23</f>
        <v xml:space="preserve">      Accrued Interest - Third Party</v>
      </c>
      <c r="B370" s="91"/>
      <c r="C370" s="91"/>
      <c r="D370" s="66"/>
      <c r="E370" s="66"/>
      <c r="F370" s="66"/>
      <c r="G370" s="78">
        <f>AK23</f>
        <v>-2854</v>
      </c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</row>
    <row r="371" spans="1:47" ht="13.2" x14ac:dyDescent="0.25">
      <c r="A371" s="66" t="str">
        <f>A24</f>
        <v xml:space="preserve">      Accrued Taxes, Other Than Income</v>
      </c>
      <c r="B371" s="91"/>
      <c r="C371" s="91"/>
      <c r="D371" s="66"/>
      <c r="E371" s="66"/>
      <c r="F371" s="66"/>
      <c r="G371" s="78">
        <f>AK24</f>
        <v>-941</v>
      </c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</row>
    <row r="372" spans="1:47" ht="13.2" x14ac:dyDescent="0.25">
      <c r="A372" s="66" t="str">
        <f>A25</f>
        <v xml:space="preserve">      Other Current Assets or Liabilities (W/O Reserve Activity)</v>
      </c>
      <c r="B372" s="91"/>
      <c r="C372" s="91"/>
      <c r="D372" s="66"/>
      <c r="E372" s="66"/>
      <c r="F372" s="66"/>
      <c r="G372" s="78">
        <f>AK25</f>
        <v>7</v>
      </c>
      <c r="H372" s="66"/>
      <c r="I372" s="78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</row>
    <row r="373" spans="1:47" ht="6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</row>
    <row r="374" spans="1:47" ht="13.2" x14ac:dyDescent="0.25">
      <c r="A374" s="66" t="e">
        <f>#REF!</f>
        <v>#REF!</v>
      </c>
      <c r="B374" s="66"/>
      <c r="C374" s="66"/>
      <c r="D374" s="66"/>
      <c r="E374" s="66"/>
      <c r="F374" s="66"/>
      <c r="G374" s="78" t="e">
        <f>#REF!</f>
        <v>#REF!</v>
      </c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</row>
    <row r="375" spans="1:47" ht="13.2" x14ac:dyDescent="0.25">
      <c r="A375" s="66" t="e">
        <f>#REF!</f>
        <v>#REF!</v>
      </c>
      <c r="B375" s="66"/>
      <c r="C375" s="66"/>
      <c r="D375" s="66"/>
      <c r="E375" s="66"/>
      <c r="F375" s="66"/>
      <c r="G375" s="78" t="e">
        <f>#REF!</f>
        <v>#REF!</v>
      </c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</row>
    <row r="376" spans="1:47" ht="13.2" x14ac:dyDescent="0.25">
      <c r="A376" s="66" t="e">
        <f>#REF!</f>
        <v>#REF!</v>
      </c>
      <c r="B376" s="66"/>
      <c r="C376" s="66"/>
      <c r="D376" s="66"/>
      <c r="E376" s="66"/>
      <c r="F376" s="66"/>
      <c r="G376" s="78" t="e">
        <f>#REF!</f>
        <v>#REF!</v>
      </c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</row>
    <row r="377" spans="1:47" ht="13.2" x14ac:dyDescent="0.25">
      <c r="A377" s="66" t="str">
        <f>A28</f>
        <v xml:space="preserve">   Equity Earnings</v>
      </c>
      <c r="B377" s="66"/>
      <c r="C377" s="66"/>
      <c r="D377" s="66"/>
      <c r="E377" s="66"/>
      <c r="F377" s="66"/>
      <c r="G377" s="78">
        <f>AK28</f>
        <v>0</v>
      </c>
      <c r="H377" s="66"/>
      <c r="I377" s="91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</row>
    <row r="378" spans="1:47" ht="13.2" x14ac:dyDescent="0.25">
      <c r="A378" s="66" t="str">
        <f>A29</f>
        <v xml:space="preserve">   Equity / Partnership Distributions</v>
      </c>
      <c r="B378" s="66"/>
      <c r="C378" s="66"/>
      <c r="D378" s="66"/>
      <c r="E378" s="66"/>
      <c r="F378" s="66"/>
      <c r="G378" s="78">
        <f>AK29</f>
        <v>0</v>
      </c>
      <c r="H378" s="66"/>
      <c r="I378" s="91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</row>
    <row r="379" spans="1:47" ht="13.2" x14ac:dyDescent="0.25">
      <c r="A379" s="66" t="str">
        <f>A30</f>
        <v xml:space="preserve">   Net (Gain) / Loss on Sale of Assets</v>
      </c>
      <c r="B379" s="66"/>
      <c r="C379" s="66"/>
      <c r="D379" s="66"/>
      <c r="E379" s="66"/>
      <c r="F379" s="66"/>
      <c r="G379" s="78">
        <f>AK30</f>
        <v>88</v>
      </c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</row>
    <row r="380" spans="1:47" ht="13.2" x14ac:dyDescent="0.25">
      <c r="A380" s="66" t="str">
        <f>A31</f>
        <v xml:space="preserve">   Other Regulatory Assets / Liabilities</v>
      </c>
      <c r="B380" s="66"/>
      <c r="C380" s="66"/>
      <c r="D380" s="66"/>
      <c r="E380" s="66"/>
      <c r="F380" s="66"/>
      <c r="G380" s="78">
        <f>AK31</f>
        <v>20</v>
      </c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</row>
    <row r="381" spans="1:47" ht="13.2" x14ac:dyDescent="0.25">
      <c r="A381" s="80" t="s">
        <v>582</v>
      </c>
      <c r="B381" s="66"/>
      <c r="C381" s="66"/>
      <c r="D381" s="66"/>
      <c r="E381" s="79">
        <v>0</v>
      </c>
      <c r="F381" s="66"/>
      <c r="G381" s="78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</row>
    <row r="382" spans="1:47" ht="13.2" x14ac:dyDescent="0.25">
      <c r="A382" s="80" t="s">
        <v>583</v>
      </c>
      <c r="B382" s="66"/>
      <c r="C382" s="66"/>
      <c r="D382" s="66"/>
      <c r="E382" s="78">
        <f>-P295-P297-P299+T295+T297+T299</f>
        <v>3</v>
      </c>
      <c r="F382" s="66"/>
      <c r="G382" s="78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</row>
    <row r="383" spans="1:47" ht="13.2" x14ac:dyDescent="0.25">
      <c r="A383" s="80" t="s">
        <v>582</v>
      </c>
      <c r="B383" s="66"/>
      <c r="C383" s="66"/>
      <c r="D383" s="66"/>
      <c r="E383" s="79">
        <v>0</v>
      </c>
      <c r="F383" s="66"/>
      <c r="G383" s="78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</row>
    <row r="384" spans="1:47" ht="13.2" x14ac:dyDescent="0.25">
      <c r="A384" s="80" t="s">
        <v>584</v>
      </c>
      <c r="B384" s="66"/>
      <c r="C384" s="66"/>
      <c r="D384" s="66"/>
      <c r="E384" s="78" t="e">
        <f>-#REF!+#REF!</f>
        <v>#REF!</v>
      </c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</row>
    <row r="385" spans="1:47" ht="13.2" x14ac:dyDescent="0.25">
      <c r="A385" s="80" t="s">
        <v>585</v>
      </c>
      <c r="B385" s="66"/>
      <c r="C385" s="66"/>
      <c r="D385" s="66"/>
      <c r="E385" s="78">
        <f>-P302+T302</f>
        <v>0</v>
      </c>
      <c r="F385" s="66"/>
      <c r="G385" s="78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</row>
    <row r="386" spans="1:47" ht="13.2" x14ac:dyDescent="0.25">
      <c r="A386" s="80" t="s">
        <v>586</v>
      </c>
      <c r="B386" s="66"/>
      <c r="C386" s="66"/>
      <c r="D386" s="66"/>
      <c r="E386" s="78">
        <f>P320-T320</f>
        <v>0</v>
      </c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</row>
    <row r="387" spans="1:47" ht="13.2" x14ac:dyDescent="0.25">
      <c r="A387" s="80" t="s">
        <v>587</v>
      </c>
      <c r="B387" s="66"/>
      <c r="C387" s="66"/>
      <c r="D387" s="66"/>
      <c r="E387" s="78" t="e">
        <f>G387-SUM(E381:E386)</f>
        <v>#REF!</v>
      </c>
      <c r="F387" s="66"/>
      <c r="G387" s="83">
        <f>AK32</f>
        <v>20660</v>
      </c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</row>
    <row r="388" spans="1:47" ht="13.2" x14ac:dyDescent="0.25">
      <c r="A388" s="80" t="s">
        <v>588</v>
      </c>
      <c r="B388" s="66"/>
      <c r="C388" s="66"/>
      <c r="D388" s="66"/>
      <c r="E388" s="66"/>
      <c r="F388" s="66"/>
      <c r="G388" s="66"/>
      <c r="H388" s="66"/>
      <c r="I388" s="78" t="e">
        <f>SUM(G360:G388)</f>
        <v>#REF!</v>
      </c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</row>
    <row r="389" spans="1:47" ht="3.9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</row>
    <row r="390" spans="1:47" ht="13.2" x14ac:dyDescent="0.25">
      <c r="A390" s="66" t="str">
        <f>A36</f>
        <v>CASH FLOW FROM INVESTING ACTIVITIES</v>
      </c>
      <c r="B390" s="66"/>
      <c r="C390" s="66"/>
      <c r="D390" s="66"/>
      <c r="E390" s="66"/>
      <c r="F390" s="66"/>
      <c r="G390" s="78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</row>
    <row r="391" spans="1:47" ht="13.2" x14ac:dyDescent="0.25">
      <c r="A391" s="66" t="str">
        <f>A37</f>
        <v xml:space="preserve">   Proceeds from Sale of Investments</v>
      </c>
      <c r="B391" s="66"/>
      <c r="C391" s="66"/>
      <c r="D391" s="66"/>
      <c r="E391" s="66"/>
      <c r="F391" s="66"/>
      <c r="G391" s="78">
        <f>AK37</f>
        <v>18</v>
      </c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</row>
    <row r="392" spans="1:47" ht="13.2" x14ac:dyDescent="0.25">
      <c r="A392" s="66" t="str">
        <f>A38</f>
        <v xml:space="preserve">   Additions to Property </v>
      </c>
      <c r="B392" s="66"/>
      <c r="C392" s="66"/>
      <c r="D392" s="66"/>
      <c r="E392" s="66"/>
      <c r="F392" s="66"/>
      <c r="G392" s="78">
        <f>AK38</f>
        <v>-20300</v>
      </c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</row>
    <row r="393" spans="1:47" ht="13.2" x14ac:dyDescent="0.25">
      <c r="A393" s="66" t="str">
        <f>A39</f>
        <v xml:space="preserve">   Other Capital Expenditures</v>
      </c>
      <c r="B393" s="91"/>
      <c r="C393" s="91"/>
      <c r="D393" s="66"/>
      <c r="E393" s="66"/>
      <c r="F393" s="66"/>
      <c r="G393" s="78">
        <f>AK39</f>
        <v>-237</v>
      </c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</row>
    <row r="394" spans="1:47" ht="13.2" x14ac:dyDescent="0.25">
      <c r="A394" s="66" t="str">
        <f>A40</f>
        <v xml:space="preserve">   Other Investments</v>
      </c>
      <c r="B394" s="91"/>
      <c r="C394" s="91"/>
      <c r="D394" s="66"/>
      <c r="E394" s="66"/>
      <c r="F394" s="66"/>
      <c r="G394" s="83">
        <f>AK40</f>
        <v>0</v>
      </c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</row>
    <row r="395" spans="1:47" ht="13.2" x14ac:dyDescent="0.25">
      <c r="A395" s="66" t="str">
        <f>A43</f>
        <v xml:space="preserve">      Cash Provided by (Used in) Investing Activities</v>
      </c>
      <c r="B395" s="91"/>
      <c r="C395" s="91"/>
      <c r="D395" s="66"/>
      <c r="E395" s="91"/>
      <c r="F395" s="66"/>
      <c r="G395" s="66"/>
      <c r="H395" s="66"/>
      <c r="I395" s="83">
        <f>SUM(G390:G395)</f>
        <v>-20519</v>
      </c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</row>
    <row r="396" spans="1:47" ht="3.9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</row>
    <row r="397" spans="1:47" ht="13.2" x14ac:dyDescent="0.25">
      <c r="A397" s="63" t="str">
        <f>A45</f>
        <v xml:space="preserve">            Net Cash Flow Before Corporate Adjustments</v>
      </c>
      <c r="B397" s="66"/>
      <c r="C397" s="66"/>
      <c r="D397" s="78">
        <f>P45</f>
        <v>38049</v>
      </c>
      <c r="E397" s="66"/>
      <c r="F397" s="66"/>
      <c r="G397" s="66"/>
      <c r="H397" s="66"/>
      <c r="I397" s="90" t="e">
        <f>SUM(I352:I396)</f>
        <v>#REF!</v>
      </c>
      <c r="J397" s="66"/>
      <c r="K397" s="78" t="e">
        <f>I397-I352</f>
        <v>#REF!</v>
      </c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</row>
    <row r="398" spans="1:47" ht="3.9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</row>
    <row r="399" spans="1:47" ht="13.2" x14ac:dyDescent="0.25">
      <c r="A399" s="66" t="e">
        <f>#REF!</f>
        <v>#REF!</v>
      </c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</row>
    <row r="400" spans="1:47" ht="13.2" x14ac:dyDescent="0.25">
      <c r="A400" s="66" t="e">
        <f>#REF!</f>
        <v>#REF!</v>
      </c>
      <c r="B400" s="91"/>
      <c r="C400" s="91"/>
      <c r="D400" s="66"/>
      <c r="E400" s="66"/>
      <c r="F400" s="66"/>
      <c r="G400" s="78" t="e">
        <f>#REF!</f>
        <v>#REF!</v>
      </c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</row>
    <row r="401" spans="1:47" ht="13.2" x14ac:dyDescent="0.25">
      <c r="A401" s="66" t="e">
        <f>#REF!</f>
        <v>#REF!</v>
      </c>
      <c r="B401" s="66"/>
      <c r="C401" s="66"/>
      <c r="D401" s="66"/>
      <c r="E401" s="66"/>
      <c r="F401" s="66"/>
      <c r="G401" s="78" t="e">
        <f>#REF!</f>
        <v>#REF!</v>
      </c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</row>
    <row r="402" spans="1:47" ht="13.2" x14ac:dyDescent="0.25">
      <c r="A402" s="66" t="str">
        <f>A19</f>
        <v xml:space="preserve">                    - Other</v>
      </c>
      <c r="B402" s="91"/>
      <c r="C402" s="91"/>
      <c r="D402" s="66"/>
      <c r="E402" s="66"/>
      <c r="F402" s="66"/>
      <c r="G402" s="83">
        <f>AK19</f>
        <v>16209</v>
      </c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</row>
    <row r="403" spans="1:47" ht="13.2" x14ac:dyDescent="0.25">
      <c r="A403" s="66" t="e">
        <f>#REF!</f>
        <v>#REF!</v>
      </c>
      <c r="B403" s="66"/>
      <c r="C403" s="66"/>
      <c r="D403" s="66"/>
      <c r="E403" s="66"/>
      <c r="F403" s="66"/>
      <c r="G403" s="66"/>
      <c r="H403" s="66"/>
      <c r="I403" s="66"/>
      <c r="J403" s="66"/>
      <c r="K403" s="83" t="e">
        <f>SUM(G400:G402)</f>
        <v>#REF!</v>
      </c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</row>
    <row r="404" spans="1:47" ht="3.9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</row>
    <row r="405" spans="1:47" ht="13.2" x14ac:dyDescent="0.25">
      <c r="A405" s="63" t="e">
        <f>#REF!</f>
        <v>#REF!</v>
      </c>
      <c r="B405" s="66"/>
      <c r="C405" s="66"/>
      <c r="D405" s="78" t="e">
        <f>#REF!</f>
        <v>#REF!</v>
      </c>
      <c r="E405" s="66"/>
      <c r="F405" s="66"/>
      <c r="G405" s="66"/>
      <c r="H405" s="66"/>
      <c r="I405" s="66"/>
      <c r="J405" s="66"/>
      <c r="K405" s="90" t="e">
        <f>SUM(K352:K403)</f>
        <v>#REF!</v>
      </c>
      <c r="L405" s="66"/>
      <c r="M405" s="78" t="e">
        <f>K405-K352</f>
        <v>#REF!</v>
      </c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</row>
    <row r="406" spans="1:47" ht="3.9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</row>
    <row r="407" spans="1:47" ht="13.2" x14ac:dyDescent="0.25">
      <c r="A407" s="66" t="str">
        <f>A47</f>
        <v>OTHER ITEMS AFFECTING INTERCO. (CORP.) BALANCE</v>
      </c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</row>
    <row r="408" spans="1:47" ht="13.2" x14ac:dyDescent="0.25">
      <c r="A408" s="66" t="str">
        <f>A48</f>
        <v xml:space="preserve">   Dividends Transferred to Corporate</v>
      </c>
      <c r="B408" s="91"/>
      <c r="C408" s="91"/>
      <c r="D408" s="66"/>
      <c r="E408" s="66"/>
      <c r="F408" s="66"/>
      <c r="G408" s="78">
        <f>AK48</f>
        <v>0</v>
      </c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</row>
    <row r="409" spans="1:47" ht="13.2" x14ac:dyDescent="0.25">
      <c r="A409" s="66" t="str">
        <f>A49</f>
        <v xml:space="preserve">   Other</v>
      </c>
      <c r="B409" s="91"/>
      <c r="C409" s="91"/>
      <c r="D409" s="66"/>
      <c r="E409" s="66"/>
      <c r="F409" s="66"/>
      <c r="G409" s="78">
        <f>AK49</f>
        <v>0</v>
      </c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</row>
    <row r="410" spans="1:47" ht="13.2" x14ac:dyDescent="0.25">
      <c r="A410" s="66" t="str">
        <f>A50</f>
        <v xml:space="preserve">   Inc. / (Dec.) in Long-Term Debt  (External)</v>
      </c>
      <c r="B410" s="66"/>
      <c r="C410" s="66"/>
      <c r="D410" s="66"/>
      <c r="E410" s="66"/>
      <c r="F410" s="66"/>
      <c r="G410" s="78">
        <f ca="1">AK50</f>
        <v>-150000</v>
      </c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</row>
    <row r="411" spans="1:47" ht="13.2" x14ac:dyDescent="0.25">
      <c r="A411" s="66" t="str">
        <f>A51</f>
        <v xml:space="preserve">   Inc. / (Dec.) in Sale of Receivables</v>
      </c>
      <c r="B411" s="66"/>
      <c r="C411" s="66"/>
      <c r="D411" s="66"/>
      <c r="E411" s="66"/>
      <c r="F411" s="66"/>
      <c r="G411" s="83">
        <f>AK51</f>
        <v>0</v>
      </c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</row>
    <row r="412" spans="1:47" ht="13.2" x14ac:dyDescent="0.25">
      <c r="A412" s="66" t="str">
        <f>A53</f>
        <v xml:space="preserve">      Total Items Affecting Intercompany (Corp.) Balance</v>
      </c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83">
        <f ca="1">SUM(G408:G411)</f>
        <v>-150000</v>
      </c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</row>
    <row r="413" spans="1:47" ht="6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</row>
    <row r="414" spans="1:47" ht="13.2" x14ac:dyDescent="0.25">
      <c r="A414" s="64" t="s">
        <v>476</v>
      </c>
      <c r="B414" s="66"/>
      <c r="C414" s="91"/>
      <c r="D414" s="78">
        <f ca="1">P55</f>
        <v>-115801</v>
      </c>
      <c r="E414" s="91"/>
      <c r="F414" s="66"/>
      <c r="G414" s="78"/>
      <c r="H414" s="66"/>
      <c r="I414" s="66"/>
      <c r="J414" s="66"/>
      <c r="K414" s="66"/>
      <c r="L414" s="66"/>
      <c r="M414" s="92" t="e">
        <f ca="1">SUM(M352:M413)</f>
        <v>#REF!</v>
      </c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</row>
    <row r="415" spans="1:47" ht="8.1" customHeight="1" x14ac:dyDescent="0.25">
      <c r="A415" s="66"/>
      <c r="B415" s="91"/>
      <c r="C415" s="91"/>
      <c r="D415" s="66"/>
      <c r="E415" s="91"/>
      <c r="F415" s="66"/>
      <c r="G415" s="78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</row>
    <row r="416" spans="1:47" ht="13.2" x14ac:dyDescent="0.25">
      <c r="A416" s="87" t="s">
        <v>572</v>
      </c>
      <c r="B416" s="87" t="s">
        <v>572</v>
      </c>
      <c r="C416" s="87" t="s">
        <v>572</v>
      </c>
      <c r="D416" s="87" t="s">
        <v>572</v>
      </c>
      <c r="E416" s="87" t="s">
        <v>572</v>
      </c>
      <c r="F416" s="87" t="s">
        <v>572</v>
      </c>
      <c r="G416" s="87" t="s">
        <v>572</v>
      </c>
      <c r="H416" s="87" t="s">
        <v>572</v>
      </c>
      <c r="I416" s="87" t="s">
        <v>572</v>
      </c>
      <c r="J416" s="87" t="s">
        <v>572</v>
      </c>
      <c r="K416" s="87" t="s">
        <v>572</v>
      </c>
      <c r="L416" s="87" t="s">
        <v>572</v>
      </c>
      <c r="M416" s="87" t="s">
        <v>572</v>
      </c>
      <c r="N416" s="87" t="s">
        <v>572</v>
      </c>
      <c r="O416" s="87" t="s">
        <v>572</v>
      </c>
      <c r="P416" s="87" t="s">
        <v>572</v>
      </c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</row>
    <row r="417" spans="1:47" ht="13.2" x14ac:dyDescent="0.25">
      <c r="A417" s="67" t="str">
        <f ca="1">A1</f>
        <v>P:\Finance\2001CE\[TW3rdCECF.xls]BACKUP</v>
      </c>
      <c r="B417" s="63"/>
      <c r="C417" s="63" t="str">
        <f>I1</f>
        <v>TRANSWESTERN PIPELINE GROUP (Including Co. 92)</v>
      </c>
      <c r="D417" s="63"/>
      <c r="E417" s="63"/>
      <c r="F417" s="63"/>
      <c r="G417" s="63"/>
      <c r="H417" s="63"/>
      <c r="I417" s="63"/>
      <c r="J417" s="63"/>
      <c r="K417" s="66"/>
      <c r="L417" s="66"/>
      <c r="M417" s="88">
        <f ca="1">NOW()</f>
        <v>37197.646944328706</v>
      </c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</row>
    <row r="418" spans="1:47" ht="13.2" x14ac:dyDescent="0.25">
      <c r="A418" s="69" t="s">
        <v>589</v>
      </c>
      <c r="B418" s="63"/>
      <c r="C418" s="63" t="str">
        <f>I2</f>
        <v>CASH FLOW STATEMENT</v>
      </c>
      <c r="D418" s="63"/>
      <c r="E418" s="63"/>
      <c r="F418" s="63"/>
      <c r="G418" s="63"/>
      <c r="H418" s="63"/>
      <c r="I418" s="63"/>
      <c r="J418" s="63"/>
      <c r="K418" s="66"/>
      <c r="L418" s="66"/>
      <c r="M418" s="89">
        <f ca="1">NOW()</f>
        <v>37197.646944328706</v>
      </c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</row>
    <row r="419" spans="1:47" ht="13.2" x14ac:dyDescent="0.25">
      <c r="A419" s="63"/>
      <c r="B419" s="63"/>
      <c r="C419" s="63" t="str">
        <f>I3</f>
        <v>2001 ACTUAL / ESTIMATE</v>
      </c>
      <c r="D419" s="63"/>
      <c r="E419" s="63"/>
      <c r="F419" s="63"/>
      <c r="G419" s="63"/>
      <c r="H419" s="63"/>
      <c r="I419" s="63"/>
      <c r="J419" s="63"/>
      <c r="K419" s="63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</row>
    <row r="420" spans="1:47" ht="13.2" x14ac:dyDescent="0.25">
      <c r="A420" s="63"/>
      <c r="B420" s="63"/>
      <c r="C420" s="63" t="str">
        <f>I4</f>
        <v>(Thousands of Dollars)</v>
      </c>
      <c r="D420" s="63"/>
      <c r="E420" s="63"/>
      <c r="F420" s="63"/>
      <c r="G420" s="63"/>
      <c r="H420" s="63"/>
      <c r="I420" s="63"/>
      <c r="J420" s="63"/>
      <c r="K420" s="63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</row>
    <row r="421" spans="1:47" ht="13.2" x14ac:dyDescent="0.2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</row>
    <row r="422" spans="1:47" ht="13.2" x14ac:dyDescent="0.25">
      <c r="A422" s="63"/>
      <c r="B422" s="63"/>
      <c r="C422" s="63"/>
      <c r="D422" s="63"/>
      <c r="E422" s="63"/>
      <c r="F422" s="63"/>
      <c r="G422" s="63"/>
      <c r="H422" s="63"/>
      <c r="I422" s="75" t="s">
        <v>574</v>
      </c>
      <c r="J422" s="75"/>
      <c r="K422" s="75"/>
      <c r="L422" s="66"/>
      <c r="M422" s="74" t="s">
        <v>575</v>
      </c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</row>
    <row r="423" spans="1:47" ht="12.9" customHeight="1" x14ac:dyDescent="0.25">
      <c r="A423" s="63"/>
      <c r="B423" s="63"/>
      <c r="C423" s="63"/>
      <c r="D423" s="63"/>
      <c r="E423" s="63"/>
      <c r="F423" s="63"/>
      <c r="G423" s="63"/>
      <c r="H423" s="63"/>
      <c r="I423" s="76" t="s">
        <v>576</v>
      </c>
      <c r="J423" s="63"/>
      <c r="K423" s="76" t="s">
        <v>577</v>
      </c>
      <c r="L423" s="66"/>
      <c r="M423" s="76" t="s">
        <v>578</v>
      </c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</row>
    <row r="424" spans="1:47" ht="3.9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</row>
    <row r="425" spans="1:47" ht="13.2" x14ac:dyDescent="0.25">
      <c r="A425" s="64" t="s">
        <v>590</v>
      </c>
      <c r="B425" s="66"/>
      <c r="C425" s="66"/>
      <c r="D425" s="66"/>
      <c r="E425" s="66"/>
      <c r="F425" s="66"/>
      <c r="G425" s="66"/>
      <c r="H425" s="66"/>
      <c r="I425" s="90">
        <f>AM45</f>
        <v>12032</v>
      </c>
      <c r="J425" s="66"/>
      <c r="K425" s="90" t="e">
        <f>#REF!</f>
        <v>#REF!</v>
      </c>
      <c r="L425" s="66"/>
      <c r="M425" s="90">
        <f>AM55</f>
        <v>-141818</v>
      </c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</row>
    <row r="426" spans="1:47" ht="3.9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</row>
    <row r="427" spans="1:47" ht="13.2" x14ac:dyDescent="0.25">
      <c r="A427" s="80" t="s">
        <v>580</v>
      </c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</row>
    <row r="428" spans="1:47" ht="13.2" x14ac:dyDescent="0.25">
      <c r="A428" s="66" t="str">
        <f>A9</f>
        <v xml:space="preserve">   Net Income </v>
      </c>
      <c r="B428" s="66"/>
      <c r="C428" s="66"/>
      <c r="D428" s="66"/>
      <c r="E428" s="66"/>
      <c r="F428" s="66"/>
      <c r="G428" s="78">
        <f>AN9</f>
        <v>-6548</v>
      </c>
      <c r="H428" s="66"/>
      <c r="I428" s="91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</row>
    <row r="429" spans="1:47" ht="13.2" x14ac:dyDescent="0.25">
      <c r="A429" s="66" t="str">
        <f>A11</f>
        <v xml:space="preserve">      Depreciation and Amortization</v>
      </c>
      <c r="B429" s="66"/>
      <c r="C429" s="66"/>
      <c r="D429" s="66"/>
      <c r="E429" s="66"/>
      <c r="F429" s="66"/>
      <c r="G429" s="78">
        <f>AN11</f>
        <v>-102</v>
      </c>
      <c r="H429" s="66"/>
      <c r="I429" s="91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</row>
    <row r="430" spans="1:47" ht="13.2" x14ac:dyDescent="0.25">
      <c r="A430" s="66" t="str">
        <f>A12</f>
        <v xml:space="preserve">      Regulatory Amortization - TCR</v>
      </c>
      <c r="B430" s="91"/>
      <c r="C430" s="91"/>
      <c r="D430" s="66"/>
      <c r="E430" s="91"/>
      <c r="F430" s="66"/>
      <c r="G430" s="78">
        <f>AN12</f>
        <v>0</v>
      </c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</row>
    <row r="431" spans="1:47" ht="13.2" x14ac:dyDescent="0.25">
      <c r="A431" s="66" t="e">
        <f>#REF!</f>
        <v>#REF!</v>
      </c>
      <c r="B431" s="66"/>
      <c r="C431" s="66"/>
      <c r="D431" s="66"/>
      <c r="E431" s="66"/>
      <c r="F431" s="66"/>
      <c r="G431" s="78" t="e">
        <f>#REF!</f>
        <v>#REF!</v>
      </c>
      <c r="H431" s="66"/>
      <c r="I431" s="91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</row>
    <row r="432" spans="1:47" ht="13.2" x14ac:dyDescent="0.25">
      <c r="A432" s="66" t="str">
        <f>A13</f>
        <v xml:space="preserve">      Deferred Income Taxes - Both Current and Noncurrent</v>
      </c>
      <c r="B432" s="66"/>
      <c r="C432" s="66"/>
      <c r="D432" s="66"/>
      <c r="E432" s="66"/>
      <c r="F432" s="66"/>
      <c r="G432" s="78">
        <f>AN13</f>
        <v>-4636</v>
      </c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</row>
    <row r="433" spans="1:47" ht="13.2" x14ac:dyDescent="0.25">
      <c r="A433" s="66" t="e">
        <f>#REF!</f>
        <v>#REF!</v>
      </c>
      <c r="B433" s="66"/>
      <c r="C433" s="66"/>
      <c r="D433" s="66"/>
      <c r="E433" s="66"/>
      <c r="F433" s="66"/>
      <c r="G433" s="78" t="e">
        <f>#REF!</f>
        <v>#REF!</v>
      </c>
      <c r="H433" s="66"/>
      <c r="I433" s="78" t="e">
        <f>SUM(G428:G433)</f>
        <v>#REF!</v>
      </c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</row>
    <row r="434" spans="1:47" ht="3.9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</row>
    <row r="435" spans="1:47" ht="13.2" x14ac:dyDescent="0.25">
      <c r="A435" s="80" t="s">
        <v>581</v>
      </c>
      <c r="B435" s="66"/>
      <c r="C435" s="66"/>
      <c r="D435" s="66"/>
      <c r="E435" s="66"/>
      <c r="F435" s="66"/>
      <c r="G435" s="78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</row>
    <row r="436" spans="1:47" ht="13.2" x14ac:dyDescent="0.25">
      <c r="A436" s="66" t="str">
        <f>A16</f>
        <v xml:space="preserve">      Accounts and Notes Receivable</v>
      </c>
      <c r="B436" s="91"/>
      <c r="C436" s="91"/>
      <c r="D436" s="66"/>
      <c r="E436" s="66"/>
      <c r="F436" s="66"/>
      <c r="G436" s="78">
        <f>AN16</f>
        <v>-11771</v>
      </c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</row>
    <row r="437" spans="1:47" ht="13.2" x14ac:dyDescent="0.25">
      <c r="A437" s="66" t="str">
        <f>A17</f>
        <v xml:space="preserve">      Inventories (Materials &amp; Supplies)</v>
      </c>
      <c r="B437" s="93" t="s">
        <v>591</v>
      </c>
      <c r="C437" s="91"/>
      <c r="D437" s="66"/>
      <c r="E437" s="66"/>
      <c r="F437" s="66"/>
      <c r="G437" s="78">
        <f>AN17</f>
        <v>18</v>
      </c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</row>
    <row r="438" spans="1:47" ht="13.2" x14ac:dyDescent="0.25">
      <c r="A438" s="66" t="str">
        <f>A18</f>
        <v xml:space="preserve">      Accounts Payable - Assoc. Companies / Trade</v>
      </c>
      <c r="B438" s="91"/>
      <c r="C438" s="91"/>
      <c r="D438" s="66"/>
      <c r="E438" s="66"/>
      <c r="F438" s="66"/>
      <c r="G438" s="78">
        <f>AN18</f>
        <v>-2388</v>
      </c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</row>
    <row r="439" spans="1:47" ht="13.2" x14ac:dyDescent="0.25">
      <c r="A439" s="66" t="e">
        <f>#REF!</f>
        <v>#REF!</v>
      </c>
      <c r="B439" s="91"/>
      <c r="C439" s="91"/>
      <c r="D439" s="66"/>
      <c r="E439" s="66"/>
      <c r="F439" s="66"/>
      <c r="G439" s="78" t="e">
        <f>#REF!</f>
        <v>#REF!</v>
      </c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</row>
    <row r="440" spans="1:47" ht="13.2" x14ac:dyDescent="0.25">
      <c r="A440" s="66" t="str">
        <f>A20</f>
        <v xml:space="preserve">      Exchange Gas - Receivable</v>
      </c>
      <c r="B440" s="91"/>
      <c r="C440" s="91"/>
      <c r="D440" s="66"/>
      <c r="E440" s="66"/>
      <c r="F440" s="66"/>
      <c r="G440" s="78">
        <f>AN20</f>
        <v>534</v>
      </c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</row>
    <row r="441" spans="1:47" ht="13.2" x14ac:dyDescent="0.25">
      <c r="A441" s="66" t="str">
        <f>A22</f>
        <v xml:space="preserve">      Prepayments</v>
      </c>
      <c r="B441" s="91"/>
      <c r="C441" s="91"/>
      <c r="D441" s="66"/>
      <c r="E441" s="66"/>
      <c r="F441" s="66"/>
      <c r="G441" s="78">
        <f>AN22</f>
        <v>0</v>
      </c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</row>
    <row r="442" spans="1:47" ht="13.2" x14ac:dyDescent="0.25">
      <c r="A442" s="66" t="e">
        <f>#REF!</f>
        <v>#REF!</v>
      </c>
      <c r="B442" s="91"/>
      <c r="C442" s="91"/>
      <c r="D442" s="66"/>
      <c r="E442" s="66"/>
      <c r="F442" s="66"/>
      <c r="G442" s="78" t="e">
        <f>#REF!</f>
        <v>#REF!</v>
      </c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</row>
    <row r="443" spans="1:47" ht="13.2" x14ac:dyDescent="0.25">
      <c r="A443" s="66" t="str">
        <f>A23</f>
        <v xml:space="preserve">      Accrued Interest - Third Party</v>
      </c>
      <c r="B443" s="91"/>
      <c r="C443" s="91"/>
      <c r="D443" s="66"/>
      <c r="E443" s="66"/>
      <c r="F443" s="66"/>
      <c r="G443" s="78">
        <f>AN23</f>
        <v>0</v>
      </c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</row>
    <row r="444" spans="1:47" ht="13.2" x14ac:dyDescent="0.25">
      <c r="A444" s="66" t="str">
        <f>A24</f>
        <v xml:space="preserve">      Accrued Taxes, Other Than Income</v>
      </c>
      <c r="B444" s="91"/>
      <c r="C444" s="91"/>
      <c r="D444" s="66"/>
      <c r="E444" s="66"/>
      <c r="F444" s="66"/>
      <c r="G444" s="78">
        <f>AN24</f>
        <v>-78</v>
      </c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</row>
    <row r="445" spans="1:47" ht="13.2" x14ac:dyDescent="0.25">
      <c r="A445" s="66" t="str">
        <f>A25</f>
        <v xml:space="preserve">      Other Current Assets or Liabilities (W/O Reserve Activity)</v>
      </c>
      <c r="B445" s="91"/>
      <c r="C445" s="91"/>
      <c r="D445" s="66"/>
      <c r="E445" s="66"/>
      <c r="F445" s="66"/>
      <c r="G445" s="78">
        <f>AN25</f>
        <v>-58</v>
      </c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</row>
    <row r="446" spans="1:47" ht="6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</row>
    <row r="447" spans="1:47" ht="13.2" x14ac:dyDescent="0.25">
      <c r="A447" s="66" t="e">
        <f>#REF!</f>
        <v>#REF!</v>
      </c>
      <c r="B447" s="66"/>
      <c r="C447" s="66"/>
      <c r="D447" s="66"/>
      <c r="E447" s="66"/>
      <c r="F447" s="66"/>
      <c r="G447" s="78" t="e">
        <f>#REF!</f>
        <v>#REF!</v>
      </c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</row>
    <row r="448" spans="1:47" ht="13.2" x14ac:dyDescent="0.25">
      <c r="A448" s="66" t="e">
        <f>#REF!</f>
        <v>#REF!</v>
      </c>
      <c r="B448" s="66"/>
      <c r="C448" s="66"/>
      <c r="D448" s="66"/>
      <c r="E448" s="66"/>
      <c r="F448" s="66"/>
      <c r="G448" s="78" t="e">
        <f>#REF!</f>
        <v>#REF!</v>
      </c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</row>
    <row r="449" spans="1:47" ht="13.2" x14ac:dyDescent="0.25">
      <c r="A449" s="66" t="e">
        <f>#REF!</f>
        <v>#REF!</v>
      </c>
      <c r="B449" s="66"/>
      <c r="C449" s="66"/>
      <c r="D449" s="66"/>
      <c r="E449" s="66"/>
      <c r="F449" s="66"/>
      <c r="G449" s="78" t="e">
        <f>#REF!</f>
        <v>#REF!</v>
      </c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</row>
    <row r="450" spans="1:47" ht="13.2" x14ac:dyDescent="0.25">
      <c r="A450" s="66" t="str">
        <f>A28</f>
        <v xml:space="preserve">   Equity Earnings</v>
      </c>
      <c r="B450" s="66"/>
      <c r="C450" s="66"/>
      <c r="D450" s="66"/>
      <c r="E450" s="66"/>
      <c r="F450" s="66"/>
      <c r="G450" s="78">
        <f>AN28</f>
        <v>0</v>
      </c>
      <c r="H450" s="66"/>
      <c r="I450" s="91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</row>
    <row r="451" spans="1:47" ht="13.2" x14ac:dyDescent="0.25">
      <c r="A451" s="66" t="str">
        <f>A29</f>
        <v xml:space="preserve">   Equity / Partnership Distributions</v>
      </c>
      <c r="B451" s="66"/>
      <c r="C451" s="66"/>
      <c r="D451" s="66"/>
      <c r="E451" s="66"/>
      <c r="F451" s="66"/>
      <c r="G451" s="78">
        <f>AN29</f>
        <v>0</v>
      </c>
      <c r="H451" s="66"/>
      <c r="I451" s="91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</row>
    <row r="452" spans="1:47" ht="13.2" x14ac:dyDescent="0.25">
      <c r="A452" s="66" t="str">
        <f>A30</f>
        <v xml:space="preserve">   Net (Gain) / Loss on Sale of Assets</v>
      </c>
      <c r="B452" s="66"/>
      <c r="C452" s="66"/>
      <c r="D452" s="66"/>
      <c r="E452" s="66"/>
      <c r="F452" s="66"/>
      <c r="G452" s="78">
        <f>AN30</f>
        <v>-18</v>
      </c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</row>
    <row r="453" spans="1:47" ht="13.2" x14ac:dyDescent="0.25">
      <c r="A453" s="66" t="str">
        <f>A31</f>
        <v xml:space="preserve">   Other Regulatory Assets / Liabilities</v>
      </c>
      <c r="B453" s="66"/>
      <c r="C453" s="66"/>
      <c r="D453" s="66"/>
      <c r="E453" s="66"/>
      <c r="F453" s="66"/>
      <c r="G453" s="78">
        <f>AN31</f>
        <v>-49</v>
      </c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</row>
    <row r="454" spans="1:47" ht="13.2" x14ac:dyDescent="0.25">
      <c r="A454" s="94" t="s">
        <v>592</v>
      </c>
      <c r="B454" s="66"/>
      <c r="C454" s="66"/>
      <c r="D454" s="66"/>
      <c r="E454" s="79">
        <v>-18794</v>
      </c>
      <c r="F454" s="66"/>
      <c r="G454" s="78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</row>
    <row r="455" spans="1:47" ht="13.2" x14ac:dyDescent="0.25">
      <c r="A455" s="66" t="str">
        <f>A382</f>
        <v xml:space="preserve">      - Severance (Involuntary / Voluntary) </v>
      </c>
      <c r="B455" s="66"/>
      <c r="C455" s="66"/>
      <c r="D455" s="66"/>
      <c r="E455" s="78">
        <f>-P295-P297-P299+U295+U297+U299</f>
        <v>3</v>
      </c>
      <c r="F455" s="66"/>
      <c r="G455" s="78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</row>
    <row r="456" spans="1:47" ht="13.2" x14ac:dyDescent="0.25">
      <c r="A456" s="94" t="s">
        <v>593</v>
      </c>
      <c r="B456" s="66"/>
      <c r="C456" s="66"/>
      <c r="D456" s="66"/>
      <c r="E456" s="79">
        <v>-23425</v>
      </c>
      <c r="F456" s="66"/>
      <c r="G456" s="78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</row>
    <row r="457" spans="1:47" ht="13.2" x14ac:dyDescent="0.25">
      <c r="A457" s="66" t="str">
        <f>A384</f>
        <v xml:space="preserve">      - Unamortized Debt Expense</v>
      </c>
      <c r="B457" s="66"/>
      <c r="C457" s="66"/>
      <c r="D457" s="66"/>
      <c r="E457" s="78" t="e">
        <f>-#REF!+#REF!</f>
        <v>#REF!</v>
      </c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</row>
    <row r="458" spans="1:47" ht="13.2" x14ac:dyDescent="0.25">
      <c r="A458" s="66" t="str">
        <f>A385</f>
        <v xml:space="preserve">      - Other Deferred Charges (Actual Adjust.)</v>
      </c>
      <c r="B458" s="66"/>
      <c r="C458" s="66"/>
      <c r="D458" s="66"/>
      <c r="E458" s="78">
        <f>-P302+U302</f>
        <v>0</v>
      </c>
      <c r="F458" s="66"/>
      <c r="G458" s="78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</row>
    <row r="459" spans="1:47" ht="13.2" x14ac:dyDescent="0.25">
      <c r="A459" s="66" t="str">
        <f>A386</f>
        <v xml:space="preserve">      - Other Deferred Credits (Actual Adjust.)</v>
      </c>
      <c r="B459" s="66"/>
      <c r="C459" s="66"/>
      <c r="D459" s="66"/>
      <c r="E459" s="78">
        <f>P320-U320</f>
        <v>0</v>
      </c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</row>
    <row r="460" spans="1:47" ht="13.2" x14ac:dyDescent="0.25">
      <c r="A460" s="94" t="s">
        <v>594</v>
      </c>
      <c r="B460" s="66"/>
      <c r="C460" s="66"/>
      <c r="D460" s="66"/>
      <c r="E460" s="78" t="e">
        <f>G460-SUM(E454:E459)</f>
        <v>#REF!</v>
      </c>
      <c r="F460" s="66"/>
      <c r="G460" s="83">
        <f>AN32</f>
        <v>12227</v>
      </c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</row>
    <row r="461" spans="1:47" ht="13.2" x14ac:dyDescent="0.25">
      <c r="A461" s="80" t="s">
        <v>588</v>
      </c>
      <c r="B461" s="66"/>
      <c r="C461" s="66"/>
      <c r="D461" s="66"/>
      <c r="E461" s="66"/>
      <c r="F461" s="66"/>
      <c r="G461" s="66"/>
      <c r="H461" s="66"/>
      <c r="I461" s="78" t="e">
        <f>SUM(G433:G461)</f>
        <v>#REF!</v>
      </c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</row>
    <row r="462" spans="1:47" ht="3.9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</row>
    <row r="463" spans="1:47" ht="13.2" x14ac:dyDescent="0.25">
      <c r="A463" s="66" t="str">
        <f>A36</f>
        <v>CASH FLOW FROM INVESTING ACTIVITIES</v>
      </c>
      <c r="B463" s="66"/>
      <c r="C463" s="66"/>
      <c r="D463" s="66"/>
      <c r="E463" s="66"/>
      <c r="F463" s="66"/>
      <c r="G463" s="78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</row>
    <row r="464" spans="1:47" ht="13.2" x14ac:dyDescent="0.25">
      <c r="A464" s="66" t="str">
        <f>A37</f>
        <v xml:space="preserve">   Proceeds from Sale of Investments</v>
      </c>
      <c r="B464" s="66"/>
      <c r="C464" s="66"/>
      <c r="D464" s="66"/>
      <c r="E464" s="66"/>
      <c r="F464" s="66"/>
      <c r="G464" s="78">
        <f>AN37</f>
        <v>18</v>
      </c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</row>
    <row r="465" spans="1:47" ht="13.2" x14ac:dyDescent="0.25">
      <c r="A465" s="66" t="str">
        <f>A38</f>
        <v xml:space="preserve">   Additions to Property </v>
      </c>
      <c r="B465" s="66"/>
      <c r="C465" s="66"/>
      <c r="D465" s="66"/>
      <c r="E465" s="66"/>
      <c r="F465" s="66"/>
      <c r="G465" s="78">
        <f>AN38</f>
        <v>20400</v>
      </c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</row>
    <row r="466" spans="1:47" ht="13.2" x14ac:dyDescent="0.25">
      <c r="A466" s="66" t="str">
        <f>A39</f>
        <v xml:space="preserve">   Other Capital Expenditures</v>
      </c>
      <c r="B466" s="91"/>
      <c r="C466" s="91"/>
      <c r="D466" s="66"/>
      <c r="E466" s="66"/>
      <c r="F466" s="66"/>
      <c r="G466" s="78">
        <f>AN39</f>
        <v>267</v>
      </c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</row>
    <row r="467" spans="1:47" ht="13.2" x14ac:dyDescent="0.25">
      <c r="A467" s="66" t="str">
        <f>A40</f>
        <v xml:space="preserve">   Other Investments</v>
      </c>
      <c r="B467" s="95" t="s">
        <v>595</v>
      </c>
      <c r="C467" s="91"/>
      <c r="D467" s="66"/>
      <c r="E467" s="66"/>
      <c r="F467" s="66"/>
      <c r="G467" s="83">
        <f>AN40</f>
        <v>0</v>
      </c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</row>
    <row r="468" spans="1:47" ht="13.2" x14ac:dyDescent="0.25">
      <c r="A468" s="80" t="s">
        <v>596</v>
      </c>
      <c r="B468" s="91"/>
      <c r="C468" s="91"/>
      <c r="D468" s="66"/>
      <c r="E468" s="91"/>
      <c r="F468" s="66"/>
      <c r="G468" s="66"/>
      <c r="H468" s="66"/>
      <c r="I468" s="83">
        <f>SUM(G463:G468)</f>
        <v>20685</v>
      </c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</row>
    <row r="469" spans="1:47" ht="3.9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</row>
    <row r="470" spans="1:47" ht="13.2" x14ac:dyDescent="0.25">
      <c r="A470" s="63" t="str">
        <f>A45</f>
        <v xml:space="preserve">            Net Cash Flow Before Corporate Adjustments</v>
      </c>
      <c r="B470" s="66"/>
      <c r="C470" s="66"/>
      <c r="D470" s="78">
        <f>P45</f>
        <v>38049</v>
      </c>
      <c r="E470" s="66"/>
      <c r="F470" s="66"/>
      <c r="G470" s="66"/>
      <c r="H470" s="66"/>
      <c r="I470" s="90" t="e">
        <f>SUM(I425:I469)</f>
        <v>#REF!</v>
      </c>
      <c r="J470" s="66"/>
      <c r="K470" s="78" t="e">
        <f>I470-I425</f>
        <v>#REF!</v>
      </c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</row>
    <row r="471" spans="1:47" ht="3.9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</row>
    <row r="472" spans="1:47" ht="13.2" x14ac:dyDescent="0.25">
      <c r="A472" s="66" t="e">
        <f>#REF!</f>
        <v>#REF!</v>
      </c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</row>
    <row r="473" spans="1:47" ht="13.2" x14ac:dyDescent="0.25">
      <c r="A473" s="66" t="e">
        <f>#REF!</f>
        <v>#REF!</v>
      </c>
      <c r="B473" s="91"/>
      <c r="C473" s="91"/>
      <c r="D473" s="66"/>
      <c r="E473" s="66"/>
      <c r="F473" s="66"/>
      <c r="G473" s="78" t="e">
        <f>#REF!</f>
        <v>#REF!</v>
      </c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</row>
    <row r="474" spans="1:47" ht="13.2" x14ac:dyDescent="0.25">
      <c r="A474" s="66" t="e">
        <f>#REF!</f>
        <v>#REF!</v>
      </c>
      <c r="B474" s="66"/>
      <c r="C474" s="66"/>
      <c r="D474" s="66"/>
      <c r="E474" s="66"/>
      <c r="F474" s="66"/>
      <c r="G474" s="78" t="e">
        <f>#REF!</f>
        <v>#REF!</v>
      </c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</row>
    <row r="475" spans="1:47" ht="13.2" x14ac:dyDescent="0.25">
      <c r="A475" s="66" t="str">
        <f>A19</f>
        <v xml:space="preserve">                    - Other</v>
      </c>
      <c r="B475" s="91"/>
      <c r="C475" s="91"/>
      <c r="D475" s="66"/>
      <c r="E475" s="66"/>
      <c r="F475" s="66"/>
      <c r="G475" s="83">
        <f>AN19</f>
        <v>17066</v>
      </c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</row>
    <row r="476" spans="1:47" ht="13.2" x14ac:dyDescent="0.25">
      <c r="A476" s="66" t="e">
        <f>#REF!</f>
        <v>#REF!</v>
      </c>
      <c r="B476" s="66"/>
      <c r="C476" s="66"/>
      <c r="D476" s="66"/>
      <c r="E476" s="66"/>
      <c r="F476" s="66"/>
      <c r="G476" s="66"/>
      <c r="H476" s="66"/>
      <c r="I476" s="66"/>
      <c r="J476" s="66"/>
      <c r="K476" s="83" t="e">
        <f>SUM(G473:G475)</f>
        <v>#REF!</v>
      </c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</row>
    <row r="477" spans="1:47" ht="3.9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</row>
    <row r="478" spans="1:47" ht="13.2" x14ac:dyDescent="0.25">
      <c r="A478" s="63" t="e">
        <f>#REF!</f>
        <v>#REF!</v>
      </c>
      <c r="B478" s="66"/>
      <c r="C478" s="66"/>
      <c r="D478" s="78" t="e">
        <f>#REF!</f>
        <v>#REF!</v>
      </c>
      <c r="E478" s="66"/>
      <c r="F478" s="66"/>
      <c r="G478" s="66"/>
      <c r="H478" s="66"/>
      <c r="I478" s="90"/>
      <c r="J478" s="66"/>
      <c r="K478" s="90" t="e">
        <f>SUM(K425:K476)</f>
        <v>#REF!</v>
      </c>
      <c r="L478" s="66"/>
      <c r="M478" s="78" t="e">
        <f>K478-K425</f>
        <v>#REF!</v>
      </c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</row>
    <row r="479" spans="1:47" ht="3.9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</row>
    <row r="480" spans="1:47" ht="13.2" x14ac:dyDescent="0.25">
      <c r="A480" s="66" t="str">
        <f>A47</f>
        <v>OTHER ITEMS AFFECTING INTERCO. (CORP.) BALANCE</v>
      </c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</row>
    <row r="481" spans="1:47" ht="13.2" x14ac:dyDescent="0.25">
      <c r="A481" s="66" t="str">
        <f>A48</f>
        <v xml:space="preserve">   Dividends Transferred to Corporate</v>
      </c>
      <c r="B481" s="91"/>
      <c r="C481" s="91"/>
      <c r="D481" s="66"/>
      <c r="E481" s="66"/>
      <c r="F481" s="66"/>
      <c r="G481" s="78">
        <f>AN48</f>
        <v>0</v>
      </c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</row>
    <row r="482" spans="1:47" ht="13.2" x14ac:dyDescent="0.25">
      <c r="A482" s="66" t="str">
        <f>A49</f>
        <v xml:space="preserve">   Other</v>
      </c>
      <c r="B482" s="91"/>
      <c r="C482" s="91"/>
      <c r="D482" s="66"/>
      <c r="E482" s="66"/>
      <c r="F482" s="66"/>
      <c r="G482" s="78">
        <f>AN49</f>
        <v>0</v>
      </c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</row>
    <row r="483" spans="1:47" ht="13.2" x14ac:dyDescent="0.25">
      <c r="A483" s="66" t="str">
        <f>A50</f>
        <v xml:space="preserve">   Inc. / (Dec.) in Long-Term Debt  (External)</v>
      </c>
      <c r="B483" s="66"/>
      <c r="C483" s="66"/>
      <c r="D483" s="66"/>
      <c r="E483" s="66"/>
      <c r="F483" s="66"/>
      <c r="G483" s="78">
        <f ca="1">AN50</f>
        <v>0</v>
      </c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</row>
    <row r="484" spans="1:47" ht="13.2" x14ac:dyDescent="0.25">
      <c r="A484" s="66" t="str">
        <f>A51</f>
        <v xml:space="preserve">   Inc. / (Dec.) in Sale of Receivables</v>
      </c>
      <c r="B484" s="66"/>
      <c r="C484" s="66"/>
      <c r="D484" s="66"/>
      <c r="E484" s="66"/>
      <c r="F484" s="66"/>
      <c r="G484" s="83">
        <f>AN51</f>
        <v>0</v>
      </c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</row>
    <row r="485" spans="1:47" ht="13.2" x14ac:dyDescent="0.25">
      <c r="A485" s="66" t="str">
        <f>A53</f>
        <v xml:space="preserve">      Total Items Affecting Intercompany (Corp.) Balance</v>
      </c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83">
        <f ca="1">SUM(G481:G484)</f>
        <v>0</v>
      </c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</row>
    <row r="486" spans="1:47" ht="6" customHeight="1" x14ac:dyDescent="0.25">
      <c r="A486" s="66"/>
      <c r="B486" s="91"/>
      <c r="C486" s="91"/>
      <c r="D486" s="66"/>
      <c r="E486" s="91"/>
      <c r="F486" s="66"/>
      <c r="G486" s="78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</row>
    <row r="487" spans="1:47" ht="13.2" x14ac:dyDescent="0.25">
      <c r="A487" s="64" t="s">
        <v>476</v>
      </c>
      <c r="B487" s="66"/>
      <c r="C487" s="91"/>
      <c r="D487" s="78">
        <f ca="1">P55</f>
        <v>-115801</v>
      </c>
      <c r="E487" s="91"/>
      <c r="F487" s="66"/>
      <c r="G487" s="78"/>
      <c r="H487" s="66"/>
      <c r="I487" s="66"/>
      <c r="J487" s="66"/>
      <c r="K487" s="66"/>
      <c r="L487" s="66"/>
      <c r="M487" s="92" t="e">
        <f ca="1">SUM(M425:M486)</f>
        <v>#REF!</v>
      </c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</row>
    <row r="488" spans="1:47" ht="8.1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</row>
    <row r="491" spans="1:47" x14ac:dyDescent="0.25">
      <c r="B491" s="4" t="s">
        <v>597</v>
      </c>
      <c r="C491" s="4" t="s">
        <v>598</v>
      </c>
    </row>
    <row r="492" spans="1:47" x14ac:dyDescent="0.25">
      <c r="C492" s="4" t="s">
        <v>599</v>
      </c>
    </row>
  </sheetData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1516380</xdr:colOff>
                    <xdr:row>2</xdr:row>
                    <xdr:rowOff>106680</xdr:rowOff>
                  </from>
                  <to>
                    <xdr:col>1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46</vt:i4>
      </vt:variant>
    </vt:vector>
  </HeadingPairs>
  <TitlesOfParts>
    <vt:vector size="49" baseType="lpstr">
      <vt:lpstr>BACKUP</vt:lpstr>
      <vt:lpstr>BALSHEET</vt:lpstr>
      <vt:lpstr>CASHFLOW</vt:lpstr>
      <vt:lpstr>\L</vt:lpstr>
      <vt:lpstr>BACKUP!\P</vt:lpstr>
      <vt:lpstr>\P</vt:lpstr>
      <vt:lpstr>\R</vt:lpstr>
      <vt:lpstr>_93ASSET</vt:lpstr>
      <vt:lpstr>_93LIAB</vt:lpstr>
      <vt:lpstr>ASSET1</vt:lpstr>
      <vt:lpstr>ASSET2</vt:lpstr>
      <vt:lpstr>ASSET3</vt:lpstr>
      <vt:lpstr>ASSET4</vt:lpstr>
      <vt:lpstr>ASSET5</vt:lpstr>
      <vt:lpstr>COMPARE</vt:lpstr>
      <vt:lpstr>CORPBS</vt:lpstr>
      <vt:lpstr>CORPBS93</vt:lpstr>
      <vt:lpstr>CORPCASH</vt:lpstr>
      <vt:lpstr>CORPSUM</vt:lpstr>
      <vt:lpstr>FUNDSMO</vt:lpstr>
      <vt:lpstr>FUNDSUM</vt:lpstr>
      <vt:lpstr>LIAB1</vt:lpstr>
      <vt:lpstr>LIAB2</vt:lpstr>
      <vt:lpstr>LIAB3</vt:lpstr>
      <vt:lpstr>LIAB4</vt:lpstr>
      <vt:lpstr>MOASSET</vt:lpstr>
      <vt:lpstr>MOLIAB</vt:lpstr>
      <vt:lpstr>OTHERMO</vt:lpstr>
      <vt:lpstr>OTHERSUM</vt:lpstr>
      <vt:lpstr>PAGE1</vt:lpstr>
      <vt:lpstr>PAGE2</vt:lpstr>
      <vt:lpstr>PRINT</vt:lpstr>
      <vt:lpstr>BACKUP!Print_Area</vt:lpstr>
      <vt:lpstr>BALSHEET!Print_Area</vt:lpstr>
      <vt:lpstr>CASHFLOW!Print_Area</vt:lpstr>
      <vt:lpstr>BACKUP!Print_Titles</vt:lpstr>
      <vt:lpstr>BALSHEET!Print_Titles</vt:lpstr>
      <vt:lpstr>BACKUP!Print_Titles_MI</vt:lpstr>
      <vt:lpstr>BALSHEET!Print_Titles_MI</vt:lpstr>
      <vt:lpstr>RONASSET</vt:lpstr>
      <vt:lpstr>RONCEMO</vt:lpstr>
      <vt:lpstr>RONCEMO93</vt:lpstr>
      <vt:lpstr>RONLIAB</vt:lpstr>
      <vt:lpstr>BACKUP!TITLE1</vt:lpstr>
      <vt:lpstr>CASHFLOW!TITLE1</vt:lpstr>
      <vt:lpstr>TITLE1</vt:lpstr>
      <vt:lpstr>TITLE2</vt:lpstr>
      <vt:lpstr>VARCE</vt:lpstr>
      <vt:lpstr>VARPLAN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Havlíček Jan</cp:lastModifiedBy>
  <cp:lastPrinted>2001-09-18T15:35:06Z</cp:lastPrinted>
  <dcterms:created xsi:type="dcterms:W3CDTF">1997-02-24T23:40:05Z</dcterms:created>
  <dcterms:modified xsi:type="dcterms:W3CDTF">2023-09-10T14:58:39Z</dcterms:modified>
</cp:coreProperties>
</file>