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108" activeTab="1"/>
  </bookViews>
  <sheets>
    <sheet name="Gross" sheetId="1" r:id="rId1"/>
    <sheet name="Net" sheetId="4" r:id="rId2"/>
    <sheet name="Orig '02 Plan Gross" sheetId="5" r:id="rId3"/>
    <sheet name="Orig '02 Plan Net" sheetId="6" r:id="rId4"/>
  </sheets>
  <definedNames>
    <definedName name="_xlnm.Print_Area" localSheetId="0">Gross!$A$1:$AO$51</definedName>
    <definedName name="_xlnm.Print_Area" localSheetId="1">Net!$A$1:$AO$47</definedName>
    <definedName name="_xlnm.Print_Area" localSheetId="2">'Orig ''02 Plan Gross'!$A$1:$AK$27</definedName>
    <definedName name="_xlnm.Print_Area" localSheetId="3">'Orig ''02 Plan Net'!$A$1:$AK$27</definedName>
  </definedNames>
  <calcPr calcId="92512"/>
</workbook>
</file>

<file path=xl/calcChain.xml><?xml version="1.0" encoding="utf-8"?>
<calcChain xmlns="http://schemas.openxmlformats.org/spreadsheetml/2006/main">
  <c r="C13" i="1" l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E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E17" i="1"/>
  <c r="K17" i="1"/>
  <c r="M17" i="1"/>
  <c r="O17" i="1"/>
  <c r="Q17" i="1"/>
  <c r="S17" i="1"/>
  <c r="U17" i="1"/>
  <c r="W17" i="1"/>
  <c r="Y17" i="1"/>
  <c r="AA17" i="1"/>
  <c r="AC17" i="1"/>
  <c r="AE17" i="1"/>
  <c r="AI17" i="1"/>
  <c r="AK17" i="1"/>
  <c r="AM17" i="1"/>
  <c r="AO17" i="1"/>
  <c r="C18" i="1"/>
  <c r="E18" i="1"/>
  <c r="K18" i="1"/>
  <c r="M18" i="1"/>
  <c r="O18" i="1"/>
  <c r="Q18" i="1"/>
  <c r="S18" i="1"/>
  <c r="U18" i="1"/>
  <c r="W18" i="1"/>
  <c r="Y18" i="1"/>
  <c r="AA18" i="1"/>
  <c r="AC18" i="1"/>
  <c r="AE18" i="1"/>
  <c r="AI18" i="1"/>
  <c r="AK18" i="1"/>
  <c r="AM18" i="1"/>
  <c r="AO18" i="1"/>
  <c r="E19" i="1"/>
  <c r="AK19" i="1"/>
  <c r="AM19" i="1"/>
  <c r="AO19" i="1"/>
  <c r="E20" i="1"/>
  <c r="AK20" i="1"/>
  <c r="AM20" i="1"/>
  <c r="AO20" i="1"/>
  <c r="E21" i="1"/>
  <c r="AK21" i="1"/>
  <c r="AM21" i="1"/>
  <c r="AO21" i="1"/>
  <c r="E22" i="1"/>
  <c r="AG22" i="1"/>
  <c r="AK22" i="1"/>
  <c r="AM22" i="1"/>
  <c r="AO22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K26" i="1"/>
  <c r="M26" i="1"/>
  <c r="O26" i="1"/>
  <c r="Q26" i="1"/>
  <c r="S26" i="1"/>
  <c r="U26" i="1"/>
  <c r="W26" i="1"/>
  <c r="Y26" i="1"/>
  <c r="AA26" i="1"/>
  <c r="AC26" i="1"/>
  <c r="AE26" i="1"/>
  <c r="AI26" i="1"/>
  <c r="K28" i="1"/>
  <c r="M28" i="1"/>
  <c r="O28" i="1"/>
  <c r="Q28" i="1"/>
  <c r="S28" i="1"/>
  <c r="U28" i="1"/>
  <c r="W28" i="1"/>
  <c r="Y28" i="1"/>
  <c r="AA28" i="1"/>
  <c r="AC28" i="1"/>
  <c r="AE28" i="1"/>
  <c r="AI28" i="1"/>
  <c r="A50" i="1"/>
  <c r="A51" i="1"/>
  <c r="C13" i="4"/>
  <c r="E13" i="4"/>
  <c r="AG13" i="4"/>
  <c r="AK13" i="4"/>
  <c r="AM13" i="4"/>
  <c r="AO13" i="4"/>
  <c r="E14" i="4"/>
  <c r="AG14" i="4"/>
  <c r="AK14" i="4"/>
  <c r="AM14" i="4"/>
  <c r="AO14" i="4"/>
  <c r="C15" i="4"/>
  <c r="E15" i="4"/>
  <c r="G15" i="4"/>
  <c r="I15" i="4"/>
  <c r="K15" i="4"/>
  <c r="M15" i="4"/>
  <c r="AG15" i="4"/>
  <c r="AK15" i="4"/>
  <c r="AM15" i="4"/>
  <c r="AO15" i="4"/>
  <c r="C16" i="4"/>
  <c r="E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AK16" i="4"/>
  <c r="AM16" i="4"/>
  <c r="AO16" i="4"/>
  <c r="E17" i="4"/>
  <c r="AK17" i="4"/>
  <c r="AM17" i="4"/>
  <c r="AO17" i="4"/>
  <c r="C18" i="4"/>
  <c r="E18" i="4"/>
  <c r="AK18" i="4"/>
  <c r="AM18" i="4"/>
  <c r="AO18" i="4"/>
  <c r="E19" i="4"/>
  <c r="AK19" i="4"/>
  <c r="AM19" i="4"/>
  <c r="AO19" i="4"/>
  <c r="E20" i="4"/>
  <c r="G20" i="4"/>
  <c r="I20" i="4"/>
  <c r="AK20" i="4"/>
  <c r="AM20" i="4"/>
  <c r="AO20" i="4"/>
  <c r="E21" i="4"/>
  <c r="AK21" i="4"/>
  <c r="AM21" i="4"/>
  <c r="AO21" i="4"/>
  <c r="C22" i="4"/>
  <c r="E22" i="4"/>
  <c r="K22" i="4"/>
  <c r="M22" i="4"/>
  <c r="O22" i="4"/>
  <c r="Q22" i="4"/>
  <c r="S22" i="4"/>
  <c r="U22" i="4"/>
  <c r="W22" i="4"/>
  <c r="Y22" i="4"/>
  <c r="AA22" i="4"/>
  <c r="AC22" i="4"/>
  <c r="AE22" i="4"/>
  <c r="AG22" i="4"/>
  <c r="AI22" i="4"/>
  <c r="AK22" i="4"/>
  <c r="AM22" i="4"/>
  <c r="AO22" i="4"/>
  <c r="C24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K26" i="4"/>
  <c r="M26" i="4"/>
  <c r="O26" i="4"/>
  <c r="Q26" i="4"/>
  <c r="S26" i="4"/>
  <c r="U26" i="4"/>
  <c r="W26" i="4"/>
  <c r="Y26" i="4"/>
  <c r="AA26" i="4"/>
  <c r="AC26" i="4"/>
  <c r="AE26" i="4"/>
  <c r="AI26" i="4"/>
  <c r="K28" i="4"/>
  <c r="M28" i="4"/>
  <c r="O28" i="4"/>
  <c r="Q28" i="4"/>
  <c r="S28" i="4"/>
  <c r="U28" i="4"/>
  <c r="W28" i="4"/>
  <c r="Y28" i="4"/>
  <c r="AA28" i="4"/>
  <c r="AC28" i="4"/>
  <c r="AE28" i="4"/>
  <c r="AI28" i="4"/>
  <c r="A50" i="4"/>
  <c r="A51" i="4"/>
  <c r="K13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K14" i="5"/>
  <c r="M14" i="5"/>
  <c r="O14" i="5"/>
  <c r="Q14" i="5"/>
  <c r="S14" i="5"/>
  <c r="U14" i="5"/>
  <c r="W14" i="5"/>
  <c r="Y14" i="5"/>
  <c r="AA14" i="5"/>
  <c r="AC14" i="5"/>
  <c r="AE14" i="5"/>
  <c r="AG14" i="5"/>
  <c r="AI14" i="5"/>
  <c r="AK14" i="5"/>
  <c r="K15" i="5"/>
  <c r="M15" i="5"/>
  <c r="O15" i="5"/>
  <c r="Q15" i="5"/>
  <c r="S15" i="5"/>
  <c r="U15" i="5"/>
  <c r="W15" i="5"/>
  <c r="Y15" i="5"/>
  <c r="AA15" i="5"/>
  <c r="AC15" i="5"/>
  <c r="AE15" i="5"/>
  <c r="AG15" i="5"/>
  <c r="AI15" i="5"/>
  <c r="AK15" i="5"/>
  <c r="K16" i="5"/>
  <c r="M16" i="5"/>
  <c r="O16" i="5"/>
  <c r="Q16" i="5"/>
  <c r="S16" i="5"/>
  <c r="U16" i="5"/>
  <c r="W16" i="5"/>
  <c r="Y16" i="5"/>
  <c r="AA16" i="5"/>
  <c r="AC16" i="5"/>
  <c r="AE16" i="5"/>
  <c r="AG16" i="5"/>
  <c r="AI16" i="5"/>
  <c r="AK16" i="5"/>
  <c r="K17" i="5"/>
  <c r="M17" i="5"/>
  <c r="O17" i="5"/>
  <c r="Q17" i="5"/>
  <c r="S17" i="5"/>
  <c r="U17" i="5"/>
  <c r="W17" i="5"/>
  <c r="Y17" i="5"/>
  <c r="AA17" i="5"/>
  <c r="AC17" i="5"/>
  <c r="AE17" i="5"/>
  <c r="AI17" i="5"/>
  <c r="AK17" i="5"/>
  <c r="K18" i="5"/>
  <c r="M18" i="5"/>
  <c r="O18" i="5"/>
  <c r="Q18" i="5"/>
  <c r="S18" i="5"/>
  <c r="U18" i="5"/>
  <c r="W18" i="5"/>
  <c r="Y18" i="5"/>
  <c r="AA18" i="5"/>
  <c r="AC18" i="5"/>
  <c r="AE18" i="5"/>
  <c r="AI18" i="5"/>
  <c r="AK18" i="5"/>
  <c r="AK19" i="5"/>
  <c r="AK20" i="5"/>
  <c r="AK21" i="5"/>
  <c r="AK22" i="5"/>
  <c r="C24" i="5"/>
  <c r="E24" i="5"/>
  <c r="G24" i="5"/>
  <c r="I24" i="5"/>
  <c r="K24" i="5"/>
  <c r="M24" i="5"/>
  <c r="O24" i="5"/>
  <c r="Q24" i="5"/>
  <c r="S24" i="5"/>
  <c r="U24" i="5"/>
  <c r="W24" i="5"/>
  <c r="Y24" i="5"/>
  <c r="AA24" i="5"/>
  <c r="AC24" i="5"/>
  <c r="AE24" i="5"/>
  <c r="AG24" i="5"/>
  <c r="AI24" i="5"/>
  <c r="AK24" i="5"/>
  <c r="A47" i="5"/>
  <c r="A48" i="5"/>
  <c r="AG13" i="6"/>
  <c r="AK13" i="6"/>
  <c r="AG14" i="6"/>
  <c r="AK14" i="6"/>
  <c r="K15" i="6"/>
  <c r="M15" i="6"/>
  <c r="AG15" i="6"/>
  <c r="AK15" i="6"/>
  <c r="K16" i="6"/>
  <c r="M16" i="6"/>
  <c r="O16" i="6"/>
  <c r="Q16" i="6"/>
  <c r="S16" i="6"/>
  <c r="U16" i="6"/>
  <c r="W16" i="6"/>
  <c r="Y16" i="6"/>
  <c r="AA16" i="6"/>
  <c r="AC16" i="6"/>
  <c r="AE16" i="6"/>
  <c r="AG16" i="6"/>
  <c r="AI16" i="6"/>
  <c r="AK16" i="6"/>
  <c r="AK17" i="6"/>
  <c r="AK18" i="6"/>
  <c r="AK19" i="6"/>
  <c r="AK20" i="6"/>
  <c r="AK21" i="6"/>
  <c r="K22" i="6"/>
  <c r="M22" i="6"/>
  <c r="O22" i="6"/>
  <c r="Q22" i="6"/>
  <c r="S22" i="6"/>
  <c r="U22" i="6"/>
  <c r="W22" i="6"/>
  <c r="Y22" i="6"/>
  <c r="AA22" i="6"/>
  <c r="AC22" i="6"/>
  <c r="AE22" i="6"/>
  <c r="AG22" i="6"/>
  <c r="AI22" i="6"/>
  <c r="AK22" i="6"/>
  <c r="C24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47" i="6"/>
  <c r="A48" i="6"/>
</calcChain>
</file>

<file path=xl/sharedStrings.xml><?xml version="1.0" encoding="utf-8"?>
<sst xmlns="http://schemas.openxmlformats.org/spreadsheetml/2006/main" count="221" uniqueCount="47">
  <si>
    <t>Gross O&amp;M</t>
  </si>
  <si>
    <t>Gross</t>
  </si>
  <si>
    <t>Net</t>
  </si>
  <si>
    <t>% O(U)</t>
  </si>
  <si>
    <t>Department</t>
  </si>
  <si>
    <t>2000 Plan</t>
  </si>
  <si>
    <t>NNG</t>
  </si>
  <si>
    <t>TW</t>
  </si>
  <si>
    <t>ETS</t>
  </si>
  <si>
    <t>Northern Border Partners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</si>
  <si>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</si>
  <si>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</si>
  <si>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</si>
  <si>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</si>
  <si>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</si>
  <si>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</si>
  <si>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</si>
  <si>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>GROSS  O &amp; M COSTS</t>
  </si>
  <si>
    <t>(including Benefits &amp; Payroll Taxes)</t>
  </si>
  <si>
    <t>Oct</t>
  </si>
  <si>
    <t>YTD</t>
  </si>
  <si>
    <t>Avg</t>
  </si>
  <si>
    <t>Spend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</si>
  <si>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</si>
  <si>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</si>
  <si>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</si>
  <si>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</si>
  <si>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</si>
  <si>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</si>
  <si>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</si>
  <si>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</si>
  <si>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</si>
  <si>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</si>
  <si>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</si>
  <si>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</si>
  <si>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NET  O &amp; M COSTS</t>
  </si>
  <si>
    <t>NOTE:  For Nov. 2001 through Dec. 2002 provide your best guess of minimum spend required</t>
  </si>
  <si>
    <t>( $ In Thousands)</t>
  </si>
  <si>
    <t>ORIGINAL '02 PLAN GROSS  O &amp; M COSTS</t>
  </si>
  <si>
    <t>Sum</t>
  </si>
  <si>
    <t>ORIGINAL '02 PLAN NET  O &amp; M COSTS</t>
  </si>
  <si>
    <t>Total Original 2002 Plan</t>
  </si>
  <si>
    <t>Savings from Original 2002 Plan</t>
  </si>
  <si>
    <t>Original</t>
  </si>
  <si>
    <t>Savings</t>
  </si>
  <si>
    <t>OPERATIONS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</si>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</sst>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7" formatCode="0.0_);\(0.0\)"/>
    <numFmt numFmtId="168" formatCode="0.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7" fontId="0" fillId="0" borderId="0" xfId="0" applyNumberFormat="1"/>
    <xf numFmtId="0" fontId="7" fillId="0" borderId="0" xfId="2" applyFont="1"/>
    <xf numFmtId="0" fontId="5" fillId="0" borderId="0" xfId="0" applyFont="1"/>
    <xf numFmtId="0" fontId="2" fillId="0" borderId="0" xfId="2" applyFont="1" applyFill="1" applyAlignment="1">
      <alignment horizontal="centerContinuous"/>
    </xf>
    <xf numFmtId="0" fontId="1" fillId="0" borderId="0" xfId="2" applyFill="1"/>
    <xf numFmtId="0" fontId="5" fillId="0" borderId="0" xfId="2" applyFont="1" applyFill="1" applyBorder="1" applyAlignment="1">
      <alignment horizontal="centerContinuous"/>
    </xf>
    <xf numFmtId="0" fontId="5" fillId="0" borderId="0" xfId="2" applyFont="1" applyFill="1" applyAlignment="1">
      <alignment horizontal="center"/>
    </xf>
    <xf numFmtId="0" fontId="0" fillId="0" borderId="0" xfId="0" applyFill="1"/>
    <xf numFmtId="0" fontId="5" fillId="0" borderId="0" xfId="2" applyFont="1" applyFill="1"/>
    <xf numFmtId="0" fontId="5" fillId="0" borderId="1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64" fontId="1" fillId="0" borderId="0" xfId="1" applyNumberFormat="1" applyFill="1"/>
    <xf numFmtId="164" fontId="1" fillId="0" borderId="0" xfId="2" applyNumberFormat="1"/>
    <xf numFmtId="164" fontId="1" fillId="0" borderId="2" xfId="1" applyNumberFormat="1" applyFill="1" applyBorder="1"/>
    <xf numFmtId="164" fontId="1" fillId="0" borderId="0" xfId="1" applyNumberFormat="1" applyFill="1" applyBorder="1"/>
    <xf numFmtId="164" fontId="6" fillId="0" borderId="0" xfId="1" applyNumberFormat="1" applyFont="1" applyFill="1"/>
    <xf numFmtId="168" fontId="0" fillId="0" borderId="0" xfId="0" applyNumberFormat="1"/>
    <xf numFmtId="168" fontId="1" fillId="0" borderId="0" xfId="2" applyNumberFormat="1"/>
    <xf numFmtId="164" fontId="0" fillId="0" borderId="0" xfId="1" applyNumberFormat="1" applyFont="1"/>
    <xf numFmtId="165" fontId="1" fillId="0" borderId="0" xfId="3" applyNumberFormat="1" applyBorder="1"/>
    <xf numFmtId="167" fontId="0" fillId="0" borderId="0" xfId="0" applyNumberFormat="1" applyBorder="1"/>
    <xf numFmtId="0" fontId="0" fillId="0" borderId="0" xfId="0" applyBorder="1"/>
    <xf numFmtId="164" fontId="1" fillId="0" borderId="1" xfId="1" applyNumberFormat="1" applyBorder="1"/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12"/>
  <sheetViews>
    <sheetView showGridLines="0" topLeftCell="A2" workbookViewId="0">
      <selection activeCell="A17" sqref="A17"/>
    </sheetView>
  </sheetViews>
  <sheetFormatPr defaultColWidth="9.109375" defaultRowHeight="13.2" x14ac:dyDescent="0.25"/>
  <cols>
    <col min="1" max="1" width="23.109375" style="2" customWidth="1"/>
    <col min="2" max="2" width="2.109375" style="2" customWidth="1"/>
    <col min="3" max="3" width="10.6640625" style="2" customWidth="1"/>
    <col min="4" max="4" width="1.6640625" style="2" customWidth="1"/>
    <col min="5" max="5" width="10.6640625" style="2" customWidth="1"/>
    <col min="6" max="6" width="3.6640625" style="2" customWidth="1"/>
    <col min="7" max="7" width="10.6640625" style="2" customWidth="1"/>
    <col min="8" max="8" width="1.6640625" style="2" customWidth="1"/>
    <col min="9" max="9" width="10.6640625" style="2" customWidth="1"/>
    <col min="10" max="10" width="1.6640625" style="2" customWidth="1"/>
    <col min="11" max="11" width="10.6640625" style="2" customWidth="1"/>
    <col min="12" max="12" width="1.6640625" style="2" customWidth="1"/>
    <col min="13" max="13" width="10.6640625" style="2" customWidth="1"/>
    <col min="14" max="14" width="1.6640625" style="2" customWidth="1"/>
    <col min="15" max="15" width="10.6640625" style="2" customWidth="1"/>
    <col min="16" max="16" width="1.6640625" style="2" customWidth="1"/>
    <col min="17" max="17" width="10.6640625" style="2" customWidth="1"/>
    <col min="18" max="18" width="1.6640625" style="2" customWidth="1"/>
    <col min="19" max="19" width="10.6640625" style="2" customWidth="1"/>
    <col min="20" max="20" width="1.6640625" style="2" customWidth="1"/>
    <col min="21" max="21" width="10.6640625" style="2" customWidth="1"/>
    <col min="22" max="22" width="1.6640625" style="2" customWidth="1"/>
    <col min="23" max="23" width="10.6640625" style="2" customWidth="1"/>
    <col min="24" max="24" width="1.6640625" style="2" customWidth="1"/>
    <col min="25" max="25" width="10.6640625" style="2" customWidth="1"/>
    <col min="26" max="26" width="1.6640625" style="2" customWidth="1"/>
    <col min="27" max="27" width="10.6640625" style="2" customWidth="1"/>
    <col min="28" max="28" width="1.6640625" style="2" customWidth="1"/>
    <col min="29" max="29" width="10.6640625" style="2" customWidth="1"/>
    <col min="30" max="30" width="1.6640625" style="2" customWidth="1"/>
    <col min="31" max="31" width="10.6640625" style="2" customWidth="1"/>
    <col min="32" max="32" width="1.6640625" style="2" customWidth="1"/>
    <col min="33" max="33" width="11.6640625" style="2" hidden="1" customWidth="1"/>
    <col min="34" max="34" width="1.88671875" style="2" hidden="1" customWidth="1"/>
    <col min="35" max="35" width="10.6640625" style="2" customWidth="1"/>
    <col min="36" max="36" width="1.6640625" style="11" customWidth="1"/>
    <col min="37" max="37" width="10.6640625" style="2" customWidth="1"/>
    <col min="38" max="38" width="1.6640625" style="2" customWidth="1"/>
    <col min="39" max="39" width="10.33203125" style="2" bestFit="1" customWidth="1"/>
    <col min="40" max="40" width="1.6640625" style="2" customWidth="1"/>
    <col min="41" max="41" width="10.6640625" style="2" customWidth="1"/>
    <col min="42" max="16384" width="9.109375" style="2"/>
  </cols>
  <sheetData>
    <row r="1" spans="1:42" ht="15.6" x14ac:dyDescent="0.3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2" ht="15.6" x14ac:dyDescent="0.3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2" ht="15.6" x14ac:dyDescent="0.3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2" ht="15.6" x14ac:dyDescent="0.3">
      <c r="A4" s="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2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2" x14ac:dyDescent="0.25">
      <c r="A6" s="4"/>
    </row>
    <row r="8" spans="1:42" s="11" customFormat="1" x14ac:dyDescent="0.25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2" x14ac:dyDescent="0.25">
      <c r="E9" s="6"/>
      <c r="O9" s="6"/>
      <c r="Y9" s="6"/>
      <c r="AM9" s="6" t="s">
        <v>43</v>
      </c>
      <c r="AN9" s="6"/>
    </row>
    <row r="10" spans="1:42" x14ac:dyDescent="0.25">
      <c r="C10" s="6" t="s">
        <v>1</v>
      </c>
      <c r="D10"/>
      <c r="E10" s="6" t="s">
        <v>1</v>
      </c>
      <c r="F10"/>
      <c r="G10" s="6" t="s">
        <v>1</v>
      </c>
      <c r="H10" s="9"/>
      <c r="I10" s="6" t="s">
        <v>1</v>
      </c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J10" s="10"/>
      <c r="AM10" s="6" t="s">
        <v>1</v>
      </c>
      <c r="AN10" s="6"/>
    </row>
    <row r="11" spans="1:42" x14ac:dyDescent="0.25">
      <c r="C11" s="6" t="s">
        <v>19</v>
      </c>
      <c r="D11" s="6"/>
      <c r="E11" s="6" t="s">
        <v>21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10"/>
      <c r="AK11" s="6">
        <v>2002</v>
      </c>
      <c r="AM11" s="6">
        <v>2002</v>
      </c>
      <c r="AN11" s="6"/>
    </row>
    <row r="12" spans="1:42" x14ac:dyDescent="0.25">
      <c r="A12" s="5" t="s">
        <v>4</v>
      </c>
      <c r="C12" s="7" t="s">
        <v>20</v>
      </c>
      <c r="D12" s="6"/>
      <c r="E12" s="7" t="s">
        <v>22</v>
      </c>
      <c r="F12" s="10"/>
      <c r="G12" s="7" t="s">
        <v>23</v>
      </c>
      <c r="H12" s="10"/>
      <c r="I12" s="7" t="s">
        <v>24</v>
      </c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0"/>
      <c r="AK12" s="7" t="s">
        <v>34</v>
      </c>
      <c r="AL12" s="11"/>
      <c r="AM12" s="7" t="s">
        <v>34</v>
      </c>
      <c r="AN12" s="7"/>
      <c r="AO12" s="7" t="s">
        <v>44</v>
      </c>
      <c r="AP12" s="11"/>
    </row>
    <row r="13" spans="1:42" x14ac:dyDescent="0.25">
      <c r="A13" s="20" t="s">
        <v>6</v>
      </c>
      <c r="C13" s="12">
        <f>71962+2713.6</f>
        <v>74675.600000000006</v>
      </c>
      <c r="D13" s="12"/>
      <c r="E13" s="12">
        <f>C13/10</f>
        <v>7467.56</v>
      </c>
      <c r="F13" s="12"/>
      <c r="G13" s="12">
        <f>7878+200</f>
        <v>8078</v>
      </c>
      <c r="H13" s="12"/>
      <c r="I13" s="12">
        <f>9151+297</f>
        <v>9448</v>
      </c>
      <c r="J13" s="12"/>
      <c r="K13" s="12">
        <f>6920+300</f>
        <v>7220</v>
      </c>
      <c r="L13" s="12"/>
      <c r="M13" s="12">
        <f>7370+400</f>
        <v>7770</v>
      </c>
      <c r="N13" s="12"/>
      <c r="O13" s="12">
        <f>7383+300</f>
        <v>7683</v>
      </c>
      <c r="P13" s="12"/>
      <c r="Q13" s="12">
        <f>7206+300</f>
        <v>7506</v>
      </c>
      <c r="R13" s="12"/>
      <c r="S13" s="12">
        <f>7239+275</f>
        <v>7514</v>
      </c>
      <c r="T13" s="12"/>
      <c r="U13" s="12">
        <f>7685+275</f>
        <v>7960</v>
      </c>
      <c r="V13" s="12"/>
      <c r="W13" s="12">
        <f>9118+275</f>
        <v>9393</v>
      </c>
      <c r="X13" s="12"/>
      <c r="Y13" s="12">
        <f>8331+275</f>
        <v>8606</v>
      </c>
      <c r="Z13" s="12"/>
      <c r="AA13" s="12">
        <f>8633+275</f>
        <v>8908</v>
      </c>
      <c r="AB13" s="12"/>
      <c r="AC13" s="12">
        <f>8610+275</f>
        <v>8885</v>
      </c>
      <c r="AD13" s="12"/>
      <c r="AE13" s="12">
        <f>7775+275</f>
        <v>8050</v>
      </c>
      <c r="AF13" s="12"/>
      <c r="AG13" s="12">
        <f>-448.4/11017</f>
        <v>-4.070073522737587E-2</v>
      </c>
      <c r="AH13" s="12"/>
      <c r="AI13" s="12">
        <f>8245+275</f>
        <v>8520</v>
      </c>
      <c r="AK13" s="33">
        <f>SUM('Orig ''02 Plan Gross'!K13:AJ13)</f>
        <v>98014.959299264767</v>
      </c>
      <c r="AM13" s="12">
        <f>'Orig ''02 Plan Gross'!AK13</f>
        <v>98014.959299264767</v>
      </c>
      <c r="AN13" s="12"/>
      <c r="AO13" s="33">
        <f t="shared" ref="AO13:AO22" si="0">AK13-AM13</f>
        <v>0</v>
      </c>
      <c r="AP13"/>
    </row>
    <row r="14" spans="1:42" x14ac:dyDescent="0.25">
      <c r="A14" s="20" t="s">
        <v>7</v>
      </c>
      <c r="C14" s="12">
        <f>21961.9+589.8</f>
        <v>22551.7</v>
      </c>
      <c r="D14" s="12"/>
      <c r="E14" s="12">
        <f t="shared" ref="E14:E22" si="1">C14/10</f>
        <v>2255.17</v>
      </c>
      <c r="F14" s="12"/>
      <c r="G14" s="12">
        <f>866.9+43.2</f>
        <v>910.1</v>
      </c>
      <c r="H14" s="12"/>
      <c r="I14" s="12">
        <f>375.8+46.5</f>
        <v>422.3</v>
      </c>
      <c r="J14" s="12"/>
      <c r="K14" s="12">
        <f>2094.917+49.749</f>
        <v>2144.6659999999997</v>
      </c>
      <c r="L14" s="12"/>
      <c r="M14" s="12">
        <f>2115.452+56.756</f>
        <v>2172.2080000000001</v>
      </c>
      <c r="N14" s="12"/>
      <c r="O14" s="12">
        <f>2074.977+50.333</f>
        <v>2125.31</v>
      </c>
      <c r="P14" s="12"/>
      <c r="Q14" s="12">
        <f>2049.658+50.333</f>
        <v>2099.991</v>
      </c>
      <c r="R14" s="12"/>
      <c r="S14" s="12">
        <f>2080.073+50.333</f>
        <v>2130.4059999999999</v>
      </c>
      <c r="T14" s="12"/>
      <c r="U14" s="12">
        <f>2104.583+50.333</f>
        <v>2154.9160000000002</v>
      </c>
      <c r="V14" s="12"/>
      <c r="W14" s="12">
        <f>2060.29+50.333</f>
        <v>2110.623</v>
      </c>
      <c r="X14" s="12"/>
      <c r="Y14" s="12">
        <f>2093.403+50.333</f>
        <v>2143.7359999999999</v>
      </c>
      <c r="Z14" s="12"/>
      <c r="AA14" s="12">
        <f>2086.408+50.333</f>
        <v>2136.741</v>
      </c>
      <c r="AB14" s="12"/>
      <c r="AC14" s="12">
        <f>2076.273+50.333</f>
        <v>2126.6060000000002</v>
      </c>
      <c r="AD14" s="12"/>
      <c r="AE14" s="12">
        <f>2048.128+50.333</f>
        <v>2098.4610000000002</v>
      </c>
      <c r="AF14" s="12"/>
      <c r="AG14" s="12">
        <f>-102.4/1810</f>
        <v>-5.6574585635359116E-2</v>
      </c>
      <c r="AH14" s="12"/>
      <c r="AI14" s="12">
        <f>2135.28+50.348</f>
        <v>2185.6280000000002</v>
      </c>
      <c r="AK14" s="33">
        <f>SUM('Orig ''02 Plan Gross'!K14:AJ14)</f>
        <v>25629.235425414365</v>
      </c>
      <c r="AM14" s="12">
        <f>'Orig ''02 Plan Gross'!AK14</f>
        <v>25629.235425414365</v>
      </c>
      <c r="AN14" s="12"/>
      <c r="AO14" s="33">
        <f t="shared" si="0"/>
        <v>0</v>
      </c>
      <c r="AP14"/>
    </row>
    <row r="15" spans="1:42" x14ac:dyDescent="0.25">
      <c r="A15" s="20" t="s">
        <v>10</v>
      </c>
      <c r="C15" s="12">
        <v>27044</v>
      </c>
      <c r="D15"/>
      <c r="E15" s="12">
        <f t="shared" si="1"/>
        <v>2704.4</v>
      </c>
      <c r="F15"/>
      <c r="G15" s="12">
        <v>2232.1</v>
      </c>
      <c r="H15" s="39"/>
      <c r="I15" s="12">
        <v>1957.9</v>
      </c>
      <c r="J15" s="12"/>
      <c r="K15" s="12">
        <f>3112.833+114</f>
        <v>3226.8330000000001</v>
      </c>
      <c r="L15" s="12"/>
      <c r="M15" s="12">
        <f>2718.833+121</f>
        <v>2839.8330000000001</v>
      </c>
      <c r="N15" s="39"/>
      <c r="O15" s="12">
        <f>2680.833+115</f>
        <v>2795.8330000000001</v>
      </c>
      <c r="P15" s="39"/>
      <c r="Q15" s="12">
        <f>2883.833+115</f>
        <v>2998.8330000000001</v>
      </c>
      <c r="R15" s="39"/>
      <c r="S15" s="12">
        <f>2855.833+115</f>
        <v>2970.8330000000001</v>
      </c>
      <c r="T15" s="12"/>
      <c r="U15" s="12">
        <f>2894.833+115</f>
        <v>3009.8330000000001</v>
      </c>
      <c r="V15" s="12"/>
      <c r="W15" s="12">
        <f>2934.833+114</f>
        <v>3048.8330000000001</v>
      </c>
      <c r="X15" s="39"/>
      <c r="Y15" s="12">
        <f>2992.833+114</f>
        <v>3106.8330000000001</v>
      </c>
      <c r="Z15" s="39"/>
      <c r="AA15" s="12">
        <f>2968.833+114</f>
        <v>3082.8330000000001</v>
      </c>
      <c r="AB15" s="39"/>
      <c r="AC15" s="39">
        <f>2915.833+114</f>
        <v>3029.8330000000001</v>
      </c>
      <c r="AD15" s="12"/>
      <c r="AE15" s="12">
        <f>2886.833+114</f>
        <v>3000.8330000000001</v>
      </c>
      <c r="AF15" s="12"/>
      <c r="AG15" s="43">
        <f>-155.5/1959</f>
        <v>-7.937723328228688E-2</v>
      </c>
      <c r="AH15" s="12"/>
      <c r="AI15" s="12">
        <f>2860.833+115</f>
        <v>2975.8330000000001</v>
      </c>
      <c r="AK15" s="33">
        <f>SUM('Orig ''02 Plan Gross'!K15:AJ15)</f>
        <v>36086.916622766708</v>
      </c>
      <c r="AM15" s="12">
        <f>'Orig ''02 Plan Gross'!AK15</f>
        <v>36086.916622766708</v>
      </c>
      <c r="AN15" s="12"/>
      <c r="AO15" s="33">
        <f t="shared" si="0"/>
        <v>0</v>
      </c>
      <c r="AP15"/>
    </row>
    <row r="16" spans="1:42" x14ac:dyDescent="0.25">
      <c r="A16" s="20" t="s">
        <v>9</v>
      </c>
      <c r="C16" s="39">
        <f>9477.8+431+1488.3+51</f>
        <v>11448.099999999999</v>
      </c>
      <c r="D16"/>
      <c r="E16" s="12">
        <f t="shared" si="1"/>
        <v>1144.81</v>
      </c>
      <c r="F16"/>
      <c r="G16" s="39">
        <f>1713.6+35+526.4+9</f>
        <v>2284</v>
      </c>
      <c r="H16" s="39"/>
      <c r="I16" s="39">
        <f>1341+90+526.4+8</f>
        <v>1965.4</v>
      </c>
      <c r="J16" s="12"/>
      <c r="K16" s="12">
        <f>935.32+33.7+208.1+8</f>
        <v>1185.1200000000001</v>
      </c>
      <c r="L16" s="12"/>
      <c r="M16" s="39">
        <f>935.32+33.7+208.1+8</f>
        <v>1185.1200000000001</v>
      </c>
      <c r="N16" s="39"/>
      <c r="O16" s="39">
        <f>935.32+33.7+208.1+8</f>
        <v>1185.1200000000001</v>
      </c>
      <c r="P16" s="39"/>
      <c r="Q16" s="39">
        <f>935.32+33.7+208.1+8</f>
        <v>1185.1200000000001</v>
      </c>
      <c r="R16" s="39"/>
      <c r="S16" s="39">
        <f>935.32+33.7+208.1+8</f>
        <v>1185.1200000000001</v>
      </c>
      <c r="T16" s="12"/>
      <c r="U16" s="39">
        <f>935.32+33.7+208.1+8</f>
        <v>1185.1200000000001</v>
      </c>
      <c r="V16" s="12"/>
      <c r="W16" s="39">
        <f>935.32+33.7+208.2+8</f>
        <v>1185.22</v>
      </c>
      <c r="X16" s="39"/>
      <c r="Y16" s="39">
        <f>935.32+33.7+208.1+8</f>
        <v>1185.1200000000001</v>
      </c>
      <c r="Z16" s="39"/>
      <c r="AA16" s="39">
        <f>935.32+33.7+208.1+8</f>
        <v>1185.1200000000001</v>
      </c>
      <c r="AB16" s="39"/>
      <c r="AC16" s="39">
        <f>935.32+33.7+208.2+8</f>
        <v>1185.22</v>
      </c>
      <c r="AD16" s="12"/>
      <c r="AE16" s="39">
        <f>935.32+33.7+208.2+8</f>
        <v>1185.22</v>
      </c>
      <c r="AF16" s="12"/>
      <c r="AG16" s="12">
        <f>(W16-M16)/M16</f>
        <v>8.4379640880171658E-5</v>
      </c>
      <c r="AH16" s="12"/>
      <c r="AI16" s="39">
        <f>935.32+33.7+208.2+8</f>
        <v>1185.22</v>
      </c>
      <c r="AJ16" s="40"/>
      <c r="AK16" s="33">
        <f>SUM('Orig ''02 Plan Gross'!K16:AJ16)</f>
        <v>14221.840084379641</v>
      </c>
      <c r="AM16" s="12">
        <f>'Orig ''02 Plan Gross'!AK16</f>
        <v>14221.840084379641</v>
      </c>
      <c r="AN16" s="12"/>
      <c r="AO16" s="33">
        <f t="shared" si="0"/>
        <v>0</v>
      </c>
      <c r="AP16"/>
    </row>
    <row r="17" spans="1:46" x14ac:dyDescent="0.25">
      <c r="A17" s="20" t="s">
        <v>11</v>
      </c>
      <c r="C17" s="39"/>
      <c r="D17"/>
      <c r="E17" s="12">
        <f t="shared" si="1"/>
        <v>0</v>
      </c>
      <c r="F17"/>
      <c r="G17" s="39"/>
      <c r="H17" s="39"/>
      <c r="I17" s="39"/>
      <c r="J17" s="12"/>
      <c r="K17" s="12">
        <f>3074.9-92.794-39.921</f>
        <v>2942.1850000000004</v>
      </c>
      <c r="L17" s="12"/>
      <c r="M17" s="39">
        <f>3603.471-118.794-45.857</f>
        <v>3438.82</v>
      </c>
      <c r="N17" s="39"/>
      <c r="O17" s="12">
        <f>3275.955-94.794-40.477</f>
        <v>3140.6840000000002</v>
      </c>
      <c r="P17" s="39"/>
      <c r="Q17" s="12">
        <f>3468.866-98.794-40.477</f>
        <v>3329.5950000000003</v>
      </c>
      <c r="R17" s="39"/>
      <c r="S17" s="12">
        <f>3515.904-97.794-45.477</f>
        <v>3372.6330000000003</v>
      </c>
      <c r="T17" s="12"/>
      <c r="U17" s="12">
        <f>3591.606-96.794-40.477</f>
        <v>3454.3350000000005</v>
      </c>
      <c r="V17" s="12"/>
      <c r="W17" s="12">
        <f>3552.738-193.794-40.477</f>
        <v>3318.4670000000001</v>
      </c>
      <c r="X17" s="39"/>
      <c r="Y17" s="12">
        <f>3435.01-98.794-40.477</f>
        <v>3295.7390000000005</v>
      </c>
      <c r="Z17" s="39"/>
      <c r="AA17" s="12">
        <f>3424.314-97.794-45.477</f>
        <v>3281.0430000000001</v>
      </c>
      <c r="AB17" s="39"/>
      <c r="AC17" s="39">
        <f>3290.913-100.794-40.477</f>
        <v>3149.6420000000003</v>
      </c>
      <c r="AD17" s="12"/>
      <c r="AE17" s="12">
        <f>3212.154-98.794-40.477</f>
        <v>3072.8830000000003</v>
      </c>
      <c r="AF17" s="12"/>
      <c r="AG17" s="12"/>
      <c r="AH17" s="12"/>
      <c r="AI17" s="12">
        <f>3161.855-103.791-40.498</f>
        <v>3017.5659999999998</v>
      </c>
      <c r="AJ17" s="40"/>
      <c r="AK17" s="33">
        <f>SUM('Orig ''02 Plan Gross'!K17:AJ17)</f>
        <v>38813.592000000004</v>
      </c>
      <c r="AM17" s="12">
        <f>'Orig ''02 Plan Gross'!AK17</f>
        <v>38813.592000000004</v>
      </c>
      <c r="AN17" s="12"/>
      <c r="AO17" s="33">
        <f t="shared" si="0"/>
        <v>0</v>
      </c>
      <c r="AP17"/>
    </row>
    <row r="18" spans="1:46" x14ac:dyDescent="0.25">
      <c r="A18" s="20" t="s">
        <v>12</v>
      </c>
      <c r="C18" s="39">
        <f>1258.2-100.5-246.3</f>
        <v>911.40000000000009</v>
      </c>
      <c r="D18"/>
      <c r="E18" s="12">
        <f t="shared" si="1"/>
        <v>91.140000000000015</v>
      </c>
      <c r="F18"/>
      <c r="G18" s="39">
        <v>100.5</v>
      </c>
      <c r="H18" s="39"/>
      <c r="I18" s="39">
        <v>246.25899999999999</v>
      </c>
      <c r="J18" s="12"/>
      <c r="K18" s="12">
        <f>83.083</f>
        <v>83.082999999999998</v>
      </c>
      <c r="L18" s="12"/>
      <c r="M18" s="12">
        <f>83.083</f>
        <v>83.082999999999998</v>
      </c>
      <c r="N18" s="39"/>
      <c r="O18" s="12">
        <f>83.083</f>
        <v>83.082999999999998</v>
      </c>
      <c r="P18" s="39"/>
      <c r="Q18" s="12">
        <f>83.083</f>
        <v>83.082999999999998</v>
      </c>
      <c r="R18" s="39"/>
      <c r="S18" s="12">
        <f>83.083</f>
        <v>83.082999999999998</v>
      </c>
      <c r="T18" s="12"/>
      <c r="U18" s="12">
        <f>83.083</f>
        <v>83.082999999999998</v>
      </c>
      <c r="V18" s="12"/>
      <c r="W18" s="12">
        <f>83.083</f>
        <v>83.082999999999998</v>
      </c>
      <c r="X18" s="39"/>
      <c r="Y18" s="12">
        <f>83.083</f>
        <v>83.082999999999998</v>
      </c>
      <c r="Z18" s="39"/>
      <c r="AA18" s="12">
        <f>83.083</f>
        <v>83.082999999999998</v>
      </c>
      <c r="AB18" s="39"/>
      <c r="AC18" s="12">
        <f>83.083</f>
        <v>83.082999999999998</v>
      </c>
      <c r="AD18" s="12"/>
      <c r="AE18" s="12">
        <f>83.083</f>
        <v>83.082999999999998</v>
      </c>
      <c r="AF18" s="12"/>
      <c r="AG18" s="12"/>
      <c r="AH18" s="12"/>
      <c r="AI18" s="12">
        <f>83.083</f>
        <v>83.082999999999998</v>
      </c>
      <c r="AJ18" s="40"/>
      <c r="AK18" s="33">
        <f>SUM('Orig ''02 Plan Gross'!K18:AJ18)</f>
        <v>996.99599999999975</v>
      </c>
      <c r="AM18" s="12">
        <f>'Orig ''02 Plan Gross'!AK18</f>
        <v>996.99599999999975</v>
      </c>
      <c r="AN18" s="12"/>
      <c r="AO18" s="33">
        <f t="shared" si="0"/>
        <v>0</v>
      </c>
      <c r="AP18"/>
    </row>
    <row r="19" spans="1:46" x14ac:dyDescent="0.25">
      <c r="A19" s="20" t="s">
        <v>13</v>
      </c>
      <c r="C19" s="39"/>
      <c r="D19"/>
      <c r="E19" s="12">
        <f t="shared" si="1"/>
        <v>0</v>
      </c>
      <c r="F19"/>
      <c r="G19" s="39"/>
      <c r="H19" s="39"/>
      <c r="I19" s="39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>
        <v>0</v>
      </c>
      <c r="AF19" s="12"/>
      <c r="AG19" s="12"/>
      <c r="AH19" s="12"/>
      <c r="AI19" s="12"/>
      <c r="AJ19" s="40"/>
      <c r="AK19" s="33">
        <f>SUM('Orig ''02 Plan Gross'!K19:AJ19)</f>
        <v>0</v>
      </c>
      <c r="AM19" s="12">
        <f>'Orig ''02 Plan Gross'!AK19</f>
        <v>0</v>
      </c>
      <c r="AN19" s="12"/>
      <c r="AO19" s="33">
        <f t="shared" si="0"/>
        <v>0</v>
      </c>
      <c r="AP19"/>
    </row>
    <row r="20" spans="1:46" x14ac:dyDescent="0.25">
      <c r="A20" s="20" t="s">
        <v>14</v>
      </c>
      <c r="C20" s="39">
        <v>15771.567999999999</v>
      </c>
      <c r="D20"/>
      <c r="E20" s="12">
        <f t="shared" si="1"/>
        <v>1577.1568</v>
      </c>
      <c r="F20"/>
      <c r="G20" s="39">
        <v>1623.384</v>
      </c>
      <c r="H20" s="39"/>
      <c r="I20" s="39">
        <v>1837.7650000000001</v>
      </c>
      <c r="J20" s="12"/>
      <c r="K20" s="12">
        <v>1545.596</v>
      </c>
      <c r="L20" s="12"/>
      <c r="M20" s="39">
        <v>2267.473</v>
      </c>
      <c r="N20" s="39"/>
      <c r="O20" s="39">
        <v>1551.393</v>
      </c>
      <c r="P20" s="39"/>
      <c r="Q20" s="39">
        <v>1561.9280000000001</v>
      </c>
      <c r="R20" s="39"/>
      <c r="S20" s="39">
        <v>1555.067</v>
      </c>
      <c r="T20" s="12"/>
      <c r="U20" s="12">
        <v>1575.9649999999999</v>
      </c>
      <c r="V20" s="12"/>
      <c r="W20" s="39">
        <v>2095.8989999999999</v>
      </c>
      <c r="X20" s="39"/>
      <c r="Y20" s="39">
        <v>1560.1890000000001</v>
      </c>
      <c r="Z20" s="39"/>
      <c r="AA20" s="39">
        <v>1564.38</v>
      </c>
      <c r="AB20" s="39"/>
      <c r="AC20" s="39">
        <v>1591.6289999999999</v>
      </c>
      <c r="AD20" s="12"/>
      <c r="AE20" s="12">
        <v>1572.472</v>
      </c>
      <c r="AF20" s="12"/>
      <c r="AG20" s="12"/>
      <c r="AH20" s="12"/>
      <c r="AI20" s="12">
        <v>1581.348</v>
      </c>
      <c r="AJ20" s="40"/>
      <c r="AK20" s="33">
        <f>SUM('Orig ''02 Plan Gross'!K20:AJ20)</f>
        <v>20023.339</v>
      </c>
      <c r="AM20" s="12">
        <f>'Orig ''02 Plan Gross'!AK20</f>
        <v>20023.339</v>
      </c>
      <c r="AN20" s="12"/>
      <c r="AO20" s="33">
        <f t="shared" si="0"/>
        <v>0</v>
      </c>
      <c r="AP20"/>
    </row>
    <row r="21" spans="1:46" x14ac:dyDescent="0.25">
      <c r="A21" s="20" t="s">
        <v>8</v>
      </c>
      <c r="C21" s="12"/>
      <c r="D21" s="12"/>
      <c r="E21" s="12">
        <f t="shared" si="1"/>
        <v>0</v>
      </c>
      <c r="F21" s="12"/>
      <c r="G21" s="12"/>
      <c r="H21" s="12"/>
      <c r="I21" s="1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>SUM('Orig ''02 Plan Gross'!K21:AJ21)</f>
        <v>0</v>
      </c>
      <c r="AM21" s="12">
        <f>'Orig ''02 Plan Gross'!AK21</f>
        <v>0</v>
      </c>
      <c r="AN21" s="12"/>
      <c r="AO21" s="33">
        <f t="shared" si="0"/>
        <v>0</v>
      </c>
      <c r="AP21"/>
    </row>
    <row r="22" spans="1:46" x14ac:dyDescent="0.25">
      <c r="A22" s="20" t="s">
        <v>15</v>
      </c>
      <c r="C22" s="12"/>
      <c r="D22" s="12"/>
      <c r="E22" s="12">
        <f t="shared" si="1"/>
        <v>0</v>
      </c>
      <c r="F22" s="12"/>
      <c r="G22" s="12"/>
      <c r="H22" s="12"/>
      <c r="I22" s="1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 t="e">
        <f>(W22-M22)/M22</f>
        <v>#DIV/0!</v>
      </c>
      <c r="AK22" s="33">
        <f>SUM('Orig ''02 Plan Gross'!K22:AJ22)</f>
        <v>0</v>
      </c>
      <c r="AM22" s="12">
        <f>'Orig ''02 Plan Gross'!AK22</f>
        <v>0</v>
      </c>
      <c r="AN22" s="12"/>
      <c r="AO22" s="33">
        <f t="shared" si="0"/>
        <v>0</v>
      </c>
      <c r="AP22"/>
    </row>
    <row r="23" spans="1:46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  <c r="AJ23" s="14"/>
      <c r="AP23"/>
    </row>
    <row r="24" spans="1:46" ht="13.8" thickBot="1" x14ac:dyDescent="0.3">
      <c r="A24" s="20" t="s">
        <v>34</v>
      </c>
      <c r="C24" s="16">
        <f>SUM(C13:C23)</f>
        <v>152402.36799999999</v>
      </c>
      <c r="D24" s="12"/>
      <c r="E24" s="16">
        <f>SUM(E13:E23)</f>
        <v>15240.236799999999</v>
      </c>
      <c r="F24" s="14"/>
      <c r="G24" s="16">
        <f>SUM(G13:G23)</f>
        <v>15228.084000000001</v>
      </c>
      <c r="H24" s="14"/>
      <c r="I24" s="16">
        <f>SUM(I13:I23)</f>
        <v>15877.623999999998</v>
      </c>
      <c r="J24" s="12"/>
      <c r="K24" s="16">
        <f>SUM(K13:K23)</f>
        <v>18347.483</v>
      </c>
      <c r="L24" s="12"/>
      <c r="M24" s="16">
        <f>SUM(M13:M23)</f>
        <v>19756.537000000004</v>
      </c>
      <c r="N24" s="12"/>
      <c r="O24" s="16">
        <f>SUM(O13:O23)</f>
        <v>18564.422999999999</v>
      </c>
      <c r="P24" s="14"/>
      <c r="Q24" s="16">
        <f>SUM(Q13:Q23)</f>
        <v>18764.55</v>
      </c>
      <c r="R24" s="14"/>
      <c r="S24" s="16">
        <f>SUM(S13:S23)</f>
        <v>18811.142</v>
      </c>
      <c r="T24" s="12"/>
      <c r="U24" s="16">
        <f>SUM(U13:U23)</f>
        <v>19423.252</v>
      </c>
      <c r="V24" s="12"/>
      <c r="W24" s="16">
        <f>SUM(W13:W23)</f>
        <v>21235.125</v>
      </c>
      <c r="X24" s="12"/>
      <c r="Y24" s="16">
        <f>SUM(Y13:Y23)</f>
        <v>19980.7</v>
      </c>
      <c r="Z24" s="14"/>
      <c r="AA24" s="16">
        <f>SUM(AA13:AA23)</f>
        <v>20241.2</v>
      </c>
      <c r="AB24" s="14"/>
      <c r="AC24" s="16">
        <f>SUM(AC13:AC23)</f>
        <v>20051.012999999999</v>
      </c>
      <c r="AD24" s="12"/>
      <c r="AE24" s="16">
        <f>SUM(AE13:AE23)</f>
        <v>19062.952000000001</v>
      </c>
      <c r="AF24" s="12"/>
      <c r="AG24" s="17">
        <f>(W24-M24)/M24</f>
        <v>7.4840443950273061E-2</v>
      </c>
      <c r="AI24" s="16">
        <f>SUM(AI13:AI23)</f>
        <v>19548.678</v>
      </c>
      <c r="AJ24" s="14"/>
      <c r="AK24" s="16">
        <f>SUM(AK13:AK23)</f>
        <v>233786.87843182549</v>
      </c>
      <c r="AM24" s="16">
        <f>'Orig ''02 Plan Gross'!AK24</f>
        <v>233786.87843182549</v>
      </c>
      <c r="AN24" s="14"/>
      <c r="AO24" s="16">
        <f>AK24-AM24</f>
        <v>0</v>
      </c>
      <c r="AP24"/>
    </row>
    <row r="25" spans="1:46" ht="25.5" customHeight="1" thickTop="1" x14ac:dyDescent="0.25">
      <c r="A25" s="20"/>
      <c r="G25" s="20" t="s">
        <v>46</v>
      </c>
      <c r="AE25" s="22"/>
      <c r="AP25"/>
    </row>
    <row r="26" spans="1:46" x14ac:dyDescent="0.25">
      <c r="A26" s="20" t="s">
        <v>41</v>
      </c>
      <c r="B26"/>
      <c r="C26"/>
      <c r="D26"/>
      <c r="E26"/>
      <c r="F26"/>
      <c r="G26" t="s">
        <v>46</v>
      </c>
      <c r="H26"/>
      <c r="I26"/>
      <c r="J26"/>
      <c r="K26" s="21">
        <f>'Orig ''02 Plan Gross'!K24</f>
        <v>18347.483</v>
      </c>
      <c r="L26" s="37"/>
      <c r="M26" s="21">
        <f>'Orig ''02 Plan Gross'!M24</f>
        <v>19756.537000000004</v>
      </c>
      <c r="N26" s="37"/>
      <c r="O26" s="21">
        <f>'Orig ''02 Plan Gross'!O24</f>
        <v>18564.422999999999</v>
      </c>
      <c r="P26" s="37"/>
      <c r="Q26" s="21">
        <f>'Orig ''02 Plan Gross'!Q24</f>
        <v>18764.55</v>
      </c>
      <c r="R26" s="37"/>
      <c r="S26" s="21">
        <f>'Orig ''02 Plan Gross'!S24</f>
        <v>18811.142</v>
      </c>
      <c r="T26" s="37"/>
      <c r="U26" s="21">
        <f>'Orig ''02 Plan Gross'!U24</f>
        <v>19423.252</v>
      </c>
      <c r="V26" s="37"/>
      <c r="W26" s="21">
        <f>'Orig ''02 Plan Gross'!W24</f>
        <v>21235.125</v>
      </c>
      <c r="X26" s="37"/>
      <c r="Y26" s="21">
        <f>'Orig ''02 Plan Gross'!Y24</f>
        <v>19980.7</v>
      </c>
      <c r="Z26" s="37"/>
      <c r="AA26" s="21">
        <f>'Orig ''02 Plan Gross'!AA24</f>
        <v>20241.2</v>
      </c>
      <c r="AB26" s="37"/>
      <c r="AC26" s="21">
        <f>'Orig ''02 Plan Gross'!AC24</f>
        <v>20051.012999999999</v>
      </c>
      <c r="AD26" s="37"/>
      <c r="AE26" s="21">
        <f>'Orig ''02 Plan Gross'!AE24</f>
        <v>19062.952000000001</v>
      </c>
      <c r="AF26" s="37"/>
      <c r="AG26" s="37"/>
      <c r="AH26" s="37"/>
      <c r="AI26" s="21">
        <f>'Orig ''02 Plan Gross'!AI24</f>
        <v>19548.678</v>
      </c>
      <c r="AJ26" s="41"/>
      <c r="AK26" s="38"/>
      <c r="AL26" s="38"/>
      <c r="AM26" s="39"/>
      <c r="AN26" s="39"/>
      <c r="AP26"/>
      <c r="AQ26" s="38"/>
      <c r="AR26" s="38"/>
      <c r="AS26" s="39"/>
      <c r="AT26" s="39"/>
    </row>
    <row r="27" spans="1:4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 s="42"/>
    </row>
    <row r="28" spans="1:46" x14ac:dyDescent="0.25">
      <c r="A28" t="s">
        <v>42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J28" s="41"/>
      <c r="AM28" s="21"/>
      <c r="AN28" s="21"/>
      <c r="AS28" s="21"/>
      <c r="AT28" s="21"/>
    </row>
    <row r="29" spans="1:4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 s="42"/>
    </row>
    <row r="30" spans="1:46" x14ac:dyDescent="0.25">
      <c r="A30" t="s">
        <v>16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 s="42"/>
    </row>
    <row r="31" spans="1:4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 s="42"/>
    </row>
    <row r="32" spans="1:46" x14ac:dyDescent="0.25">
      <c r="A32" s="23" t="s">
        <v>36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 s="42"/>
    </row>
    <row r="33" spans="1:3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 s="42"/>
    </row>
    <row r="34" spans="1:3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 s="42"/>
    </row>
    <row r="35" spans="1:3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 s="42"/>
    </row>
    <row r="36" spans="1:3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 s="42"/>
    </row>
    <row r="37" spans="1:3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42"/>
    </row>
    <row r="38" spans="1:3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 s="42"/>
    </row>
    <row r="39" spans="1:3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 s="42"/>
    </row>
    <row r="40" spans="1:3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 s="42"/>
    </row>
    <row r="41" spans="1:3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42"/>
    </row>
    <row r="42" spans="1:3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 s="42"/>
    </row>
    <row r="43" spans="1:3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 s="42"/>
    </row>
    <row r="44" spans="1:3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42"/>
    </row>
    <row r="45" spans="1:3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 s="42"/>
    </row>
    <row r="46" spans="1:3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42"/>
    </row>
    <row r="47" spans="1:3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 s="42"/>
    </row>
    <row r="48" spans="1:3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42"/>
    </row>
    <row r="49" spans="1:3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42"/>
    </row>
    <row r="50" spans="1:36" x14ac:dyDescent="0.25">
      <c r="A50" s="18" t="str">
        <f ca="1">CELL("filename")</f>
        <v>L:\ETS Operations\4th Qtr Fcst\4th Qtr Fcst Oct Act\LE Files\[OM EST - OPERATIONS - 2001 - 2002 REVISED FORMAT.xls]Net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6" x14ac:dyDescent="0.25">
      <c r="A51" s="19">
        <f ca="1">NOW()</f>
        <v>37221.738514583332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6" x14ac:dyDescent="0.25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6" x14ac:dyDescent="0.2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6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6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6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6" x14ac:dyDescent="0.2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6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6" x14ac:dyDescent="0.2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6" x14ac:dyDescent="0.2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6" x14ac:dyDescent="0.2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6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6" x14ac:dyDescent="0.2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6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" right="0" top="0.75" bottom="1" header="0" footer="0.5"/>
  <pageSetup paperSize="5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2"/>
  <sheetViews>
    <sheetView showGridLines="0" tabSelected="1" workbookViewId="0">
      <selection activeCell="A17" sqref="A17"/>
    </sheetView>
  </sheetViews>
  <sheetFormatPr defaultColWidth="9.109375" defaultRowHeight="13.2" x14ac:dyDescent="0.25"/>
  <cols>
    <col min="1" max="1" width="23.109375" style="2" customWidth="1"/>
    <col min="2" max="2" width="2.109375" style="2" customWidth="1"/>
    <col min="3" max="3" width="10.6640625" style="2" customWidth="1"/>
    <col min="4" max="4" width="1.6640625" style="2" customWidth="1"/>
    <col min="5" max="5" width="10.6640625" style="2" customWidth="1"/>
    <col min="6" max="6" width="3.6640625" style="2" customWidth="1"/>
    <col min="7" max="7" width="10.6640625" style="2" customWidth="1"/>
    <col min="8" max="8" width="1.6640625" style="2" customWidth="1"/>
    <col min="9" max="9" width="10.6640625" style="2" customWidth="1"/>
    <col min="10" max="10" width="1.6640625" style="2" customWidth="1"/>
    <col min="11" max="11" width="10.6640625" style="2" customWidth="1"/>
    <col min="12" max="12" width="1.6640625" style="2" customWidth="1"/>
    <col min="13" max="13" width="10.6640625" style="2" customWidth="1"/>
    <col min="14" max="14" width="1.6640625" style="2" customWidth="1"/>
    <col min="15" max="15" width="10.6640625" style="2" customWidth="1"/>
    <col min="16" max="16" width="1.6640625" style="2" customWidth="1"/>
    <col min="17" max="17" width="10.6640625" style="2" customWidth="1"/>
    <col min="18" max="18" width="1.6640625" style="2" customWidth="1"/>
    <col min="19" max="19" width="10.6640625" style="2" customWidth="1"/>
    <col min="20" max="20" width="1.6640625" style="2" customWidth="1"/>
    <col min="21" max="21" width="10.6640625" style="2" customWidth="1"/>
    <col min="22" max="22" width="1.6640625" style="2" customWidth="1"/>
    <col min="23" max="23" width="10.6640625" style="2" customWidth="1"/>
    <col min="24" max="24" width="1.6640625" style="2" customWidth="1"/>
    <col min="25" max="25" width="10.6640625" style="2" customWidth="1"/>
    <col min="26" max="26" width="1.6640625" style="2" customWidth="1"/>
    <col min="27" max="27" width="10.6640625" style="2" customWidth="1"/>
    <col min="28" max="28" width="1.6640625" style="2" customWidth="1"/>
    <col min="29" max="29" width="10.6640625" style="2" customWidth="1"/>
    <col min="30" max="30" width="1.6640625" style="2" customWidth="1"/>
    <col min="31" max="31" width="10.6640625" style="2" customWidth="1"/>
    <col min="32" max="32" width="1.6640625" style="2" customWidth="1"/>
    <col min="33" max="33" width="11.6640625" style="2" hidden="1" customWidth="1"/>
    <col min="34" max="34" width="1.88671875" style="2" hidden="1" customWidth="1"/>
    <col min="35" max="35" width="10.6640625" style="2" customWidth="1"/>
    <col min="36" max="36" width="1.6640625" style="2" customWidth="1"/>
    <col min="37" max="37" width="10.6640625" style="2" customWidth="1"/>
    <col min="38" max="38" width="1.5546875" style="2" customWidth="1"/>
    <col min="39" max="39" width="10.6640625" style="2" customWidth="1"/>
    <col min="40" max="40" width="1.6640625" style="2" customWidth="1"/>
    <col min="41" max="41" width="10.6640625" style="2" customWidth="1"/>
    <col min="42" max="16384" width="9.109375" style="2"/>
  </cols>
  <sheetData>
    <row r="1" spans="1:42" ht="15.6" x14ac:dyDescent="0.3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2" ht="15.6" x14ac:dyDescent="0.3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2" ht="15.6" x14ac:dyDescent="0.3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2" ht="15.6" x14ac:dyDescent="0.3">
      <c r="A4" s="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2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2" x14ac:dyDescent="0.25">
      <c r="A6" s="4"/>
    </row>
    <row r="8" spans="1:42" s="11" customFormat="1" x14ac:dyDescent="0.25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2" x14ac:dyDescent="0.25">
      <c r="E9" s="6"/>
      <c r="O9" s="6"/>
      <c r="Y9" s="6"/>
      <c r="AM9" s="6" t="s">
        <v>43</v>
      </c>
    </row>
    <row r="10" spans="1:42" x14ac:dyDescent="0.25">
      <c r="C10" s="6" t="s">
        <v>2</v>
      </c>
      <c r="D10"/>
      <c r="E10" s="6" t="s">
        <v>2</v>
      </c>
      <c r="F10"/>
      <c r="G10" s="6" t="s">
        <v>2</v>
      </c>
      <c r="H10" s="9"/>
      <c r="I10" s="6" t="s">
        <v>2</v>
      </c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M10" s="6" t="s">
        <v>2</v>
      </c>
    </row>
    <row r="11" spans="1:42" x14ac:dyDescent="0.25">
      <c r="C11" s="6" t="s">
        <v>19</v>
      </c>
      <c r="D11" s="6"/>
      <c r="E11" s="6" t="s">
        <v>21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  <c r="AM11" s="6">
        <v>2002</v>
      </c>
    </row>
    <row r="12" spans="1:42" x14ac:dyDescent="0.25">
      <c r="A12" s="5" t="s">
        <v>4</v>
      </c>
      <c r="C12" s="7" t="s">
        <v>20</v>
      </c>
      <c r="D12" s="6"/>
      <c r="E12" s="7" t="s">
        <v>22</v>
      </c>
      <c r="F12" s="10"/>
      <c r="G12" s="7" t="s">
        <v>23</v>
      </c>
      <c r="H12" s="10"/>
      <c r="I12" s="7" t="s">
        <v>24</v>
      </c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1"/>
      <c r="AK12" s="7" t="s">
        <v>34</v>
      </c>
      <c r="AL12" s="11"/>
      <c r="AM12" s="7" t="s">
        <v>34</v>
      </c>
      <c r="AO12" s="7" t="s">
        <v>44</v>
      </c>
    </row>
    <row r="13" spans="1:42" x14ac:dyDescent="0.25">
      <c r="A13" s="20" t="s">
        <v>6</v>
      </c>
      <c r="C13" s="12">
        <f>74209</f>
        <v>74209</v>
      </c>
      <c r="D13" s="12"/>
      <c r="E13" s="12">
        <f t="shared" ref="E13:E22" si="0">C13/10</f>
        <v>7420.9</v>
      </c>
      <c r="F13" s="12"/>
      <c r="G13" s="12">
        <v>7734.2</v>
      </c>
      <c r="H13" s="12"/>
      <c r="I13" s="12">
        <v>9287.5</v>
      </c>
      <c r="J13" s="12"/>
      <c r="K13" s="12">
        <v>6774</v>
      </c>
      <c r="L13" s="12"/>
      <c r="M13" s="12">
        <v>7368</v>
      </c>
      <c r="N13" s="12"/>
      <c r="O13" s="12">
        <v>7233</v>
      </c>
      <c r="P13" s="12"/>
      <c r="Q13" s="12">
        <v>7068</v>
      </c>
      <c r="R13" s="12"/>
      <c r="S13" s="12">
        <v>7066</v>
      </c>
      <c r="T13" s="12"/>
      <c r="U13" s="12">
        <v>7433</v>
      </c>
      <c r="V13" s="12"/>
      <c r="W13" s="12">
        <v>9008</v>
      </c>
      <c r="X13" s="12"/>
      <c r="Y13" s="12">
        <v>8115</v>
      </c>
      <c r="Z13" s="12"/>
      <c r="AA13" s="12">
        <v>8453</v>
      </c>
      <c r="AB13" s="12"/>
      <c r="AC13" s="12">
        <v>8453</v>
      </c>
      <c r="AD13" s="12"/>
      <c r="AE13" s="12">
        <v>7612</v>
      </c>
      <c r="AF13" s="12"/>
      <c r="AG13" s="12">
        <f>-448.4/11017</f>
        <v>-4.070073522737587E-2</v>
      </c>
      <c r="AH13" s="12"/>
      <c r="AI13" s="12">
        <v>8068</v>
      </c>
      <c r="AK13" s="33">
        <f t="shared" ref="AK13:AK22" si="1">SUM(K13:AI13)</f>
        <v>92650.959299264767</v>
      </c>
      <c r="AM13" s="33">
        <f>'Orig ''02 Plan Net'!AK13</f>
        <v>92650.959299264767</v>
      </c>
      <c r="AO13" s="33">
        <f t="shared" ref="AO13:AO22" si="2">AK13-AM13</f>
        <v>0</v>
      </c>
    </row>
    <row r="14" spans="1:42" x14ac:dyDescent="0.25">
      <c r="A14" s="20" t="s">
        <v>7</v>
      </c>
      <c r="C14" s="12">
        <v>23324</v>
      </c>
      <c r="D14" s="12"/>
      <c r="E14" s="12">
        <f t="shared" si="0"/>
        <v>2332.4</v>
      </c>
      <c r="F14" s="12"/>
      <c r="G14" s="12">
        <v>958.2</v>
      </c>
      <c r="H14" s="12"/>
      <c r="I14" s="12">
        <v>485.7</v>
      </c>
      <c r="J14" s="12"/>
      <c r="K14" s="12">
        <v>2166.4029999999998</v>
      </c>
      <c r="L14" s="12"/>
      <c r="M14" s="12">
        <v>2185.4250000000002</v>
      </c>
      <c r="N14" s="12"/>
      <c r="O14" s="12">
        <v>2144.4609999999998</v>
      </c>
      <c r="P14" s="12"/>
      <c r="Q14" s="12">
        <v>2122.357</v>
      </c>
      <c r="R14" s="12"/>
      <c r="S14" s="12">
        <v>2151.3780000000002</v>
      </c>
      <c r="T14" s="12"/>
      <c r="U14" s="12">
        <v>2174.5039999999999</v>
      </c>
      <c r="V14" s="12"/>
      <c r="W14" s="12">
        <v>2148.3270000000002</v>
      </c>
      <c r="X14" s="12"/>
      <c r="Y14" s="12">
        <v>2165.2049999999999</v>
      </c>
      <c r="Z14" s="12"/>
      <c r="AA14" s="12">
        <v>2156.355</v>
      </c>
      <c r="AB14" s="12"/>
      <c r="AC14" s="12">
        <v>2153.1880000000001</v>
      </c>
      <c r="AD14" s="12"/>
      <c r="AE14" s="12">
        <v>2122.5500000000002</v>
      </c>
      <c r="AF14" s="12"/>
      <c r="AG14" s="12">
        <f>-102.4/1810</f>
        <v>-5.6574585635359116E-2</v>
      </c>
      <c r="AH14" s="12"/>
      <c r="AI14" s="12">
        <v>2204.7669999999998</v>
      </c>
      <c r="AK14" s="33">
        <f t="shared" si="1"/>
        <v>25894.863425414358</v>
      </c>
      <c r="AM14" s="33">
        <f>'Orig ''02 Plan Net'!AK14</f>
        <v>25894.863425414358</v>
      </c>
      <c r="AO14" s="33">
        <f t="shared" si="2"/>
        <v>0</v>
      </c>
    </row>
    <row r="15" spans="1:42" x14ac:dyDescent="0.25">
      <c r="A15" s="20" t="s">
        <v>10</v>
      </c>
      <c r="C15" s="12">
        <f>25699+1058</f>
        <v>26757</v>
      </c>
      <c r="D15"/>
      <c r="E15" s="12">
        <f t="shared" si="0"/>
        <v>2675.7</v>
      </c>
      <c r="F15"/>
      <c r="G15" s="12">
        <f>2189+85</f>
        <v>2274</v>
      </c>
      <c r="H15" s="39"/>
      <c r="I15" s="12">
        <f>1920+85</f>
        <v>2005</v>
      </c>
      <c r="J15" s="12"/>
      <c r="K15" s="12">
        <f>3099.919</f>
        <v>3099.9189999999999</v>
      </c>
      <c r="L15" s="12"/>
      <c r="M15" s="12">
        <f>2741.253</f>
        <v>2741.2530000000002</v>
      </c>
      <c r="N15" s="39"/>
      <c r="O15" s="12">
        <v>2670.165</v>
      </c>
      <c r="P15" s="39"/>
      <c r="Q15" s="12">
        <v>2877.5010000000002</v>
      </c>
      <c r="R15" s="39"/>
      <c r="S15" s="12">
        <v>2846.096</v>
      </c>
      <c r="T15" s="12"/>
      <c r="U15" s="12">
        <v>2885.9569999999999</v>
      </c>
      <c r="V15" s="12"/>
      <c r="W15" s="12">
        <v>2956.5250000000001</v>
      </c>
      <c r="X15" s="39"/>
      <c r="Y15" s="12">
        <v>2984.7170000000001</v>
      </c>
      <c r="Z15" s="39"/>
      <c r="AA15" s="12">
        <v>2956.8539999999998</v>
      </c>
      <c r="AB15" s="39"/>
      <c r="AC15" s="39">
        <v>2912.51</v>
      </c>
      <c r="AD15" s="12"/>
      <c r="AE15" s="12">
        <v>2878.4920000000002</v>
      </c>
      <c r="AF15" s="12"/>
      <c r="AG15" s="43">
        <f>-155.5/1959</f>
        <v>-7.937723328228688E-2</v>
      </c>
      <c r="AH15" s="12"/>
      <c r="AI15" s="12">
        <v>2855.1590000000001</v>
      </c>
      <c r="AK15" s="33">
        <f t="shared" si="1"/>
        <v>34665.068622766717</v>
      </c>
      <c r="AM15" s="33">
        <f>'Orig ''02 Plan Net'!AK15</f>
        <v>34665.068622766717</v>
      </c>
      <c r="AO15" s="33">
        <f t="shared" si="2"/>
        <v>0</v>
      </c>
    </row>
    <row r="16" spans="1:42" x14ac:dyDescent="0.25">
      <c r="A16" s="20" t="s">
        <v>9</v>
      </c>
      <c r="C16" s="39">
        <f>9927.9+431+1488.3+51</f>
        <v>11898.199999999999</v>
      </c>
      <c r="D16"/>
      <c r="E16" s="12">
        <f t="shared" si="0"/>
        <v>1189.82</v>
      </c>
      <c r="F16"/>
      <c r="G16" s="12">
        <f>1799.9+35+526.4+8</f>
        <v>2369.3000000000002</v>
      </c>
      <c r="H16" s="39"/>
      <c r="I16" s="12">
        <f>526.4+8+1451.9+90</f>
        <v>2076.3000000000002</v>
      </c>
      <c r="J16" s="12"/>
      <c r="K16" s="12">
        <f>1024.995+220.336</f>
        <v>1245.3309999999999</v>
      </c>
      <c r="L16" s="12"/>
      <c r="M16" s="39">
        <f>1029.107+220.075</f>
        <v>1249.182</v>
      </c>
      <c r="N16" s="39"/>
      <c r="O16" s="39">
        <f>1025.302+219.391</f>
        <v>1244.693</v>
      </c>
      <c r="P16" s="39"/>
      <c r="Q16" s="39">
        <f>1027.547+220.014</f>
        <v>1247.5610000000001</v>
      </c>
      <c r="R16" s="39"/>
      <c r="S16" s="39">
        <f>1026.599+220.015</f>
        <v>1246.614</v>
      </c>
      <c r="T16" s="12"/>
      <c r="U16" s="12">
        <f>1025.304+220.392</f>
        <v>1245.6960000000001</v>
      </c>
      <c r="V16" s="12"/>
      <c r="W16" s="39">
        <f>1025.259+220.115</f>
        <v>1245.374</v>
      </c>
      <c r="X16" s="39"/>
      <c r="Y16" s="39">
        <f>1026.599+220.015</f>
        <v>1246.614</v>
      </c>
      <c r="Z16" s="39"/>
      <c r="AA16" s="39">
        <f>1025.307+219.392</f>
        <v>1244.6990000000001</v>
      </c>
      <c r="AB16" s="39"/>
      <c r="AC16" s="39">
        <f>1030.252+220.116</f>
        <v>1250.3679999999999</v>
      </c>
      <c r="AD16" s="12"/>
      <c r="AE16" s="12">
        <f>1028.902+220.116</f>
        <v>1249.018</v>
      </c>
      <c r="AF16" s="12"/>
      <c r="AG16" s="12">
        <f>(W16-M16)/M16</f>
        <v>-3.0483948696026623E-3</v>
      </c>
      <c r="AH16" s="12"/>
      <c r="AI16" s="12">
        <f>1024.306+220.492</f>
        <v>1244.798</v>
      </c>
      <c r="AK16" s="33">
        <f t="shared" si="1"/>
        <v>14959.94495160513</v>
      </c>
      <c r="AM16" s="33">
        <f>'Orig ''02 Plan Net'!AK16</f>
        <v>14959.94495160513</v>
      </c>
      <c r="AO16" s="33">
        <f t="shared" si="2"/>
        <v>0</v>
      </c>
      <c r="AP16" s="20" t="s">
        <v>46</v>
      </c>
    </row>
    <row r="17" spans="1:44" x14ac:dyDescent="0.25">
      <c r="A17" s="20" t="s">
        <v>11</v>
      </c>
      <c r="C17" s="39"/>
      <c r="D17"/>
      <c r="E17" s="12">
        <f t="shared" si="0"/>
        <v>0</v>
      </c>
      <c r="F17"/>
      <c r="G17" s="12"/>
      <c r="H17" s="39"/>
      <c r="I17" s="12"/>
      <c r="J17" s="12"/>
      <c r="K17" s="12">
        <v>3074.9</v>
      </c>
      <c r="L17" s="12"/>
      <c r="M17" s="39">
        <v>3603.471</v>
      </c>
      <c r="N17" s="39"/>
      <c r="O17" s="12">
        <v>3275.9549999999999</v>
      </c>
      <c r="P17" s="39"/>
      <c r="Q17" s="12">
        <v>3468.866</v>
      </c>
      <c r="R17" s="39"/>
      <c r="S17" s="12">
        <v>3515.904</v>
      </c>
      <c r="T17" s="12"/>
      <c r="U17" s="12">
        <v>3591.6060000000002</v>
      </c>
      <c r="V17" s="12"/>
      <c r="W17" s="12">
        <v>3552.7379999999998</v>
      </c>
      <c r="X17" s="39"/>
      <c r="Y17" s="12">
        <v>3435.01</v>
      </c>
      <c r="Z17" s="39"/>
      <c r="AA17" s="12">
        <v>3424.3139999999999</v>
      </c>
      <c r="AB17" s="39"/>
      <c r="AC17" s="39">
        <v>3290.913</v>
      </c>
      <c r="AD17" s="12"/>
      <c r="AE17" s="12">
        <v>3212.154</v>
      </c>
      <c r="AF17" s="12"/>
      <c r="AG17" s="12"/>
      <c r="AH17" s="12"/>
      <c r="AI17" s="12">
        <v>3161.855</v>
      </c>
      <c r="AK17" s="33">
        <f t="shared" si="1"/>
        <v>40607.686000000009</v>
      </c>
      <c r="AM17" s="33">
        <f>'Orig ''02 Plan Net'!AK17</f>
        <v>40607.686000000009</v>
      </c>
      <c r="AO17" s="33">
        <f t="shared" si="2"/>
        <v>0</v>
      </c>
    </row>
    <row r="18" spans="1:44" x14ac:dyDescent="0.25">
      <c r="A18" s="20" t="s">
        <v>12</v>
      </c>
      <c r="C18" s="39">
        <f>1258.2-100.5-246.3</f>
        <v>911.40000000000009</v>
      </c>
      <c r="D18"/>
      <c r="E18" s="12">
        <f t="shared" si="0"/>
        <v>91.140000000000015</v>
      </c>
      <c r="F18"/>
      <c r="G18" s="39">
        <v>100.5</v>
      </c>
      <c r="H18" s="39"/>
      <c r="I18" s="39">
        <v>246.25899999999999</v>
      </c>
      <c r="J18" s="12"/>
      <c r="K18" s="12">
        <v>133.29</v>
      </c>
      <c r="L18" s="12"/>
      <c r="M18" s="39">
        <v>135.33699999999999</v>
      </c>
      <c r="N18" s="39"/>
      <c r="O18" s="39">
        <v>135.33699999999999</v>
      </c>
      <c r="P18" s="39"/>
      <c r="Q18" s="39">
        <v>135.33699999999999</v>
      </c>
      <c r="R18" s="39"/>
      <c r="S18" s="39">
        <v>135.33699999999999</v>
      </c>
      <c r="T18" s="12"/>
      <c r="U18" s="39">
        <v>135.33699999999999</v>
      </c>
      <c r="V18" s="12"/>
      <c r="W18" s="39">
        <v>135.33699999999999</v>
      </c>
      <c r="X18" s="39"/>
      <c r="Y18" s="39">
        <v>135.33699999999999</v>
      </c>
      <c r="Z18" s="39"/>
      <c r="AA18" s="39">
        <v>135.33699999999999</v>
      </c>
      <c r="AB18" s="39"/>
      <c r="AC18" s="39">
        <v>135.33699999999999</v>
      </c>
      <c r="AD18" s="12"/>
      <c r="AE18" s="39">
        <v>135.33699999999999</v>
      </c>
      <c r="AF18" s="12"/>
      <c r="AG18" s="12"/>
      <c r="AH18" s="12"/>
      <c r="AI18" s="39">
        <v>135.33699999999999</v>
      </c>
      <c r="AK18" s="33">
        <f t="shared" si="1"/>
        <v>1621.9969999999998</v>
      </c>
      <c r="AM18" s="33">
        <f>'Orig ''02 Plan Net'!AK18</f>
        <v>1621.9969999999998</v>
      </c>
      <c r="AO18" s="33">
        <f t="shared" si="2"/>
        <v>0</v>
      </c>
    </row>
    <row r="19" spans="1:44" x14ac:dyDescent="0.25">
      <c r="A19" s="20" t="s">
        <v>13</v>
      </c>
      <c r="C19" s="39"/>
      <c r="D19"/>
      <c r="E19" s="12">
        <f t="shared" si="0"/>
        <v>0</v>
      </c>
      <c r="F19"/>
      <c r="G19" s="39">
        <v>0</v>
      </c>
      <c r="H19" s="39"/>
      <c r="I19" s="39">
        <v>0</v>
      </c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K19" s="33">
        <f t="shared" si="1"/>
        <v>0</v>
      </c>
      <c r="AM19" s="33">
        <f>'Orig ''02 Plan Net'!AK19</f>
        <v>0</v>
      </c>
      <c r="AO19" s="33">
        <f t="shared" si="2"/>
        <v>0</v>
      </c>
    </row>
    <row r="20" spans="1:44" x14ac:dyDescent="0.25">
      <c r="A20" s="20" t="s">
        <v>14</v>
      </c>
      <c r="C20" s="39">
        <v>500.49900000000002</v>
      </c>
      <c r="D20"/>
      <c r="E20" s="12">
        <f t="shared" si="0"/>
        <v>50.049900000000001</v>
      </c>
      <c r="F20"/>
      <c r="G20" s="39">
        <f>19.1</f>
        <v>19.100000000000001</v>
      </c>
      <c r="H20" s="39"/>
      <c r="I20" s="39">
        <f>19.1-0.7</f>
        <v>18.400000000000002</v>
      </c>
      <c r="J20" s="12"/>
      <c r="K20" s="12">
        <v>43.119</v>
      </c>
      <c r="L20" s="12"/>
      <c r="M20" s="39">
        <v>44.078000000000003</v>
      </c>
      <c r="N20" s="39"/>
      <c r="O20" s="39">
        <v>43.119</v>
      </c>
      <c r="P20" s="39"/>
      <c r="Q20" s="39">
        <v>43.119</v>
      </c>
      <c r="R20" s="39"/>
      <c r="S20" s="39">
        <v>43.119</v>
      </c>
      <c r="T20" s="12"/>
      <c r="U20" s="39">
        <v>43.119</v>
      </c>
      <c r="V20" s="12"/>
      <c r="W20" s="39">
        <v>43.119</v>
      </c>
      <c r="X20" s="39"/>
      <c r="Y20" s="39">
        <v>43.119</v>
      </c>
      <c r="Z20" s="39"/>
      <c r="AA20" s="39">
        <v>43.119</v>
      </c>
      <c r="AB20" s="39"/>
      <c r="AC20" s="39">
        <v>43.119</v>
      </c>
      <c r="AD20" s="12"/>
      <c r="AE20" s="39">
        <v>43.119</v>
      </c>
      <c r="AF20" s="12"/>
      <c r="AG20" s="12"/>
      <c r="AH20" s="12"/>
      <c r="AI20" s="39">
        <v>43.119</v>
      </c>
      <c r="AK20" s="33">
        <f t="shared" si="1"/>
        <v>518.38700000000017</v>
      </c>
      <c r="AM20" s="33">
        <f>'Orig ''02 Plan Net'!AK20</f>
        <v>518.38700000000017</v>
      </c>
      <c r="AO20" s="33">
        <f t="shared" si="2"/>
        <v>0</v>
      </c>
    </row>
    <row r="21" spans="1:44" x14ac:dyDescent="0.25">
      <c r="A21" s="20" t="s">
        <v>8</v>
      </c>
      <c r="C21" s="12"/>
      <c r="D21" s="12"/>
      <c r="E21" s="12">
        <f t="shared" si="0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K21" s="33">
        <f t="shared" si="1"/>
        <v>0</v>
      </c>
      <c r="AM21" s="33">
        <f>'Orig ''02 Plan Net'!AK21</f>
        <v>0</v>
      </c>
      <c r="AO21" s="33">
        <f t="shared" si="2"/>
        <v>0</v>
      </c>
    </row>
    <row r="22" spans="1:44" x14ac:dyDescent="0.25">
      <c r="A22" s="20" t="s">
        <v>15</v>
      </c>
      <c r="C22" s="12">
        <f>1417-99-72</f>
        <v>1246</v>
      </c>
      <c r="D22" s="12"/>
      <c r="E22" s="12">
        <f t="shared" si="0"/>
        <v>124.6</v>
      </c>
      <c r="F22" s="12"/>
      <c r="G22" s="12">
        <v>99</v>
      </c>
      <c r="H22" s="12"/>
      <c r="I22" s="12">
        <v>72</v>
      </c>
      <c r="J22" s="12"/>
      <c r="K22" s="12">
        <f>5.433+5.204</f>
        <v>10.637</v>
      </c>
      <c r="L22" s="12"/>
      <c r="M22" s="12">
        <f>5.433+6.822</f>
        <v>12.254999999999999</v>
      </c>
      <c r="N22" s="12"/>
      <c r="O22" s="12">
        <f>5.433+5.16</f>
        <v>10.593</v>
      </c>
      <c r="P22" s="12"/>
      <c r="Q22" s="12">
        <f>5.433+5.115</f>
        <v>10.548</v>
      </c>
      <c r="R22" s="12"/>
      <c r="S22" s="12">
        <f>5.433+5.116</f>
        <v>10.548999999999999</v>
      </c>
      <c r="T22" s="12"/>
      <c r="U22" s="12">
        <f>5.433+5.154</f>
        <v>10.587</v>
      </c>
      <c r="V22" s="12"/>
      <c r="W22" s="12">
        <f>5.433+5.115</f>
        <v>10.548</v>
      </c>
      <c r="X22" s="12"/>
      <c r="Y22" s="12">
        <f>5.433+5.117</f>
        <v>10.55</v>
      </c>
      <c r="Z22" s="12"/>
      <c r="AA22" s="12">
        <f>5.433+5.133</f>
        <v>10.565999999999999</v>
      </c>
      <c r="AB22" s="12"/>
      <c r="AC22" s="12">
        <f>5.433+5.096</f>
        <v>10.529</v>
      </c>
      <c r="AD22" s="12"/>
      <c r="AE22" s="12">
        <f>5.433+4.927</f>
        <v>10.36</v>
      </c>
      <c r="AF22" s="12"/>
      <c r="AG22" s="12">
        <f>(W22-M22)/M22</f>
        <v>-0.1392900856793145</v>
      </c>
      <c r="AH22" s="12"/>
      <c r="AI22" s="12">
        <f>5.433+4.946+72</f>
        <v>82.379000000000005</v>
      </c>
      <c r="AK22" s="33">
        <f t="shared" si="1"/>
        <v>199.96170991432069</v>
      </c>
      <c r="AM22" s="33">
        <f>'Orig ''02 Plan Net'!AK22</f>
        <v>199.96170991432069</v>
      </c>
      <c r="AO22" s="33">
        <f t="shared" si="2"/>
        <v>0</v>
      </c>
    </row>
    <row r="23" spans="1:44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</row>
    <row r="24" spans="1:44" ht="13.8" thickBot="1" x14ac:dyDescent="0.3">
      <c r="A24" s="20" t="s">
        <v>34</v>
      </c>
      <c r="C24" s="16">
        <f>SUM(C13:C23)</f>
        <v>138846.09900000002</v>
      </c>
      <c r="D24" s="12"/>
      <c r="E24" s="16">
        <f>SUM(E13:E23)</f>
        <v>13884.609899999999</v>
      </c>
      <c r="F24" s="14"/>
      <c r="G24" s="16">
        <f>SUM(G13:G23)</f>
        <v>13554.300000000001</v>
      </c>
      <c r="H24" s="14"/>
      <c r="I24" s="16">
        <f>SUM(I13:I23)</f>
        <v>14191.159</v>
      </c>
      <c r="J24" s="12"/>
      <c r="K24" s="16">
        <f>SUM(K13:K23)</f>
        <v>16547.598999999998</v>
      </c>
      <c r="L24" s="12"/>
      <c r="M24" s="16">
        <f>SUM(M13:M23)</f>
        <v>17339.001000000004</v>
      </c>
      <c r="N24" s="12"/>
      <c r="O24" s="16">
        <f>SUM(O13:O23)</f>
        <v>16757.322999999997</v>
      </c>
      <c r="P24" s="14"/>
      <c r="Q24" s="16">
        <f>SUM(Q13:Q23)</f>
        <v>16973.288999999997</v>
      </c>
      <c r="R24" s="14"/>
      <c r="S24" s="16">
        <f>SUM(S13:S23)</f>
        <v>17014.996999999996</v>
      </c>
      <c r="T24" s="12"/>
      <c r="U24" s="16">
        <f>SUM(U13:U23)</f>
        <v>17519.806</v>
      </c>
      <c r="V24" s="12"/>
      <c r="W24" s="16">
        <f>SUM(W13:W23)</f>
        <v>19099.967999999997</v>
      </c>
      <c r="X24" s="12"/>
      <c r="Y24" s="16">
        <f>SUM(Y13:Y23)</f>
        <v>18135.552</v>
      </c>
      <c r="Z24" s="14"/>
      <c r="AA24" s="16">
        <f>SUM(AA13:AA23)</f>
        <v>18424.243999999995</v>
      </c>
      <c r="AB24" s="14"/>
      <c r="AC24" s="16">
        <f>SUM(AC13:AC23)</f>
        <v>18248.963999999996</v>
      </c>
      <c r="AD24" s="12"/>
      <c r="AE24" s="16">
        <f>SUM(AE13:AE23)</f>
        <v>17263.03</v>
      </c>
      <c r="AF24" s="12"/>
      <c r="AG24" s="17">
        <f>(W24-M24)/M24</f>
        <v>0.10156104149252848</v>
      </c>
      <c r="AI24" s="16">
        <f>SUM(AI13:AI23)</f>
        <v>17795.414000000001</v>
      </c>
      <c r="AK24" s="16">
        <f>SUM(AK13:AK23)</f>
        <v>211118.86800896531</v>
      </c>
      <c r="AM24" s="16">
        <f>'Orig ''02 Plan Net'!AK24</f>
        <v>211118.86800896531</v>
      </c>
      <c r="AO24" s="16">
        <f>SUM(AO13:AO23)</f>
        <v>0</v>
      </c>
    </row>
    <row r="25" spans="1:44" ht="25.5" customHeight="1" thickTop="1" x14ac:dyDescent="0.25">
      <c r="A25" s="20"/>
      <c r="G25" s="20" t="s">
        <v>46</v>
      </c>
      <c r="AE25" s="22"/>
    </row>
    <row r="26" spans="1:44" x14ac:dyDescent="0.25">
      <c r="A26" s="20" t="s">
        <v>41</v>
      </c>
      <c r="B26"/>
      <c r="C26"/>
      <c r="D26"/>
      <c r="E26"/>
      <c r="F26"/>
      <c r="G26" t="s">
        <v>46</v>
      </c>
      <c r="H26"/>
      <c r="I26"/>
      <c r="J26"/>
      <c r="K26" s="21">
        <f>'Orig ''02 Plan Net'!K24</f>
        <v>16547.598999999998</v>
      </c>
      <c r="L26" s="37"/>
      <c r="M26" s="21">
        <f>'Orig ''02 Plan Net'!M24</f>
        <v>17339.001000000004</v>
      </c>
      <c r="N26" s="37"/>
      <c r="O26" s="21">
        <f>'Orig ''02 Plan Net'!O24</f>
        <v>16757.322999999997</v>
      </c>
      <c r="P26" s="37"/>
      <c r="Q26" s="21">
        <f>'Orig ''02 Plan Net'!Q24</f>
        <v>16973.288999999997</v>
      </c>
      <c r="R26" s="37"/>
      <c r="S26" s="21">
        <f>'Orig ''02 Plan Net'!S24</f>
        <v>17014.996999999996</v>
      </c>
      <c r="T26" s="37"/>
      <c r="U26" s="21">
        <f>'Orig ''02 Plan Net'!U24</f>
        <v>17519.806</v>
      </c>
      <c r="V26" s="37"/>
      <c r="W26" s="21">
        <f>'Orig ''02 Plan Net'!W24</f>
        <v>19099.967999999997</v>
      </c>
      <c r="X26" s="37"/>
      <c r="Y26" s="21">
        <f>'Orig ''02 Plan Net'!Y24</f>
        <v>18135.552</v>
      </c>
      <c r="Z26" s="37"/>
      <c r="AA26" s="21">
        <f>'Orig ''02 Plan Net'!AA24</f>
        <v>18424.243999999995</v>
      </c>
      <c r="AB26" s="37"/>
      <c r="AC26" s="21">
        <f>'Orig ''02 Plan Net'!AC24</f>
        <v>18248.963999999996</v>
      </c>
      <c r="AD26" s="37"/>
      <c r="AE26" s="21">
        <f>'Orig ''02 Plan Net'!AE24</f>
        <v>17263.03</v>
      </c>
      <c r="AF26" s="37"/>
      <c r="AG26" s="37"/>
      <c r="AH26" s="37"/>
      <c r="AI26" s="21">
        <f>'Orig ''02 Plan Net'!AI24</f>
        <v>17795.414000000001</v>
      </c>
      <c r="AJ26" s="38"/>
      <c r="AK26" s="38"/>
      <c r="AL26" s="38"/>
      <c r="AM26" s="39"/>
      <c r="AP26" s="38"/>
      <c r="AQ26" s="38"/>
      <c r="AR26" s="39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44" x14ac:dyDescent="0.25">
      <c r="A28" t="s">
        <v>42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M28" s="21"/>
      <c r="AR28" s="21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44" x14ac:dyDescent="0.25">
      <c r="A30" t="s">
        <v>16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44" x14ac:dyDescent="0.25">
      <c r="A32" s="23" t="s">
        <v>36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18" t="str">
        <f ca="1">CELL("filename")</f>
        <v>L:\ETS Operations\4th Qtr Fcst\4th Qtr Fcst Oct Act\LE Files\[OM EST - OPERATIONS - 2001 - 2002 REVISED FORMAT.xls]Net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5" x14ac:dyDescent="0.25">
      <c r="A51" s="19">
        <f ca="1">NOW()</f>
        <v>37221.738514583332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5" x14ac:dyDescent="0.25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5" x14ac:dyDescent="0.2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5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5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5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5" x14ac:dyDescent="0.2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5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5" x14ac:dyDescent="0.2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5" x14ac:dyDescent="0.2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5" x14ac:dyDescent="0.2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5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5" x14ac:dyDescent="0.2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5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.25" right="0" top="0.75" bottom="1" header="0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9"/>
  <sheetViews>
    <sheetView showGridLines="0" topLeftCell="A2" workbookViewId="0">
      <selection activeCell="A32" sqref="A32"/>
    </sheetView>
  </sheetViews>
  <sheetFormatPr defaultColWidth="9.109375" defaultRowHeight="13.2" x14ac:dyDescent="0.25"/>
  <cols>
    <col min="1" max="1" width="23.109375" style="2" customWidth="1"/>
    <col min="2" max="2" width="2.109375" style="2" customWidth="1"/>
    <col min="3" max="3" width="6.6640625" style="25" customWidth="1"/>
    <col min="4" max="4" width="1.6640625" style="25" customWidth="1"/>
    <col min="5" max="5" width="6.6640625" style="25" customWidth="1"/>
    <col min="6" max="6" width="3.6640625" style="25" customWidth="1"/>
    <col min="7" max="7" width="6.6640625" style="25" customWidth="1"/>
    <col min="8" max="8" width="1.6640625" style="25" customWidth="1"/>
    <col min="9" max="9" width="6.6640625" style="25" customWidth="1"/>
    <col min="10" max="10" width="1.6640625" style="2" customWidth="1"/>
    <col min="11" max="11" width="10.6640625" style="2" customWidth="1"/>
    <col min="12" max="12" width="1.6640625" style="2" customWidth="1"/>
    <col min="13" max="13" width="10.6640625" style="2" customWidth="1"/>
    <col min="14" max="14" width="1.6640625" style="2" customWidth="1"/>
    <col min="15" max="15" width="10.6640625" style="2" customWidth="1"/>
    <col min="16" max="16" width="1.6640625" style="2" customWidth="1"/>
    <col min="17" max="17" width="10.6640625" style="2" customWidth="1"/>
    <col min="18" max="18" width="1.6640625" style="2" customWidth="1"/>
    <col min="19" max="19" width="10.6640625" style="2" customWidth="1"/>
    <col min="20" max="20" width="1.6640625" style="2" customWidth="1"/>
    <col min="21" max="21" width="10.6640625" style="2" customWidth="1"/>
    <col min="22" max="22" width="1.6640625" style="2" customWidth="1"/>
    <col min="23" max="23" width="10.6640625" style="2" customWidth="1"/>
    <col min="24" max="24" width="1.6640625" style="2" customWidth="1"/>
    <col min="25" max="25" width="10.6640625" style="2" customWidth="1"/>
    <col min="26" max="26" width="1.6640625" style="2" customWidth="1"/>
    <col min="27" max="27" width="10.6640625" style="2" customWidth="1"/>
    <col min="28" max="28" width="1.6640625" style="2" customWidth="1"/>
    <col min="29" max="29" width="10.6640625" style="2" customWidth="1"/>
    <col min="30" max="30" width="1.6640625" style="2" customWidth="1"/>
    <col min="31" max="31" width="10.6640625" style="2" customWidth="1"/>
    <col min="32" max="32" width="1.6640625" style="2" customWidth="1"/>
    <col min="33" max="33" width="11.6640625" style="2" hidden="1" customWidth="1"/>
    <col min="34" max="34" width="1.88671875" style="2" hidden="1" customWidth="1"/>
    <col min="35" max="35" width="10.6640625" style="2" customWidth="1"/>
    <col min="36" max="36" width="1.6640625" style="2" customWidth="1"/>
    <col min="37" max="37" width="10.6640625" style="2" customWidth="1"/>
    <col min="38" max="42" width="8.88671875" customWidth="1"/>
    <col min="43" max="16384" width="9.109375" style="2"/>
  </cols>
  <sheetData>
    <row r="1" spans="1:37" ht="15.6" x14ac:dyDescent="0.3">
      <c r="A1" s="1" t="s">
        <v>38</v>
      </c>
      <c r="B1" s="1"/>
      <c r="C1" s="24"/>
      <c r="D1" s="24"/>
      <c r="E1" s="24"/>
      <c r="F1" s="24"/>
      <c r="G1" s="24"/>
      <c r="H1" s="24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6" x14ac:dyDescent="0.3">
      <c r="A2" s="1" t="s">
        <v>18</v>
      </c>
      <c r="B2" s="1"/>
      <c r="C2" s="24"/>
      <c r="D2" s="24"/>
      <c r="E2" s="24"/>
      <c r="F2" s="24"/>
      <c r="G2" s="24"/>
      <c r="H2" s="24"/>
      <c r="I2" s="2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6" x14ac:dyDescent="0.3">
      <c r="A3" s="1" t="s">
        <v>45</v>
      </c>
      <c r="B3" s="1"/>
      <c r="C3" s="24"/>
      <c r="D3" s="24"/>
      <c r="E3" s="24"/>
      <c r="F3" s="24"/>
      <c r="G3" s="24"/>
      <c r="H3" s="24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6" x14ac:dyDescent="0.3">
      <c r="A4" s="3" t="s">
        <v>37</v>
      </c>
      <c r="B4" s="1"/>
      <c r="C4" s="24"/>
      <c r="D4" s="24"/>
      <c r="E4" s="24"/>
      <c r="F4" s="24"/>
      <c r="G4" s="24"/>
      <c r="H4" s="24"/>
      <c r="I4" s="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6" x14ac:dyDescent="0.3">
      <c r="A5" s="3"/>
      <c r="B5" s="1"/>
      <c r="C5" s="24"/>
      <c r="D5" s="24"/>
      <c r="E5" s="24"/>
      <c r="F5" s="24"/>
      <c r="G5" s="24"/>
      <c r="H5" s="24"/>
      <c r="I5" s="2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5">
      <c r="A6" s="4"/>
    </row>
    <row r="8" spans="1:37" s="11" customFormat="1" x14ac:dyDescent="0.25">
      <c r="C8" s="26"/>
      <c r="D8" s="26"/>
      <c r="E8" s="26"/>
      <c r="F8" s="26"/>
      <c r="G8" s="26"/>
      <c r="H8" s="26"/>
      <c r="I8" s="26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5">
      <c r="E9" s="27"/>
      <c r="O9" s="6"/>
      <c r="Y9" s="6"/>
    </row>
    <row r="10" spans="1:37" x14ac:dyDescent="0.25">
      <c r="C10" s="27"/>
      <c r="D10" s="28"/>
      <c r="E10" s="27"/>
      <c r="F10" s="28"/>
      <c r="G10" s="27"/>
      <c r="H10" s="29"/>
      <c r="I10" s="27"/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K10" s="6" t="s">
        <v>1</v>
      </c>
    </row>
    <row r="11" spans="1:37" x14ac:dyDescent="0.25">
      <c r="C11" s="27"/>
      <c r="D11" s="27"/>
      <c r="E11" s="27"/>
      <c r="F11" s="27"/>
      <c r="G11" s="27"/>
      <c r="H11" s="27"/>
      <c r="I11" s="27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</row>
    <row r="12" spans="1:37" x14ac:dyDescent="0.25">
      <c r="A12" s="5" t="s">
        <v>4</v>
      </c>
      <c r="C12" s="30"/>
      <c r="D12" s="27"/>
      <c r="E12" s="30"/>
      <c r="F12" s="31"/>
      <c r="G12" s="30"/>
      <c r="H12" s="31"/>
      <c r="I12" s="30"/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1"/>
      <c r="AK12" s="7" t="s">
        <v>39</v>
      </c>
    </row>
    <row r="13" spans="1:37" x14ac:dyDescent="0.25">
      <c r="A13" s="20" t="s">
        <v>6</v>
      </c>
      <c r="C13" s="32"/>
      <c r="D13" s="32"/>
      <c r="E13" s="32"/>
      <c r="F13" s="32"/>
      <c r="G13" s="32"/>
      <c r="H13" s="32"/>
      <c r="I13" s="32"/>
      <c r="J13" s="12"/>
      <c r="K13" s="12">
        <f>6920+300</f>
        <v>7220</v>
      </c>
      <c r="L13" s="12"/>
      <c r="M13" s="12">
        <f>7370+400</f>
        <v>7770</v>
      </c>
      <c r="N13" s="12"/>
      <c r="O13" s="12">
        <f>7383+300</f>
        <v>7683</v>
      </c>
      <c r="P13" s="12"/>
      <c r="Q13" s="12">
        <f>7206+300</f>
        <v>7506</v>
      </c>
      <c r="R13" s="12"/>
      <c r="S13" s="12">
        <f>7239+275</f>
        <v>7514</v>
      </c>
      <c r="T13" s="12"/>
      <c r="U13" s="12">
        <f>7685+275</f>
        <v>7960</v>
      </c>
      <c r="V13" s="12"/>
      <c r="W13" s="12">
        <f>9118+275</f>
        <v>9393</v>
      </c>
      <c r="X13" s="12"/>
      <c r="Y13" s="12">
        <f>8331+275</f>
        <v>8606</v>
      </c>
      <c r="Z13" s="12"/>
      <c r="AA13" s="12">
        <f>8633+275</f>
        <v>8908</v>
      </c>
      <c r="AB13" s="12"/>
      <c r="AC13" s="12">
        <f>8610+275</f>
        <v>8885</v>
      </c>
      <c r="AD13" s="12"/>
      <c r="AE13" s="12">
        <f>7775+275</f>
        <v>8050</v>
      </c>
      <c r="AF13" s="12"/>
      <c r="AG13" s="12">
        <f>-448.4/11017</f>
        <v>-4.070073522737587E-2</v>
      </c>
      <c r="AH13" s="12"/>
      <c r="AI13" s="12">
        <f>8245+275</f>
        <v>8520</v>
      </c>
      <c r="AJ13" s="12"/>
      <c r="AK13" s="33">
        <f t="shared" ref="AK13:AK22" si="0">SUM(K13:AI13)</f>
        <v>98014.959299264767</v>
      </c>
    </row>
    <row r="14" spans="1:37" x14ac:dyDescent="0.25">
      <c r="A14" s="20" t="s">
        <v>7</v>
      </c>
      <c r="C14" s="32"/>
      <c r="D14" s="32"/>
      <c r="E14" s="32"/>
      <c r="F14" s="32"/>
      <c r="G14" s="32"/>
      <c r="H14" s="32"/>
      <c r="I14" s="32"/>
      <c r="J14" s="12"/>
      <c r="K14" s="12">
        <f>2094.917+49.749</f>
        <v>2144.6659999999997</v>
      </c>
      <c r="L14" s="12"/>
      <c r="M14" s="12">
        <f>2115.452+56.756</f>
        <v>2172.2080000000001</v>
      </c>
      <c r="N14" s="12"/>
      <c r="O14" s="12">
        <f>2074.977+50.333</f>
        <v>2125.31</v>
      </c>
      <c r="P14" s="12"/>
      <c r="Q14" s="12">
        <f>2049.658+50.333</f>
        <v>2099.991</v>
      </c>
      <c r="R14" s="12"/>
      <c r="S14" s="12">
        <f>2080.073+50.333</f>
        <v>2130.4059999999999</v>
      </c>
      <c r="T14" s="12"/>
      <c r="U14" s="12">
        <f>2104.583+50.333</f>
        <v>2154.9160000000002</v>
      </c>
      <c r="V14" s="12"/>
      <c r="W14" s="12">
        <f>2060.29+50.333</f>
        <v>2110.623</v>
      </c>
      <c r="X14" s="12"/>
      <c r="Y14" s="12">
        <f>2093.403+50.333</f>
        <v>2143.7359999999999</v>
      </c>
      <c r="Z14" s="12"/>
      <c r="AA14" s="12">
        <f>2086.408+50.333</f>
        <v>2136.741</v>
      </c>
      <c r="AB14" s="12"/>
      <c r="AC14" s="12">
        <f>2076.273+50.333</f>
        <v>2126.6060000000002</v>
      </c>
      <c r="AD14" s="12"/>
      <c r="AE14" s="12">
        <f>2048.128+50.333</f>
        <v>2098.4610000000002</v>
      </c>
      <c r="AF14" s="12"/>
      <c r="AG14" s="12">
        <f>-102.4/1810</f>
        <v>-5.6574585635359116E-2</v>
      </c>
      <c r="AH14" s="12"/>
      <c r="AI14" s="12">
        <f>2135.28+50.348</f>
        <v>2185.6280000000002</v>
      </c>
      <c r="AJ14" s="12"/>
      <c r="AK14" s="33">
        <f t="shared" si="0"/>
        <v>25629.235425414365</v>
      </c>
    </row>
    <row r="15" spans="1:37" x14ac:dyDescent="0.25">
      <c r="A15" s="20" t="s">
        <v>10</v>
      </c>
      <c r="C15" s="32"/>
      <c r="D15" s="28"/>
      <c r="E15" s="32"/>
      <c r="F15" s="28"/>
      <c r="G15" s="32"/>
      <c r="H15" s="28"/>
      <c r="I15" s="32"/>
      <c r="J15" s="12"/>
      <c r="K15" s="12">
        <f>3112.833+114</f>
        <v>3226.8330000000001</v>
      </c>
      <c r="L15" s="12"/>
      <c r="M15" s="12">
        <f>2718.833+121</f>
        <v>2839.8330000000001</v>
      </c>
      <c r="N15" s="39"/>
      <c r="O15" s="12">
        <f>2680.833+115</f>
        <v>2795.8330000000001</v>
      </c>
      <c r="P15" s="39"/>
      <c r="Q15" s="12">
        <f>2883.833+115</f>
        <v>2998.8330000000001</v>
      </c>
      <c r="R15" s="39"/>
      <c r="S15" s="12">
        <f>2855.833+115</f>
        <v>2970.8330000000001</v>
      </c>
      <c r="T15" s="12"/>
      <c r="U15" s="12">
        <f>2894.833+115</f>
        <v>3009.8330000000001</v>
      </c>
      <c r="V15" s="12"/>
      <c r="W15" s="12">
        <f>2934.833+114</f>
        <v>3048.8330000000001</v>
      </c>
      <c r="X15" s="39"/>
      <c r="Y15" s="12">
        <f>2992.833+114</f>
        <v>3106.8330000000001</v>
      </c>
      <c r="Z15" s="39"/>
      <c r="AA15" s="12">
        <f>2968.833+114</f>
        <v>3082.8330000000001</v>
      </c>
      <c r="AB15" s="39"/>
      <c r="AC15" s="39">
        <f>2915.833+114</f>
        <v>3029.8330000000001</v>
      </c>
      <c r="AD15" s="12"/>
      <c r="AE15" s="12">
        <f>2886.833+114</f>
        <v>3000.8330000000001</v>
      </c>
      <c r="AF15" s="12"/>
      <c r="AG15" s="43">
        <f>-155.5/1959</f>
        <v>-7.937723328228688E-2</v>
      </c>
      <c r="AH15" s="12"/>
      <c r="AI15" s="12">
        <f>2860.833+115</f>
        <v>2975.8330000000001</v>
      </c>
      <c r="AJ15" s="12"/>
      <c r="AK15" s="33">
        <f t="shared" si="0"/>
        <v>36086.916622766708</v>
      </c>
    </row>
    <row r="16" spans="1:37" x14ac:dyDescent="0.25">
      <c r="A16" s="20" t="s">
        <v>9</v>
      </c>
      <c r="C16" s="28"/>
      <c r="D16" s="28"/>
      <c r="E16" s="32"/>
      <c r="F16" s="28"/>
      <c r="G16" s="28"/>
      <c r="H16" s="28"/>
      <c r="I16" s="28"/>
      <c r="J16" s="12"/>
      <c r="K16" s="12">
        <f>935.32+33.7+208.1+8</f>
        <v>1185.1200000000001</v>
      </c>
      <c r="L16" s="12"/>
      <c r="M16" s="39">
        <f>935.32+33.7+208.1+8</f>
        <v>1185.1200000000001</v>
      </c>
      <c r="N16" s="39"/>
      <c r="O16" s="39">
        <f>935.32+33.7+208.1+8</f>
        <v>1185.1200000000001</v>
      </c>
      <c r="P16" s="39"/>
      <c r="Q16" s="39">
        <f>935.32+33.7+208.1+8</f>
        <v>1185.1200000000001</v>
      </c>
      <c r="R16" s="39"/>
      <c r="S16" s="39">
        <f>935.32+33.7+208.1+8</f>
        <v>1185.1200000000001</v>
      </c>
      <c r="T16" s="12"/>
      <c r="U16" s="39">
        <f>935.32+33.7+208.1+8</f>
        <v>1185.1200000000001</v>
      </c>
      <c r="V16" s="12"/>
      <c r="W16" s="39">
        <f>935.32+33.7+208.2+8</f>
        <v>1185.22</v>
      </c>
      <c r="X16" s="39"/>
      <c r="Y16" s="39">
        <f>935.32+33.7+208.1+8</f>
        <v>1185.1200000000001</v>
      </c>
      <c r="Z16" s="39"/>
      <c r="AA16" s="39">
        <f>935.32+33.7+208.1+8</f>
        <v>1185.1200000000001</v>
      </c>
      <c r="AB16" s="39"/>
      <c r="AC16" s="39">
        <f>935.32+33.7+208.2+8</f>
        <v>1185.22</v>
      </c>
      <c r="AD16" s="12"/>
      <c r="AE16" s="39">
        <f>935.32+33.7+208.2+8</f>
        <v>1185.22</v>
      </c>
      <c r="AF16" s="12"/>
      <c r="AG16" s="12">
        <f>(W16-M16)/M16</f>
        <v>8.4379640880171658E-5</v>
      </c>
      <c r="AH16" s="12"/>
      <c r="AI16" s="39">
        <f>935.32+33.7+208.2+8</f>
        <v>1185.22</v>
      </c>
      <c r="AJ16" s="12"/>
      <c r="AK16" s="33">
        <f t="shared" si="0"/>
        <v>14221.840084379641</v>
      </c>
    </row>
    <row r="17" spans="1:37" x14ac:dyDescent="0.25">
      <c r="A17" s="20" t="s">
        <v>11</v>
      </c>
      <c r="C17" s="28"/>
      <c r="D17" s="28"/>
      <c r="E17" s="32"/>
      <c r="F17" s="28"/>
      <c r="G17" s="28"/>
      <c r="H17" s="28"/>
      <c r="I17" s="28"/>
      <c r="J17" s="12"/>
      <c r="K17" s="12">
        <f>3074.9-92.794-39.921</f>
        <v>2942.1850000000004</v>
      </c>
      <c r="L17" s="12"/>
      <c r="M17" s="39">
        <f>3603.471-118.794-45.857</f>
        <v>3438.82</v>
      </c>
      <c r="N17" s="39"/>
      <c r="O17" s="12">
        <f>3275.955-94.794-40.477</f>
        <v>3140.6840000000002</v>
      </c>
      <c r="P17" s="39"/>
      <c r="Q17" s="12">
        <f>3468.866-98.794-40.477</f>
        <v>3329.5950000000003</v>
      </c>
      <c r="R17" s="39"/>
      <c r="S17" s="12">
        <f>3515.904-97.794-45.477</f>
        <v>3372.6330000000003</v>
      </c>
      <c r="T17" s="12"/>
      <c r="U17" s="12">
        <f>3591.606-96.794-40.477</f>
        <v>3454.3350000000005</v>
      </c>
      <c r="V17" s="12"/>
      <c r="W17" s="12">
        <f>3552.738-193.794-40.477</f>
        <v>3318.4670000000001</v>
      </c>
      <c r="X17" s="39"/>
      <c r="Y17" s="12">
        <f>3435.01-98.794-40.477</f>
        <v>3295.7390000000005</v>
      </c>
      <c r="Z17" s="39"/>
      <c r="AA17" s="12">
        <f>3424.314-97.794-45.477</f>
        <v>3281.0430000000001</v>
      </c>
      <c r="AB17" s="39"/>
      <c r="AC17" s="39">
        <f>3290.913-100.794-40.477</f>
        <v>3149.6420000000003</v>
      </c>
      <c r="AD17" s="12"/>
      <c r="AE17" s="12">
        <f>3212.154-98.794-40.477</f>
        <v>3072.8830000000003</v>
      </c>
      <c r="AF17" s="12"/>
      <c r="AG17" s="12"/>
      <c r="AH17" s="12"/>
      <c r="AI17" s="12">
        <f>3161.855-103.791-40.498</f>
        <v>3017.5659999999998</v>
      </c>
      <c r="AJ17" s="12"/>
      <c r="AK17" s="33">
        <f t="shared" si="0"/>
        <v>38813.592000000004</v>
      </c>
    </row>
    <row r="18" spans="1:37" x14ac:dyDescent="0.25">
      <c r="A18" s="20" t="s">
        <v>12</v>
      </c>
      <c r="C18" s="28"/>
      <c r="D18" s="28"/>
      <c r="E18" s="32"/>
      <c r="F18" s="28"/>
      <c r="G18" s="28"/>
      <c r="H18" s="28"/>
      <c r="I18" s="28"/>
      <c r="J18" s="12"/>
      <c r="K18" s="12">
        <f>83.083</f>
        <v>83.082999999999998</v>
      </c>
      <c r="L18" s="12"/>
      <c r="M18" s="12">
        <f>83.083</f>
        <v>83.082999999999998</v>
      </c>
      <c r="N18" s="39"/>
      <c r="O18" s="12">
        <f>83.083</f>
        <v>83.082999999999998</v>
      </c>
      <c r="P18" s="39"/>
      <c r="Q18" s="12">
        <f>83.083</f>
        <v>83.082999999999998</v>
      </c>
      <c r="R18" s="39"/>
      <c r="S18" s="12">
        <f>83.083</f>
        <v>83.082999999999998</v>
      </c>
      <c r="T18" s="12"/>
      <c r="U18" s="12">
        <f>83.083</f>
        <v>83.082999999999998</v>
      </c>
      <c r="V18" s="12"/>
      <c r="W18" s="12">
        <f>83.083</f>
        <v>83.082999999999998</v>
      </c>
      <c r="X18" s="39"/>
      <c r="Y18" s="12">
        <f>83.083</f>
        <v>83.082999999999998</v>
      </c>
      <c r="Z18" s="39"/>
      <c r="AA18" s="12">
        <f>83.083</f>
        <v>83.082999999999998</v>
      </c>
      <c r="AB18" s="39"/>
      <c r="AC18" s="12">
        <f>83.083</f>
        <v>83.082999999999998</v>
      </c>
      <c r="AD18" s="12"/>
      <c r="AE18" s="12">
        <f>83.083</f>
        <v>83.082999999999998</v>
      </c>
      <c r="AF18" s="12"/>
      <c r="AG18" s="12"/>
      <c r="AH18" s="12"/>
      <c r="AI18" s="12">
        <f>83.083</f>
        <v>83.082999999999998</v>
      </c>
      <c r="AK18" s="33">
        <f t="shared" si="0"/>
        <v>996.99599999999975</v>
      </c>
    </row>
    <row r="19" spans="1:37" x14ac:dyDescent="0.25">
      <c r="A19" s="20" t="s">
        <v>13</v>
      </c>
      <c r="C19" s="28"/>
      <c r="D19" s="28"/>
      <c r="E19" s="32"/>
      <c r="F19" s="28"/>
      <c r="G19" s="28"/>
      <c r="H19" s="28"/>
      <c r="I19" s="28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>
        <v>0</v>
      </c>
      <c r="AF19" s="12"/>
      <c r="AG19" s="12"/>
      <c r="AH19" s="12"/>
      <c r="AI19" s="12"/>
      <c r="AK19" s="33">
        <f t="shared" si="0"/>
        <v>0</v>
      </c>
    </row>
    <row r="20" spans="1:37" x14ac:dyDescent="0.25">
      <c r="A20" s="20" t="s">
        <v>14</v>
      </c>
      <c r="C20" s="28"/>
      <c r="D20" s="28"/>
      <c r="E20" s="32"/>
      <c r="F20" s="28"/>
      <c r="G20" s="28"/>
      <c r="H20" s="28"/>
      <c r="I20" s="28"/>
      <c r="J20" s="12"/>
      <c r="K20" s="12">
        <v>1545.596</v>
      </c>
      <c r="L20" s="12"/>
      <c r="M20" s="39">
        <v>2267.473</v>
      </c>
      <c r="N20" s="39"/>
      <c r="O20" s="39">
        <v>1551.393</v>
      </c>
      <c r="P20" s="39"/>
      <c r="Q20" s="39">
        <v>1561.9280000000001</v>
      </c>
      <c r="R20" s="39"/>
      <c r="S20" s="39">
        <v>1555.067</v>
      </c>
      <c r="T20" s="12"/>
      <c r="U20" s="12">
        <v>1575.9649999999999</v>
      </c>
      <c r="V20" s="12"/>
      <c r="W20" s="39">
        <v>2095.8989999999999</v>
      </c>
      <c r="X20" s="39"/>
      <c r="Y20" s="39">
        <v>1560.1890000000001</v>
      </c>
      <c r="Z20" s="39"/>
      <c r="AA20" s="39">
        <v>1564.38</v>
      </c>
      <c r="AB20" s="39"/>
      <c r="AC20" s="39">
        <v>1591.6289999999999</v>
      </c>
      <c r="AD20" s="12"/>
      <c r="AE20" s="12">
        <v>1572.472</v>
      </c>
      <c r="AF20" s="12"/>
      <c r="AG20" s="12"/>
      <c r="AH20" s="12"/>
      <c r="AI20" s="12">
        <v>1581.348</v>
      </c>
      <c r="AK20" s="33">
        <f t="shared" si="0"/>
        <v>20023.339</v>
      </c>
    </row>
    <row r="21" spans="1:37" x14ac:dyDescent="0.25">
      <c r="A21" s="20" t="s">
        <v>8</v>
      </c>
      <c r="C21" s="32"/>
      <c r="D21" s="32"/>
      <c r="E21" s="32"/>
      <c r="F21" s="32"/>
      <c r="G21" s="32"/>
      <c r="H21" s="32"/>
      <c r="I21" s="3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 t="shared" si="0"/>
        <v>0</v>
      </c>
    </row>
    <row r="22" spans="1:37" x14ac:dyDescent="0.25">
      <c r="A22" s="20" t="s">
        <v>15</v>
      </c>
      <c r="C22" s="32"/>
      <c r="D22" s="32"/>
      <c r="E22" s="32"/>
      <c r="F22" s="32"/>
      <c r="G22" s="32"/>
      <c r="H22" s="32"/>
      <c r="I22" s="3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/>
      <c r="AK22" s="33">
        <f t="shared" si="0"/>
        <v>0</v>
      </c>
    </row>
    <row r="23" spans="1:37" x14ac:dyDescent="0.25">
      <c r="C23" s="32"/>
      <c r="D23" s="32"/>
      <c r="E23" s="32"/>
      <c r="F23" s="32"/>
      <c r="G23" s="32"/>
      <c r="H23" s="32"/>
      <c r="I23" s="3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</row>
    <row r="24" spans="1:37" ht="13.8" thickBot="1" x14ac:dyDescent="0.3">
      <c r="A24" s="20" t="s">
        <v>34</v>
      </c>
      <c r="C24" s="34">
        <f>SUM(C13:C23)</f>
        <v>0</v>
      </c>
      <c r="D24" s="32"/>
      <c r="E24" s="34">
        <f>SUM(E13:E23)</f>
        <v>0</v>
      </c>
      <c r="F24" s="35"/>
      <c r="G24" s="34">
        <f>SUM(G13:G23)</f>
        <v>0</v>
      </c>
      <c r="H24" s="35"/>
      <c r="I24" s="34">
        <f>SUM(I13:I23)</f>
        <v>0</v>
      </c>
      <c r="J24" s="12"/>
      <c r="K24" s="16">
        <f>SUM(K13:K23)</f>
        <v>18347.483</v>
      </c>
      <c r="L24" s="12"/>
      <c r="M24" s="16">
        <f>SUM(M13:M23)</f>
        <v>19756.537000000004</v>
      </c>
      <c r="N24" s="12"/>
      <c r="O24" s="16">
        <f>SUM(O13:O23)</f>
        <v>18564.422999999999</v>
      </c>
      <c r="P24" s="14"/>
      <c r="Q24" s="16">
        <f>SUM(Q13:Q23)</f>
        <v>18764.55</v>
      </c>
      <c r="R24" s="14"/>
      <c r="S24" s="16">
        <f>SUM(S13:S23)</f>
        <v>18811.142</v>
      </c>
      <c r="T24" s="12"/>
      <c r="U24" s="16">
        <f>SUM(U13:U23)</f>
        <v>19423.252</v>
      </c>
      <c r="V24" s="12"/>
      <c r="W24" s="16">
        <f>SUM(W13:W23)</f>
        <v>21235.125</v>
      </c>
      <c r="X24" s="12"/>
      <c r="Y24" s="16">
        <f>SUM(Y13:Y23)</f>
        <v>19980.7</v>
      </c>
      <c r="Z24" s="14"/>
      <c r="AA24" s="16">
        <f>SUM(AA13:AA23)</f>
        <v>20241.2</v>
      </c>
      <c r="AB24" s="14"/>
      <c r="AC24" s="16">
        <f>SUM(AC13:AC23)</f>
        <v>20051.012999999999</v>
      </c>
      <c r="AD24" s="12"/>
      <c r="AE24" s="16">
        <f>SUM(AE13:AE23)</f>
        <v>19062.952000000001</v>
      </c>
      <c r="AF24" s="12"/>
      <c r="AG24" s="17">
        <f>(W24-M24)/M24</f>
        <v>7.4840443950273061E-2</v>
      </c>
      <c r="AI24" s="16">
        <f>SUM(AI13:AI23)</f>
        <v>19548.678</v>
      </c>
      <c r="AK24" s="16">
        <f>SUM(AK13:AK23)</f>
        <v>233786.87843182549</v>
      </c>
    </row>
    <row r="25" spans="1:37" ht="25.5" customHeight="1" thickTop="1" x14ac:dyDescent="0.25">
      <c r="A25" s="20"/>
      <c r="AE25" s="22"/>
    </row>
    <row r="26" spans="1:37" x14ac:dyDescent="0.25">
      <c r="A26"/>
      <c r="B26"/>
      <c r="C26" s="28"/>
      <c r="D26" s="28"/>
      <c r="E26" s="28"/>
      <c r="F26" s="28"/>
      <c r="G26" s="28"/>
      <c r="H26" s="28"/>
      <c r="I26" s="2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7" x14ac:dyDescent="0.25">
      <c r="A27" t="s">
        <v>16</v>
      </c>
      <c r="B27"/>
      <c r="C27" s="28"/>
      <c r="D27" s="28"/>
      <c r="E27" s="28"/>
      <c r="F27" s="28"/>
      <c r="G27" s="28"/>
      <c r="H27" s="28"/>
      <c r="I27" s="28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7" x14ac:dyDescent="0.25">
      <c r="A28"/>
      <c r="B28"/>
      <c r="C28" s="28"/>
      <c r="D28" s="28"/>
      <c r="E28" s="28"/>
      <c r="F28" s="28"/>
      <c r="G28" s="28"/>
      <c r="H28" s="28"/>
      <c r="I28" s="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7" x14ac:dyDescent="0.25">
      <c r="A29" s="23"/>
      <c r="B29"/>
      <c r="C29" s="28"/>
      <c r="D29" s="28"/>
      <c r="E29" s="28"/>
      <c r="F29" s="28"/>
      <c r="G29" s="28"/>
      <c r="H29" s="28"/>
      <c r="I29" s="2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7" x14ac:dyDescent="0.25">
      <c r="A30"/>
      <c r="B30"/>
      <c r="C30" s="28"/>
      <c r="D30" s="28"/>
      <c r="E30" s="28"/>
      <c r="F30" s="28"/>
      <c r="G30" s="28"/>
      <c r="H30" s="28"/>
      <c r="I30" s="28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7" x14ac:dyDescent="0.25">
      <c r="A31"/>
      <c r="B31"/>
      <c r="C31" s="28"/>
      <c r="D31" s="28"/>
      <c r="E31" s="28"/>
      <c r="F31" s="28"/>
      <c r="G31" s="28"/>
      <c r="H31" s="28"/>
      <c r="I31" s="28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7" x14ac:dyDescent="0.25">
      <c r="A32"/>
      <c r="B32"/>
      <c r="C32" s="28"/>
      <c r="D32" s="28"/>
      <c r="E32" s="28"/>
      <c r="F32" s="28"/>
      <c r="G32" s="28"/>
      <c r="H32" s="28"/>
      <c r="I32" s="2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5">
      <c r="A33"/>
      <c r="B33"/>
      <c r="C33" s="28"/>
      <c r="D33" s="28"/>
      <c r="E33" s="28"/>
      <c r="F33" s="28"/>
      <c r="G33" s="28"/>
      <c r="H33" s="28"/>
      <c r="I33" s="28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5">
      <c r="A34"/>
      <c r="B34"/>
      <c r="C34" s="28"/>
      <c r="D34" s="28"/>
      <c r="E34" s="28"/>
      <c r="F34" s="28"/>
      <c r="G34" s="28"/>
      <c r="H34" s="28"/>
      <c r="I34" s="28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5">
      <c r="A35"/>
      <c r="B35"/>
      <c r="C35" s="28"/>
      <c r="D35" s="28"/>
      <c r="E35" s="28"/>
      <c r="F35" s="28"/>
      <c r="G35" s="28"/>
      <c r="H35" s="28"/>
      <c r="I35" s="2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/>
      <c r="B36"/>
      <c r="C36" s="28"/>
      <c r="D36" s="28"/>
      <c r="E36" s="28"/>
      <c r="F36" s="28"/>
      <c r="G36" s="28"/>
      <c r="H36" s="28"/>
      <c r="I36" s="28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5">
      <c r="A37"/>
      <c r="B37"/>
      <c r="C37" s="28"/>
      <c r="D37" s="28"/>
      <c r="E37" s="28"/>
      <c r="F37" s="28"/>
      <c r="G37" s="28"/>
      <c r="H37" s="28"/>
      <c r="I37" s="2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5">
      <c r="A38"/>
      <c r="B38"/>
      <c r="C38" s="28"/>
      <c r="D38" s="28"/>
      <c r="E38" s="28"/>
      <c r="F38" s="28"/>
      <c r="G38" s="28"/>
      <c r="H38" s="28"/>
      <c r="I38" s="2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5">
      <c r="A39"/>
      <c r="B39"/>
      <c r="C39" s="28"/>
      <c r="D39" s="28"/>
      <c r="E39" s="28"/>
      <c r="F39" s="28"/>
      <c r="G39" s="28"/>
      <c r="H39" s="28"/>
      <c r="I39" s="28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5">
      <c r="A40"/>
      <c r="B40"/>
      <c r="C40" s="28"/>
      <c r="D40" s="28"/>
      <c r="E40" s="28"/>
      <c r="F40" s="28"/>
      <c r="G40" s="28"/>
      <c r="H40" s="28"/>
      <c r="I40" s="2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/>
      <c r="B41"/>
      <c r="C41" s="28"/>
      <c r="D41" s="28"/>
      <c r="E41" s="28"/>
      <c r="F41" s="28"/>
      <c r="G41" s="28"/>
      <c r="H41" s="28"/>
      <c r="I41" s="28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5">
      <c r="A42"/>
      <c r="B42"/>
      <c r="C42" s="28"/>
      <c r="D42" s="28"/>
      <c r="E42" s="28"/>
      <c r="F42" s="28"/>
      <c r="G42" s="28"/>
      <c r="H42" s="28"/>
      <c r="I42" s="28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/>
      <c r="B43"/>
      <c r="C43" s="28"/>
      <c r="D43" s="28"/>
      <c r="E43" s="28"/>
      <c r="F43" s="28"/>
      <c r="G43" s="28"/>
      <c r="H43" s="28"/>
      <c r="I43" s="28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/>
      <c r="B44"/>
      <c r="C44" s="28"/>
      <c r="D44" s="28"/>
      <c r="E44" s="28"/>
      <c r="F44" s="28"/>
      <c r="G44" s="28"/>
      <c r="H44" s="28"/>
      <c r="I44" s="28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5">
      <c r="A45"/>
      <c r="B45"/>
      <c r="C45" s="28"/>
      <c r="D45" s="28"/>
      <c r="E45" s="28"/>
      <c r="F45" s="28"/>
      <c r="G45" s="28"/>
      <c r="H45" s="28"/>
      <c r="I45" s="28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5">
      <c r="A46"/>
      <c r="B46"/>
      <c r="C46" s="28"/>
      <c r="D46" s="28"/>
      <c r="E46" s="28"/>
      <c r="F46" s="28"/>
      <c r="G46" s="28"/>
      <c r="H46" s="28"/>
      <c r="I46" s="28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18" t="str">
        <f ca="1">CELL("filename")</f>
        <v>L:\ETS Operations\4th Qtr Fcst\4th Qtr Fcst Oct Act\LE Files\[OM EST - OPERATIONS - 2001 - 2002 REVISED FORMAT.xls]Net</v>
      </c>
      <c r="B47" s="18"/>
      <c r="C47" s="36"/>
      <c r="D47" s="36"/>
      <c r="E47" s="36"/>
      <c r="F47" s="36"/>
      <c r="G47" s="36"/>
      <c r="H47" s="36"/>
      <c r="I47" s="36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5" x14ac:dyDescent="0.25">
      <c r="A48" s="19">
        <f ca="1">NOW()</f>
        <v>37221.738514583332</v>
      </c>
      <c r="B48" s="18"/>
      <c r="C48" s="36"/>
      <c r="D48" s="36"/>
      <c r="E48" s="36"/>
      <c r="F48" s="36"/>
      <c r="G48" s="36"/>
      <c r="H48" s="36"/>
      <c r="I48" s="36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5">
      <c r="A49" s="18"/>
      <c r="B49" s="18"/>
      <c r="C49" s="36"/>
      <c r="D49" s="36"/>
      <c r="E49" s="36"/>
      <c r="F49" s="36"/>
      <c r="G49" s="36"/>
      <c r="H49" s="36"/>
      <c r="I49" s="36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C50" s="32"/>
      <c r="D50" s="32"/>
      <c r="E50" s="32"/>
      <c r="F50" s="32"/>
      <c r="G50" s="32"/>
      <c r="H50" s="32"/>
      <c r="I50" s="3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5">
      <c r="C51" s="32"/>
      <c r="D51" s="32"/>
      <c r="E51" s="32"/>
      <c r="F51" s="32"/>
      <c r="G51" s="32"/>
      <c r="H51" s="32"/>
      <c r="I51" s="3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5">
      <c r="C52" s="32"/>
      <c r="D52" s="32"/>
      <c r="E52" s="32"/>
      <c r="F52" s="32"/>
      <c r="G52" s="32"/>
      <c r="H52" s="32"/>
      <c r="I52" s="3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5">
      <c r="C53" s="32"/>
      <c r="D53" s="32"/>
      <c r="E53" s="32"/>
      <c r="F53" s="32"/>
      <c r="G53" s="32"/>
      <c r="H53" s="32"/>
      <c r="I53" s="3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5">
      <c r="C54" s="32"/>
      <c r="D54" s="32"/>
      <c r="E54" s="32"/>
      <c r="F54" s="32"/>
      <c r="G54" s="32"/>
      <c r="H54" s="32"/>
      <c r="I54" s="3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5">
      <c r="C55" s="32"/>
      <c r="D55" s="32"/>
      <c r="E55" s="32"/>
      <c r="F55" s="32"/>
      <c r="G55" s="32"/>
      <c r="H55" s="32"/>
      <c r="I55" s="3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5">
      <c r="C56" s="32"/>
      <c r="D56" s="32"/>
      <c r="E56" s="32"/>
      <c r="F56" s="32"/>
      <c r="G56" s="32"/>
      <c r="H56" s="32"/>
      <c r="I56" s="3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5">
      <c r="C57" s="32"/>
      <c r="D57" s="32"/>
      <c r="E57" s="32"/>
      <c r="F57" s="32"/>
      <c r="G57" s="32"/>
      <c r="H57" s="32"/>
      <c r="I57" s="3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5">
      <c r="C58" s="32"/>
      <c r="D58" s="32"/>
      <c r="E58" s="32"/>
      <c r="F58" s="32"/>
      <c r="G58" s="32"/>
      <c r="H58" s="32"/>
      <c r="I58" s="3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5">
      <c r="C59" s="32"/>
      <c r="D59" s="32"/>
      <c r="E59" s="32"/>
      <c r="F59" s="32"/>
      <c r="G59" s="32"/>
      <c r="H59" s="32"/>
      <c r="I59" s="3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5">
      <c r="C60" s="32"/>
      <c r="D60" s="32"/>
      <c r="E60" s="32"/>
      <c r="F60" s="32"/>
      <c r="G60" s="32"/>
      <c r="H60" s="32"/>
      <c r="I60" s="3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5">
      <c r="C61" s="32"/>
      <c r="D61" s="32"/>
      <c r="E61" s="32"/>
      <c r="F61" s="32"/>
      <c r="G61" s="32"/>
      <c r="H61" s="32"/>
      <c r="I61" s="3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5">
      <c r="C62" s="32"/>
      <c r="D62" s="32"/>
      <c r="E62" s="32"/>
      <c r="F62" s="32"/>
      <c r="G62" s="32"/>
      <c r="H62" s="32"/>
      <c r="I62" s="3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5">
      <c r="C63" s="32"/>
      <c r="D63" s="32"/>
      <c r="E63" s="32"/>
      <c r="F63" s="32"/>
      <c r="G63" s="32"/>
      <c r="H63" s="32"/>
      <c r="I63" s="3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5">
      <c r="C64" s="32"/>
      <c r="D64" s="32"/>
      <c r="E64" s="32"/>
      <c r="F64" s="32"/>
      <c r="G64" s="32"/>
      <c r="H64" s="32"/>
      <c r="I64" s="3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5">
      <c r="C65" s="32"/>
      <c r="D65" s="32"/>
      <c r="E65" s="32"/>
      <c r="F65" s="32"/>
      <c r="G65" s="32"/>
      <c r="H65" s="32"/>
      <c r="I65" s="3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5">
      <c r="C66" s="32"/>
      <c r="D66" s="32"/>
      <c r="E66" s="32"/>
      <c r="F66" s="32"/>
      <c r="G66" s="32"/>
      <c r="H66" s="32"/>
      <c r="I66" s="3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5">
      <c r="C67" s="32"/>
      <c r="D67" s="32"/>
      <c r="E67" s="32"/>
      <c r="F67" s="32"/>
      <c r="G67" s="32"/>
      <c r="H67" s="32"/>
      <c r="I67" s="3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5">
      <c r="C68" s="32"/>
      <c r="D68" s="32"/>
      <c r="E68" s="32"/>
      <c r="F68" s="32"/>
      <c r="G68" s="32"/>
      <c r="H68" s="32"/>
      <c r="I68" s="3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5">
      <c r="C69" s="32"/>
      <c r="D69" s="32"/>
      <c r="E69" s="32"/>
      <c r="F69" s="32"/>
      <c r="G69" s="32"/>
      <c r="H69" s="32"/>
      <c r="I69" s="3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5">
      <c r="C70" s="32"/>
      <c r="D70" s="32"/>
      <c r="E70" s="32"/>
      <c r="F70" s="32"/>
      <c r="G70" s="32"/>
      <c r="H70" s="32"/>
      <c r="I70" s="3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5">
      <c r="C71" s="32"/>
      <c r="D71" s="32"/>
      <c r="E71" s="32"/>
      <c r="F71" s="32"/>
      <c r="G71" s="32"/>
      <c r="H71" s="32"/>
      <c r="I71" s="3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5">
      <c r="C72" s="32"/>
      <c r="D72" s="32"/>
      <c r="E72" s="32"/>
      <c r="F72" s="32"/>
      <c r="G72" s="32"/>
      <c r="H72" s="32"/>
      <c r="I72" s="3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5">
      <c r="C73" s="32"/>
      <c r="D73" s="32"/>
      <c r="E73" s="32"/>
      <c r="F73" s="32"/>
      <c r="G73" s="32"/>
      <c r="H73" s="32"/>
      <c r="I73" s="3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5">
      <c r="C74" s="32"/>
      <c r="D74" s="32"/>
      <c r="E74" s="32"/>
      <c r="F74" s="32"/>
      <c r="G74" s="32"/>
      <c r="H74" s="32"/>
      <c r="I74" s="3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5">
      <c r="C75" s="32"/>
      <c r="D75" s="32"/>
      <c r="E75" s="32"/>
      <c r="F75" s="32"/>
      <c r="G75" s="32"/>
      <c r="H75" s="32"/>
      <c r="I75" s="3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5">
      <c r="C76" s="32"/>
      <c r="D76" s="32"/>
      <c r="E76" s="32"/>
      <c r="F76" s="32"/>
      <c r="G76" s="32"/>
      <c r="H76" s="32"/>
      <c r="I76" s="3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5">
      <c r="C77" s="32"/>
      <c r="D77" s="32"/>
      <c r="E77" s="32"/>
      <c r="F77" s="32"/>
      <c r="G77" s="32"/>
      <c r="H77" s="32"/>
      <c r="I77" s="3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5">
      <c r="C78" s="32"/>
      <c r="D78" s="32"/>
      <c r="E78" s="32"/>
      <c r="F78" s="32"/>
      <c r="G78" s="32"/>
      <c r="H78" s="32"/>
      <c r="I78" s="3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5">
      <c r="C79" s="32"/>
      <c r="D79" s="32"/>
      <c r="E79" s="32"/>
      <c r="F79" s="32"/>
      <c r="G79" s="32"/>
      <c r="H79" s="32"/>
      <c r="I79" s="3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5">
      <c r="C80" s="32"/>
      <c r="D80" s="32"/>
      <c r="E80" s="32"/>
      <c r="F80" s="32"/>
      <c r="G80" s="32"/>
      <c r="H80" s="32"/>
      <c r="I80" s="3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5">
      <c r="C81" s="32"/>
      <c r="D81" s="32"/>
      <c r="E81" s="32"/>
      <c r="F81" s="32"/>
      <c r="G81" s="32"/>
      <c r="H81" s="32"/>
      <c r="I81" s="3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5">
      <c r="C82" s="32"/>
      <c r="D82" s="32"/>
      <c r="E82" s="32"/>
      <c r="F82" s="32"/>
      <c r="G82" s="32"/>
      <c r="H82" s="32"/>
      <c r="I82" s="3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5">
      <c r="C83" s="32"/>
      <c r="D83" s="32"/>
      <c r="E83" s="32"/>
      <c r="F83" s="32"/>
      <c r="G83" s="32"/>
      <c r="H83" s="32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5">
      <c r="C84" s="32"/>
      <c r="D84" s="32"/>
      <c r="E84" s="32"/>
      <c r="F84" s="32"/>
      <c r="G84" s="32"/>
      <c r="H84" s="32"/>
      <c r="I84" s="3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5">
      <c r="C85" s="32"/>
      <c r="D85" s="32"/>
      <c r="E85" s="32"/>
      <c r="F85" s="32"/>
      <c r="G85" s="32"/>
      <c r="H85" s="32"/>
      <c r="I85" s="3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5">
      <c r="C86" s="32"/>
      <c r="D86" s="32"/>
      <c r="E86" s="32"/>
      <c r="F86" s="32"/>
      <c r="G86" s="32"/>
      <c r="H86" s="32"/>
      <c r="I86" s="3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5">
      <c r="C87" s="32"/>
      <c r="D87" s="32"/>
      <c r="E87" s="32"/>
      <c r="F87" s="32"/>
      <c r="G87" s="32"/>
      <c r="H87" s="32"/>
      <c r="I87" s="3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5">
      <c r="C88" s="32"/>
      <c r="D88" s="32"/>
      <c r="E88" s="32"/>
      <c r="F88" s="32"/>
      <c r="G88" s="32"/>
      <c r="H88" s="32"/>
      <c r="I88" s="3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5">
      <c r="C89" s="32"/>
      <c r="D89" s="32"/>
      <c r="E89" s="32"/>
      <c r="F89" s="32"/>
      <c r="G89" s="32"/>
      <c r="H89" s="32"/>
      <c r="I89" s="3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5">
      <c r="C90" s="32"/>
      <c r="D90" s="32"/>
      <c r="E90" s="32"/>
      <c r="F90" s="32"/>
      <c r="G90" s="32"/>
      <c r="H90" s="32"/>
      <c r="I90" s="3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5">
      <c r="C91" s="32"/>
      <c r="D91" s="32"/>
      <c r="E91" s="32"/>
      <c r="F91" s="32"/>
      <c r="G91" s="32"/>
      <c r="H91" s="32"/>
      <c r="I91" s="3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5">
      <c r="C92" s="32"/>
      <c r="D92" s="32"/>
      <c r="E92" s="32"/>
      <c r="F92" s="32"/>
      <c r="G92" s="32"/>
      <c r="H92" s="32"/>
      <c r="I92" s="3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5">
      <c r="C93" s="32"/>
      <c r="D93" s="32"/>
      <c r="E93" s="32"/>
      <c r="F93" s="32"/>
      <c r="G93" s="32"/>
      <c r="H93" s="32"/>
      <c r="I93" s="3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5">
      <c r="C94" s="32"/>
      <c r="D94" s="32"/>
      <c r="E94" s="32"/>
      <c r="F94" s="32"/>
      <c r="G94" s="32"/>
      <c r="H94" s="32"/>
      <c r="I94" s="3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5">
      <c r="C95" s="32"/>
      <c r="D95" s="32"/>
      <c r="E95" s="32"/>
      <c r="F95" s="32"/>
      <c r="G95" s="32"/>
      <c r="H95" s="32"/>
      <c r="I95" s="3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5">
      <c r="C96" s="32"/>
      <c r="D96" s="32"/>
      <c r="E96" s="32"/>
      <c r="F96" s="32"/>
      <c r="G96" s="32"/>
      <c r="H96" s="32"/>
      <c r="I96" s="3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5">
      <c r="C97" s="32"/>
      <c r="D97" s="32"/>
      <c r="E97" s="32"/>
      <c r="F97" s="32"/>
      <c r="G97" s="32"/>
      <c r="H97" s="32"/>
      <c r="I97" s="3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5">
      <c r="C98" s="32"/>
      <c r="D98" s="32"/>
      <c r="E98" s="32"/>
      <c r="F98" s="32"/>
      <c r="G98" s="32"/>
      <c r="H98" s="32"/>
      <c r="I98" s="3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5">
      <c r="C99" s="32"/>
      <c r="D99" s="32"/>
      <c r="E99" s="32"/>
      <c r="F99" s="32"/>
      <c r="G99" s="32"/>
      <c r="H99" s="32"/>
      <c r="I99" s="3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5">
      <c r="C100" s="32"/>
      <c r="D100" s="32"/>
      <c r="E100" s="32"/>
      <c r="F100" s="32"/>
      <c r="G100" s="32"/>
      <c r="H100" s="32"/>
      <c r="I100" s="3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5">
      <c r="C101" s="32"/>
      <c r="D101" s="32"/>
      <c r="E101" s="32"/>
      <c r="F101" s="32"/>
      <c r="G101" s="32"/>
      <c r="H101" s="32"/>
      <c r="I101" s="3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5">
      <c r="C102" s="32"/>
      <c r="D102" s="32"/>
      <c r="E102" s="32"/>
      <c r="F102" s="32"/>
      <c r="G102" s="32"/>
      <c r="H102" s="32"/>
      <c r="I102" s="3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5">
      <c r="C103" s="32"/>
      <c r="D103" s="32"/>
      <c r="E103" s="32"/>
      <c r="F103" s="32"/>
      <c r="G103" s="32"/>
      <c r="H103" s="32"/>
      <c r="I103" s="3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5">
      <c r="C104" s="32"/>
      <c r="D104" s="32"/>
      <c r="E104" s="32"/>
      <c r="F104" s="32"/>
      <c r="G104" s="32"/>
      <c r="H104" s="32"/>
      <c r="I104" s="3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5">
      <c r="C105" s="32"/>
      <c r="D105" s="32"/>
      <c r="E105" s="32"/>
      <c r="F105" s="32"/>
      <c r="G105" s="32"/>
      <c r="H105" s="32"/>
      <c r="I105" s="3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5">
      <c r="C106" s="32"/>
      <c r="D106" s="32"/>
      <c r="E106" s="32"/>
      <c r="F106" s="32"/>
      <c r="G106" s="32"/>
      <c r="H106" s="32"/>
      <c r="I106" s="3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5">
      <c r="C107" s="32"/>
      <c r="D107" s="32"/>
      <c r="E107" s="32"/>
      <c r="F107" s="32"/>
      <c r="G107" s="32"/>
      <c r="H107" s="32"/>
      <c r="I107" s="3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5">
      <c r="C108" s="32"/>
      <c r="D108" s="32"/>
      <c r="E108" s="32"/>
      <c r="F108" s="32"/>
      <c r="G108" s="32"/>
      <c r="H108" s="32"/>
      <c r="I108" s="3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5">
      <c r="C109" s="32"/>
      <c r="D109" s="32"/>
      <c r="E109" s="32"/>
      <c r="F109" s="32"/>
      <c r="G109" s="32"/>
      <c r="H109" s="32"/>
      <c r="I109" s="3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" right="0" top="0.75" bottom="1" header="0" footer="0.5"/>
  <pageSetup paperSize="5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9"/>
  <sheetViews>
    <sheetView showGridLines="0" workbookViewId="0">
      <selection activeCell="A7" sqref="A7"/>
    </sheetView>
  </sheetViews>
  <sheetFormatPr defaultColWidth="9.109375" defaultRowHeight="13.2" x14ac:dyDescent="0.25"/>
  <cols>
    <col min="1" max="1" width="23.109375" style="2" customWidth="1"/>
    <col min="2" max="2" width="2.109375" style="2" customWidth="1"/>
    <col min="3" max="3" width="6.6640625" style="2" customWidth="1"/>
    <col min="4" max="4" width="1.6640625" style="2" customWidth="1"/>
    <col min="5" max="5" width="6.6640625" style="2" customWidth="1"/>
    <col min="6" max="6" width="3.6640625" style="2" customWidth="1"/>
    <col min="7" max="7" width="6.6640625" style="2" customWidth="1"/>
    <col min="8" max="8" width="1.6640625" style="2" customWidth="1"/>
    <col min="9" max="9" width="6.6640625" style="2" customWidth="1"/>
    <col min="10" max="10" width="1.6640625" style="2" customWidth="1"/>
    <col min="11" max="11" width="10.6640625" style="2" customWidth="1"/>
    <col min="12" max="12" width="1.6640625" style="2" customWidth="1"/>
    <col min="13" max="13" width="10.6640625" style="2" customWidth="1"/>
    <col min="14" max="14" width="1.6640625" style="2" customWidth="1"/>
    <col min="15" max="15" width="10.6640625" style="2" customWidth="1"/>
    <col min="16" max="16" width="1.6640625" style="2" customWidth="1"/>
    <col min="17" max="17" width="10.6640625" style="2" customWidth="1"/>
    <col min="18" max="18" width="1.6640625" style="2" customWidth="1"/>
    <col min="19" max="19" width="10.6640625" style="2" customWidth="1"/>
    <col min="20" max="20" width="1.6640625" style="2" customWidth="1"/>
    <col min="21" max="21" width="10.6640625" style="2" customWidth="1"/>
    <col min="22" max="22" width="1.6640625" style="2" customWidth="1"/>
    <col min="23" max="23" width="10.6640625" style="2" customWidth="1"/>
    <col min="24" max="24" width="1.6640625" style="2" customWidth="1"/>
    <col min="25" max="25" width="10.6640625" style="2" customWidth="1"/>
    <col min="26" max="26" width="1.6640625" style="2" customWidth="1"/>
    <col min="27" max="27" width="10.6640625" style="2" customWidth="1"/>
    <col min="28" max="28" width="1.6640625" style="2" customWidth="1"/>
    <col min="29" max="29" width="10.6640625" style="2" customWidth="1"/>
    <col min="30" max="30" width="1.6640625" style="2" customWidth="1"/>
    <col min="31" max="31" width="10.6640625" style="2" customWidth="1"/>
    <col min="32" max="32" width="1.6640625" style="2" customWidth="1"/>
    <col min="33" max="33" width="11.6640625" style="2" hidden="1" customWidth="1"/>
    <col min="34" max="34" width="1.88671875" style="2" hidden="1" customWidth="1"/>
    <col min="35" max="35" width="10.6640625" style="2" customWidth="1"/>
    <col min="36" max="36" width="1.6640625" style="2" customWidth="1"/>
    <col min="37" max="37" width="10.6640625" style="2" customWidth="1"/>
    <col min="38" max="16384" width="9.109375" style="2"/>
  </cols>
  <sheetData>
    <row r="1" spans="1:37" ht="15.6" x14ac:dyDescent="0.3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6" x14ac:dyDescent="0.3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6" x14ac:dyDescent="0.3">
      <c r="A3" s="1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6" x14ac:dyDescent="0.3">
      <c r="A4" s="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5">
      <c r="A6" s="4"/>
    </row>
    <row r="8" spans="1:37" s="11" customFormat="1" x14ac:dyDescent="0.25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5">
      <c r="E9" s="6"/>
      <c r="O9" s="6"/>
      <c r="Y9" s="6"/>
    </row>
    <row r="10" spans="1:37" x14ac:dyDescent="0.25">
      <c r="C10" s="6"/>
      <c r="D10"/>
      <c r="E10" s="6"/>
      <c r="F10"/>
      <c r="G10" s="6"/>
      <c r="H10" s="9"/>
      <c r="I10" s="6"/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J10" s="6"/>
      <c r="AK10" s="6" t="s">
        <v>2</v>
      </c>
    </row>
    <row r="11" spans="1:37" x14ac:dyDescent="0.25">
      <c r="C11" s="6"/>
      <c r="D11" s="6"/>
      <c r="E11" s="6"/>
      <c r="F11" s="6"/>
      <c r="G11" s="6"/>
      <c r="H11" s="6"/>
      <c r="I11" s="6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6"/>
      <c r="AK11" s="6">
        <v>2002</v>
      </c>
    </row>
    <row r="12" spans="1:37" x14ac:dyDescent="0.25">
      <c r="A12" s="5" t="s">
        <v>4</v>
      </c>
      <c r="C12" s="7"/>
      <c r="D12" s="6"/>
      <c r="E12" s="7"/>
      <c r="F12" s="10"/>
      <c r="G12" s="7"/>
      <c r="H12" s="10"/>
      <c r="I12" s="7"/>
      <c r="J12" s="6"/>
      <c r="K12" s="7" t="s">
        <v>25</v>
      </c>
      <c r="M12" s="7" t="s">
        <v>26</v>
      </c>
      <c r="N12" s="6"/>
      <c r="O12" s="7" t="s">
        <v>27</v>
      </c>
      <c r="P12" s="10"/>
      <c r="Q12" s="7" t="s">
        <v>28</v>
      </c>
      <c r="R12" s="10"/>
      <c r="S12" s="7" t="s">
        <v>29</v>
      </c>
      <c r="T12" s="6"/>
      <c r="U12" s="7" t="s">
        <v>30</v>
      </c>
      <c r="W12" s="7" t="s">
        <v>31</v>
      </c>
      <c r="Y12" s="7" t="s">
        <v>32</v>
      </c>
      <c r="AA12" s="7" t="s">
        <v>33</v>
      </c>
      <c r="AB12" s="10"/>
      <c r="AC12" s="7" t="s">
        <v>19</v>
      </c>
      <c r="AD12" s="6"/>
      <c r="AE12" s="7" t="s">
        <v>23</v>
      </c>
      <c r="AF12" s="11"/>
      <c r="AG12" s="7" t="s">
        <v>5</v>
      </c>
      <c r="AH12" s="11"/>
      <c r="AI12" s="7" t="s">
        <v>24</v>
      </c>
      <c r="AJ12" s="10"/>
      <c r="AK12" s="7" t="s">
        <v>39</v>
      </c>
    </row>
    <row r="13" spans="1:37" x14ac:dyDescent="0.25">
      <c r="A13" s="20" t="s">
        <v>6</v>
      </c>
      <c r="C13" s="12"/>
      <c r="D13" s="12"/>
      <c r="E13" s="12"/>
      <c r="F13" s="12"/>
      <c r="G13" s="12"/>
      <c r="H13" s="12"/>
      <c r="I13" s="12"/>
      <c r="J13" s="12"/>
      <c r="K13" s="12">
        <v>6774</v>
      </c>
      <c r="L13" s="12"/>
      <c r="M13" s="12">
        <v>7368</v>
      </c>
      <c r="N13" s="12"/>
      <c r="O13" s="12">
        <v>7233</v>
      </c>
      <c r="P13" s="12"/>
      <c r="Q13" s="12">
        <v>7068</v>
      </c>
      <c r="R13" s="12"/>
      <c r="S13" s="12">
        <v>7066</v>
      </c>
      <c r="T13" s="12"/>
      <c r="U13" s="12">
        <v>7433</v>
      </c>
      <c r="V13" s="12"/>
      <c r="W13" s="12">
        <v>9008</v>
      </c>
      <c r="X13" s="12"/>
      <c r="Y13" s="12">
        <v>8115</v>
      </c>
      <c r="Z13" s="12"/>
      <c r="AA13" s="12">
        <v>8453</v>
      </c>
      <c r="AB13" s="12"/>
      <c r="AC13" s="12">
        <v>8453</v>
      </c>
      <c r="AD13" s="12"/>
      <c r="AE13" s="12">
        <v>7612</v>
      </c>
      <c r="AF13" s="12"/>
      <c r="AG13" s="12">
        <f>-448.4/11017</f>
        <v>-4.070073522737587E-2</v>
      </c>
      <c r="AH13" s="12"/>
      <c r="AI13" s="12">
        <v>8068</v>
      </c>
      <c r="AJ13" s="12"/>
      <c r="AK13" s="33">
        <f t="shared" ref="AK13:AK22" si="0">SUM(K13:AI13)</f>
        <v>92650.959299264767</v>
      </c>
    </row>
    <row r="14" spans="1:37" x14ac:dyDescent="0.25">
      <c r="A14" s="20" t="s">
        <v>7</v>
      </c>
      <c r="C14" s="12"/>
      <c r="D14" s="12"/>
      <c r="E14" s="12"/>
      <c r="F14" s="12"/>
      <c r="G14" s="12"/>
      <c r="H14" s="12"/>
      <c r="I14" s="12"/>
      <c r="J14" s="12"/>
      <c r="K14" s="12">
        <v>2166.4029999999998</v>
      </c>
      <c r="L14" s="12"/>
      <c r="M14" s="12">
        <v>2185.4250000000002</v>
      </c>
      <c r="N14" s="12"/>
      <c r="O14" s="12">
        <v>2144.4609999999998</v>
      </c>
      <c r="P14" s="12"/>
      <c r="Q14" s="12">
        <v>2122.357</v>
      </c>
      <c r="R14" s="12"/>
      <c r="S14" s="12">
        <v>2151.3780000000002</v>
      </c>
      <c r="T14" s="12"/>
      <c r="U14" s="12">
        <v>2174.5039999999999</v>
      </c>
      <c r="V14" s="12"/>
      <c r="W14" s="12">
        <v>2148.3270000000002</v>
      </c>
      <c r="X14" s="12"/>
      <c r="Y14" s="12">
        <v>2165.2049999999999</v>
      </c>
      <c r="Z14" s="12"/>
      <c r="AA14" s="12">
        <v>2156.355</v>
      </c>
      <c r="AB14" s="12"/>
      <c r="AC14" s="12">
        <v>2153.1880000000001</v>
      </c>
      <c r="AD14" s="12"/>
      <c r="AE14" s="12">
        <v>2122.5500000000002</v>
      </c>
      <c r="AF14" s="12"/>
      <c r="AG14" s="12">
        <f>-102.4/1810</f>
        <v>-5.6574585635359116E-2</v>
      </c>
      <c r="AH14" s="12"/>
      <c r="AI14" s="12">
        <v>2204.7669999999998</v>
      </c>
      <c r="AJ14" s="12"/>
      <c r="AK14" s="33">
        <f t="shared" si="0"/>
        <v>25894.863425414358</v>
      </c>
    </row>
    <row r="15" spans="1:37" x14ac:dyDescent="0.25">
      <c r="A15" s="20" t="s">
        <v>10</v>
      </c>
      <c r="C15" s="12"/>
      <c r="D15"/>
      <c r="E15" s="12"/>
      <c r="F15"/>
      <c r="G15" s="12"/>
      <c r="H15"/>
      <c r="I15" s="12"/>
      <c r="J15" s="12"/>
      <c r="K15" s="12">
        <f>3099.919</f>
        <v>3099.9189999999999</v>
      </c>
      <c r="L15" s="12"/>
      <c r="M15" s="12">
        <f>2741.253</f>
        <v>2741.2530000000002</v>
      </c>
      <c r="N15" s="39"/>
      <c r="O15" s="12">
        <v>2670.165</v>
      </c>
      <c r="P15" s="39"/>
      <c r="Q15" s="12">
        <v>2877.5010000000002</v>
      </c>
      <c r="R15" s="39"/>
      <c r="S15" s="12">
        <v>2846.096</v>
      </c>
      <c r="T15" s="12"/>
      <c r="U15" s="12">
        <v>2885.9569999999999</v>
      </c>
      <c r="V15" s="12"/>
      <c r="W15" s="12">
        <v>2956.5250000000001</v>
      </c>
      <c r="X15" s="39"/>
      <c r="Y15" s="12">
        <v>2984.7170000000001</v>
      </c>
      <c r="Z15" s="39"/>
      <c r="AA15" s="12">
        <v>2956.8539999999998</v>
      </c>
      <c r="AB15" s="39"/>
      <c r="AC15" s="39">
        <v>2912.51</v>
      </c>
      <c r="AD15" s="12"/>
      <c r="AE15" s="12">
        <v>2878.4920000000002</v>
      </c>
      <c r="AF15" s="12"/>
      <c r="AG15" s="43">
        <f>-155.5/1959</f>
        <v>-7.937723328228688E-2</v>
      </c>
      <c r="AH15" s="12"/>
      <c r="AI15" s="12">
        <v>2855.1590000000001</v>
      </c>
      <c r="AJ15" s="12"/>
      <c r="AK15" s="33">
        <f t="shared" si="0"/>
        <v>34665.068622766717</v>
      </c>
    </row>
    <row r="16" spans="1:37" x14ac:dyDescent="0.25">
      <c r="A16" s="20" t="s">
        <v>9</v>
      </c>
      <c r="C16"/>
      <c r="D16"/>
      <c r="E16" s="12"/>
      <c r="F16"/>
      <c r="G16"/>
      <c r="H16"/>
      <c r="I16"/>
      <c r="J16" s="12"/>
      <c r="K16" s="12">
        <f>1024.995+220.336</f>
        <v>1245.3309999999999</v>
      </c>
      <c r="L16" s="12"/>
      <c r="M16" s="39">
        <f>1029.107+220.075</f>
        <v>1249.182</v>
      </c>
      <c r="N16" s="39"/>
      <c r="O16" s="39">
        <f>1025.302+219.391</f>
        <v>1244.693</v>
      </c>
      <c r="P16" s="39"/>
      <c r="Q16" s="39">
        <f>1027.547+220.014</f>
        <v>1247.5610000000001</v>
      </c>
      <c r="R16" s="39"/>
      <c r="S16" s="39">
        <f>1026.599+220.015</f>
        <v>1246.614</v>
      </c>
      <c r="T16" s="12"/>
      <c r="U16" s="12">
        <f>1025.304+220.392</f>
        <v>1245.6960000000001</v>
      </c>
      <c r="V16" s="12"/>
      <c r="W16" s="39">
        <f>1025.259+220.115</f>
        <v>1245.374</v>
      </c>
      <c r="X16" s="39"/>
      <c r="Y16" s="39">
        <f>1026.599+220.015</f>
        <v>1246.614</v>
      </c>
      <c r="Z16" s="39"/>
      <c r="AA16" s="39">
        <f>1025.307+219.392</f>
        <v>1244.6990000000001</v>
      </c>
      <c r="AB16" s="39"/>
      <c r="AC16" s="39">
        <f>1030.252+220.116</f>
        <v>1250.3679999999999</v>
      </c>
      <c r="AD16" s="12"/>
      <c r="AE16" s="12">
        <f>1028.902+220.116</f>
        <v>1249.018</v>
      </c>
      <c r="AF16" s="12"/>
      <c r="AG16" s="12">
        <f>(W16-M16)/M16</f>
        <v>-3.0483948696026623E-3</v>
      </c>
      <c r="AH16" s="12"/>
      <c r="AI16" s="12">
        <f>1024.306+220.492</f>
        <v>1244.798</v>
      </c>
      <c r="AJ16" s="12"/>
      <c r="AK16" s="33">
        <f t="shared" si="0"/>
        <v>14959.94495160513</v>
      </c>
    </row>
    <row r="17" spans="1:37" x14ac:dyDescent="0.25">
      <c r="A17" s="20" t="s">
        <v>11</v>
      </c>
      <c r="C17"/>
      <c r="D17"/>
      <c r="E17" s="12"/>
      <c r="F17"/>
      <c r="G17"/>
      <c r="H17"/>
      <c r="I17"/>
      <c r="J17" s="12"/>
      <c r="K17" s="12">
        <v>3074.9</v>
      </c>
      <c r="L17" s="12"/>
      <c r="M17" s="39">
        <v>3603.471</v>
      </c>
      <c r="N17" s="39"/>
      <c r="O17" s="12">
        <v>3275.9549999999999</v>
      </c>
      <c r="P17" s="39"/>
      <c r="Q17" s="12">
        <v>3468.866</v>
      </c>
      <c r="R17" s="39"/>
      <c r="S17" s="12">
        <v>3515.904</v>
      </c>
      <c r="T17" s="12"/>
      <c r="U17" s="12">
        <v>3591.6060000000002</v>
      </c>
      <c r="V17" s="12"/>
      <c r="W17" s="12">
        <v>3552.7379999999998</v>
      </c>
      <c r="X17" s="39"/>
      <c r="Y17" s="12">
        <v>3435.01</v>
      </c>
      <c r="Z17" s="39"/>
      <c r="AA17" s="12">
        <v>3424.3139999999999</v>
      </c>
      <c r="AB17" s="39"/>
      <c r="AC17" s="39">
        <v>3290.913</v>
      </c>
      <c r="AD17" s="12"/>
      <c r="AE17" s="12">
        <v>3212.154</v>
      </c>
      <c r="AF17" s="12"/>
      <c r="AG17" s="12"/>
      <c r="AH17" s="12"/>
      <c r="AI17" s="12">
        <v>3161.855</v>
      </c>
      <c r="AJ17" s="12"/>
      <c r="AK17" s="33">
        <f t="shared" si="0"/>
        <v>40607.686000000009</v>
      </c>
    </row>
    <row r="18" spans="1:37" x14ac:dyDescent="0.25">
      <c r="A18" s="20" t="s">
        <v>12</v>
      </c>
      <c r="C18"/>
      <c r="D18"/>
      <c r="E18" s="12"/>
      <c r="F18"/>
      <c r="G18"/>
      <c r="H18"/>
      <c r="I18"/>
      <c r="J18" s="12"/>
      <c r="K18" s="12">
        <v>133.29</v>
      </c>
      <c r="L18" s="12"/>
      <c r="M18" s="39">
        <v>135.33699999999999</v>
      </c>
      <c r="N18" s="39"/>
      <c r="O18" s="39">
        <v>135.33699999999999</v>
      </c>
      <c r="P18" s="39"/>
      <c r="Q18" s="39">
        <v>135.33699999999999</v>
      </c>
      <c r="R18" s="39"/>
      <c r="S18" s="39">
        <v>135.33699999999999</v>
      </c>
      <c r="T18" s="12"/>
      <c r="U18" s="39">
        <v>135.33699999999999</v>
      </c>
      <c r="V18" s="12"/>
      <c r="W18" s="39">
        <v>135.33699999999999</v>
      </c>
      <c r="X18" s="39"/>
      <c r="Y18" s="39">
        <v>135.33699999999999</v>
      </c>
      <c r="Z18" s="39"/>
      <c r="AA18" s="39">
        <v>135.33699999999999</v>
      </c>
      <c r="AB18" s="39"/>
      <c r="AC18" s="39">
        <v>135.33699999999999</v>
      </c>
      <c r="AD18" s="12"/>
      <c r="AE18" s="39">
        <v>135.33699999999999</v>
      </c>
      <c r="AF18" s="12"/>
      <c r="AG18" s="12"/>
      <c r="AH18" s="12"/>
      <c r="AI18" s="39">
        <v>135.33699999999999</v>
      </c>
      <c r="AJ18" s="13"/>
      <c r="AK18" s="33">
        <f t="shared" si="0"/>
        <v>1621.9969999999998</v>
      </c>
    </row>
    <row r="19" spans="1:37" x14ac:dyDescent="0.25">
      <c r="A19" s="20" t="s">
        <v>13</v>
      </c>
      <c r="C19"/>
      <c r="D19"/>
      <c r="E19" s="12"/>
      <c r="F19"/>
      <c r="G19"/>
      <c r="H19"/>
      <c r="I19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13"/>
      <c r="AK19" s="33">
        <f t="shared" si="0"/>
        <v>0</v>
      </c>
    </row>
    <row r="20" spans="1:37" x14ac:dyDescent="0.25">
      <c r="A20" s="20" t="s">
        <v>14</v>
      </c>
      <c r="C20"/>
      <c r="D20"/>
      <c r="E20" s="12"/>
      <c r="F20"/>
      <c r="G20"/>
      <c r="H20"/>
      <c r="I20"/>
      <c r="J20" s="12"/>
      <c r="K20" s="12">
        <v>43.119</v>
      </c>
      <c r="L20" s="12"/>
      <c r="M20" s="39">
        <v>44.078000000000003</v>
      </c>
      <c r="N20" s="39"/>
      <c r="O20" s="39">
        <v>43.119</v>
      </c>
      <c r="P20" s="39"/>
      <c r="Q20" s="39">
        <v>43.119</v>
      </c>
      <c r="R20" s="39"/>
      <c r="S20" s="39">
        <v>43.119</v>
      </c>
      <c r="T20" s="12"/>
      <c r="U20" s="39">
        <v>43.119</v>
      </c>
      <c r="V20" s="12"/>
      <c r="W20" s="39">
        <v>43.119</v>
      </c>
      <c r="X20" s="39"/>
      <c r="Y20" s="39">
        <v>43.119</v>
      </c>
      <c r="Z20" s="39"/>
      <c r="AA20" s="39">
        <v>43.119</v>
      </c>
      <c r="AB20" s="39"/>
      <c r="AC20" s="39">
        <v>43.119</v>
      </c>
      <c r="AD20" s="12"/>
      <c r="AE20" s="39">
        <v>43.119</v>
      </c>
      <c r="AF20" s="12"/>
      <c r="AG20" s="12"/>
      <c r="AH20" s="12"/>
      <c r="AI20" s="39">
        <v>43.119</v>
      </c>
      <c r="AJ20" s="13"/>
      <c r="AK20" s="33">
        <f t="shared" si="0"/>
        <v>518.38700000000017</v>
      </c>
    </row>
    <row r="21" spans="1:37" x14ac:dyDescent="0.25">
      <c r="A21" s="20" t="s">
        <v>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K21" s="33">
        <f t="shared" si="0"/>
        <v>0</v>
      </c>
    </row>
    <row r="22" spans="1:37" x14ac:dyDescent="0.25">
      <c r="A22" s="20" t="s">
        <v>15</v>
      </c>
      <c r="C22" s="12"/>
      <c r="D22" s="12"/>
      <c r="E22" s="12"/>
      <c r="F22" s="12"/>
      <c r="G22" s="12"/>
      <c r="H22" s="12"/>
      <c r="I22" s="12"/>
      <c r="J22" s="12"/>
      <c r="K22" s="12">
        <f>5.433+5.204</f>
        <v>10.637</v>
      </c>
      <c r="L22" s="12"/>
      <c r="M22" s="12">
        <f>5.433+6.822</f>
        <v>12.254999999999999</v>
      </c>
      <c r="N22" s="12"/>
      <c r="O22" s="12">
        <f>5.433+5.16</f>
        <v>10.593</v>
      </c>
      <c r="P22" s="12"/>
      <c r="Q22" s="12">
        <f>5.433+5.115</f>
        <v>10.548</v>
      </c>
      <c r="R22" s="12"/>
      <c r="S22" s="12">
        <f>5.433+5.116</f>
        <v>10.548999999999999</v>
      </c>
      <c r="T22" s="12"/>
      <c r="U22" s="12">
        <f>5.433+5.154</f>
        <v>10.587</v>
      </c>
      <c r="V22" s="12"/>
      <c r="W22" s="12">
        <f>5.433+5.115</f>
        <v>10.548</v>
      </c>
      <c r="X22" s="12"/>
      <c r="Y22" s="12">
        <f>5.433+5.117</f>
        <v>10.55</v>
      </c>
      <c r="Z22" s="12"/>
      <c r="AA22" s="12">
        <f>5.433+5.133</f>
        <v>10.565999999999999</v>
      </c>
      <c r="AB22" s="12"/>
      <c r="AC22" s="12">
        <f>5.433+5.096</f>
        <v>10.529</v>
      </c>
      <c r="AD22" s="12"/>
      <c r="AE22" s="12">
        <f>5.433+4.927</f>
        <v>10.36</v>
      </c>
      <c r="AF22" s="12"/>
      <c r="AG22" s="12">
        <f>(W22-M22)/M22</f>
        <v>-0.1392900856793145</v>
      </c>
      <c r="AH22" s="12"/>
      <c r="AI22" s="12">
        <f>5.433+4.946+72</f>
        <v>82.379000000000005</v>
      </c>
      <c r="AK22" s="33">
        <f t="shared" si="0"/>
        <v>199.96170991432069</v>
      </c>
    </row>
    <row r="23" spans="1:37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  <c r="AJ23" s="14"/>
    </row>
    <row r="24" spans="1:37" ht="13.8" thickBot="1" x14ac:dyDescent="0.3">
      <c r="A24" s="20" t="s">
        <v>34</v>
      </c>
      <c r="C24" s="16">
        <f>SUM(C13:C23)</f>
        <v>0</v>
      </c>
      <c r="D24" s="12"/>
      <c r="E24" s="16">
        <f>SUM(E13:E23)</f>
        <v>0</v>
      </c>
      <c r="F24" s="14"/>
      <c r="G24" s="16">
        <f>SUM(G13:G23)</f>
        <v>0</v>
      </c>
      <c r="H24" s="14"/>
      <c r="I24" s="16">
        <f>SUM(I13:I23)</f>
        <v>0</v>
      </c>
      <c r="J24" s="12"/>
      <c r="K24" s="16">
        <f>SUM(K13:K23)</f>
        <v>16547.598999999998</v>
      </c>
      <c r="L24" s="12"/>
      <c r="M24" s="16">
        <f>SUM(M13:M23)</f>
        <v>17339.001000000004</v>
      </c>
      <c r="N24" s="12"/>
      <c r="O24" s="16">
        <f>SUM(O13:O23)</f>
        <v>16757.322999999997</v>
      </c>
      <c r="P24" s="14"/>
      <c r="Q24" s="16">
        <f>SUM(Q13:Q23)</f>
        <v>16973.288999999997</v>
      </c>
      <c r="R24" s="14"/>
      <c r="S24" s="16">
        <f>SUM(S13:S23)</f>
        <v>17014.996999999996</v>
      </c>
      <c r="T24" s="12"/>
      <c r="U24" s="16">
        <f>SUM(U13:U23)</f>
        <v>17519.806</v>
      </c>
      <c r="V24" s="12"/>
      <c r="W24" s="16">
        <f>SUM(W13:W23)</f>
        <v>19099.967999999997</v>
      </c>
      <c r="X24" s="12"/>
      <c r="Y24" s="16">
        <f>SUM(Y13:Y23)</f>
        <v>18135.552</v>
      </c>
      <c r="Z24" s="14"/>
      <c r="AA24" s="16">
        <f>SUM(AA13:AA23)</f>
        <v>18424.243999999995</v>
      </c>
      <c r="AB24" s="14"/>
      <c r="AC24" s="16">
        <f>SUM(AC13:AC23)</f>
        <v>18248.963999999996</v>
      </c>
      <c r="AD24" s="12"/>
      <c r="AE24" s="16">
        <f>SUM(AE13:AE23)</f>
        <v>17263.03</v>
      </c>
      <c r="AF24" s="12"/>
      <c r="AG24" s="17">
        <f>(W24-M24)/M24</f>
        <v>0.10156104149252848</v>
      </c>
      <c r="AI24" s="16">
        <f>SUM(AI13:AI23)</f>
        <v>17795.414000000001</v>
      </c>
      <c r="AJ24" s="14"/>
      <c r="AK24" s="16">
        <f>SUM(AK13:AK23)</f>
        <v>211118.86800896531</v>
      </c>
    </row>
    <row r="25" spans="1:37" ht="25.5" customHeight="1" thickTop="1" x14ac:dyDescent="0.25">
      <c r="A25" s="20"/>
      <c r="AE25" s="22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7" x14ac:dyDescent="0.25">
      <c r="A27" t="s">
        <v>16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7" x14ac:dyDescent="0.25">
      <c r="A29" s="2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25">
      <c r="A47" s="18" t="str">
        <f ca="1">CELL("filename")</f>
        <v>L:\ETS Operations\4th Qtr Fcst\4th Qtr Fcst Oct Act\LE Files\[OM EST - OPERATIONS - 2001 - 2002 REVISED FORMAT.xls]Net</v>
      </c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6" x14ac:dyDescent="0.25">
      <c r="A48" s="19">
        <f ca="1">NOW()</f>
        <v>37221.738514583332</v>
      </c>
      <c r="B48" s="18"/>
      <c r="C48" s="15"/>
      <c r="D48" s="15"/>
      <c r="E48" s="15"/>
      <c r="F48" s="15"/>
      <c r="G48" s="15"/>
      <c r="H48" s="15"/>
      <c r="I48" s="15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5">
      <c r="A49" s="18"/>
      <c r="B49" s="18"/>
      <c r="C49" s="15"/>
      <c r="D49" s="15"/>
      <c r="E49" s="15"/>
      <c r="F49" s="15"/>
      <c r="G49" s="15"/>
      <c r="H49" s="15"/>
      <c r="I49" s="15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5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.25" right="0" top="0.75" bottom="1" header="0" footer="0.5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Gross</vt:lpstr>
      <vt:lpstr>Net</vt:lpstr>
      <vt:lpstr>Orig '02 Plan Gross</vt:lpstr>
      <vt:lpstr>Orig '02 Plan Net</vt:lpstr>
      <vt:lpstr>Gross!Print_Area</vt:lpstr>
      <vt:lpstr>Net!Print_Area</vt:lpstr>
      <vt:lpstr>'Orig ''02 Plan Gross'!Print_Area</vt:lpstr>
      <vt:lpstr>'Orig ''02 Plan Net'!Print_Area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2001-11-26T22:54:15Z</cp:lastPrinted>
  <dcterms:created xsi:type="dcterms:W3CDTF">2001-07-19T21:53:52Z</dcterms:created>
  <dcterms:modified xsi:type="dcterms:W3CDTF">2023-09-10T14:58:52Z</dcterms:modified>
</cp:coreProperties>
</file>