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Recap" sheetId="1" r:id="rId1"/>
    <sheet name="Causey_FundsFlow" sheetId="2" r:id="rId2"/>
    <sheet name="Causey_Working Cap" sheetId="3" r:id="rId3"/>
    <sheet name="Causey_CFFO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3">Causey_CFFO!$B$5:$L$47</definedName>
    <definedName name="_xlnm.Print_Area" localSheetId="1">Causey_FundsFlow!$B$5:$L$33</definedName>
    <definedName name="_xlnm.Print_Area" localSheetId="2">'Causey_Working Cap'!$B$5:$L$32</definedName>
    <definedName name="_xlnm.Print_Area" localSheetId="0">Recap!$A$1:$O$41</definedName>
  </definedNames>
  <calcPr calcId="92512"/>
</workbook>
</file>

<file path=xl/calcChain.xml><?xml version="1.0" encoding="utf-8"?>
<calcChain xmlns="http://schemas.openxmlformats.org/spreadsheetml/2006/main">
  <c r="D14" i="4" l="1"/>
  <c r="F14" i="4"/>
  <c r="H14" i="4"/>
  <c r="J14" i="4"/>
  <c r="L14" i="4"/>
  <c r="D15" i="4"/>
  <c r="F15" i="4"/>
  <c r="H15" i="4"/>
  <c r="J15" i="4"/>
  <c r="L15" i="4"/>
  <c r="D16" i="4"/>
  <c r="F16" i="4"/>
  <c r="H16" i="4"/>
  <c r="J16" i="4"/>
  <c r="L16" i="4"/>
  <c r="D18" i="4"/>
  <c r="F18" i="4"/>
  <c r="H18" i="4"/>
  <c r="J18" i="4"/>
  <c r="L18" i="4"/>
  <c r="D19" i="4"/>
  <c r="F19" i="4"/>
  <c r="H19" i="4"/>
  <c r="J19" i="4"/>
  <c r="L19" i="4"/>
  <c r="D20" i="4"/>
  <c r="F20" i="4"/>
  <c r="H20" i="4"/>
  <c r="J20" i="4"/>
  <c r="L20" i="4"/>
  <c r="D21" i="4"/>
  <c r="F21" i="4"/>
  <c r="H21" i="4"/>
  <c r="J21" i="4"/>
  <c r="L21" i="4"/>
  <c r="D22" i="4"/>
  <c r="F22" i="4"/>
  <c r="H22" i="4"/>
  <c r="J22" i="4"/>
  <c r="L22" i="4"/>
  <c r="D23" i="4"/>
  <c r="F23" i="4"/>
  <c r="H23" i="4"/>
  <c r="J23" i="4"/>
  <c r="L23" i="4"/>
  <c r="D24" i="4"/>
  <c r="F24" i="4"/>
  <c r="H24" i="4"/>
  <c r="J24" i="4"/>
  <c r="L24" i="4"/>
  <c r="D25" i="4"/>
  <c r="F25" i="4"/>
  <c r="H25" i="4"/>
  <c r="J25" i="4"/>
  <c r="L25" i="4"/>
  <c r="D26" i="4"/>
  <c r="F26" i="4"/>
  <c r="H26" i="4"/>
  <c r="J26" i="4"/>
  <c r="L26" i="4"/>
  <c r="D27" i="4"/>
  <c r="F27" i="4"/>
  <c r="H27" i="4"/>
  <c r="J27" i="4"/>
  <c r="L27" i="4"/>
  <c r="D28" i="4"/>
  <c r="F28" i="4"/>
  <c r="H28" i="4"/>
  <c r="J28" i="4"/>
  <c r="L28" i="4"/>
  <c r="D29" i="4"/>
  <c r="F29" i="4"/>
  <c r="H29" i="4"/>
  <c r="J29" i="4"/>
  <c r="L29" i="4"/>
  <c r="D30" i="4"/>
  <c r="F30" i="4"/>
  <c r="H30" i="4"/>
  <c r="J30" i="4"/>
  <c r="L30" i="4"/>
  <c r="D31" i="4"/>
  <c r="F31" i="4"/>
  <c r="H31" i="4"/>
  <c r="J31" i="4"/>
  <c r="L31" i="4"/>
  <c r="D32" i="4"/>
  <c r="F32" i="4"/>
  <c r="H32" i="4"/>
  <c r="J32" i="4"/>
  <c r="L32" i="4"/>
  <c r="D33" i="4"/>
  <c r="F33" i="4"/>
  <c r="H33" i="4"/>
  <c r="J33" i="4"/>
  <c r="L33" i="4"/>
  <c r="D34" i="4"/>
  <c r="F34" i="4"/>
  <c r="H34" i="4"/>
  <c r="J34" i="4"/>
  <c r="L34" i="4"/>
  <c r="B35" i="4"/>
  <c r="D35" i="4"/>
  <c r="F35" i="4"/>
  <c r="H35" i="4"/>
  <c r="J35" i="4"/>
  <c r="L35" i="4"/>
  <c r="D37" i="4"/>
  <c r="F37" i="4"/>
  <c r="H37" i="4"/>
  <c r="J37" i="4"/>
  <c r="L37" i="4"/>
  <c r="D38" i="4"/>
  <c r="F38" i="4"/>
  <c r="H38" i="4"/>
  <c r="J38" i="4"/>
  <c r="L38" i="4"/>
  <c r="D39" i="4"/>
  <c r="F39" i="4"/>
  <c r="H39" i="4"/>
  <c r="J39" i="4"/>
  <c r="L39" i="4"/>
  <c r="D41" i="4"/>
  <c r="F41" i="4"/>
  <c r="H41" i="4"/>
  <c r="J41" i="4"/>
  <c r="L41" i="4"/>
  <c r="D43" i="4"/>
  <c r="F43" i="4"/>
  <c r="H43" i="4"/>
  <c r="J43" i="4"/>
  <c r="L43" i="4"/>
  <c r="D49" i="4"/>
  <c r="D14" i="2"/>
  <c r="F14" i="2"/>
  <c r="J14" i="2"/>
  <c r="L14" i="2"/>
  <c r="D15" i="2"/>
  <c r="F15" i="2"/>
  <c r="J15" i="2"/>
  <c r="L15" i="2"/>
  <c r="D16" i="2"/>
  <c r="F16" i="2"/>
  <c r="H16" i="2"/>
  <c r="J16" i="2"/>
  <c r="L16" i="2"/>
  <c r="D18" i="2"/>
  <c r="F18" i="2"/>
  <c r="J18" i="2"/>
  <c r="L18" i="2"/>
  <c r="D20" i="2"/>
  <c r="F20" i="2"/>
  <c r="J20" i="2"/>
  <c r="L20" i="2"/>
  <c r="D21" i="2"/>
  <c r="F21" i="2"/>
  <c r="J21" i="2"/>
  <c r="L21" i="2"/>
  <c r="D22" i="2"/>
  <c r="F22" i="2"/>
  <c r="J22" i="2"/>
  <c r="L22" i="2"/>
  <c r="D24" i="2"/>
  <c r="F24" i="2"/>
  <c r="J24" i="2"/>
  <c r="L24" i="2"/>
  <c r="D26" i="2"/>
  <c r="F26" i="2"/>
  <c r="H26" i="2"/>
  <c r="J26" i="2"/>
  <c r="L26" i="2"/>
  <c r="D35" i="2"/>
  <c r="D14" i="3"/>
  <c r="F14" i="3"/>
  <c r="J14" i="3"/>
  <c r="L14" i="3"/>
  <c r="D15" i="3"/>
  <c r="F15" i="3"/>
  <c r="J15" i="3"/>
  <c r="L15" i="3"/>
  <c r="D16" i="3"/>
  <c r="F16" i="3"/>
  <c r="H16" i="3"/>
  <c r="J16" i="3"/>
  <c r="L16" i="3"/>
  <c r="D18" i="3"/>
  <c r="F18" i="3"/>
  <c r="J18" i="3"/>
  <c r="L18" i="3"/>
  <c r="D20" i="3"/>
  <c r="F20" i="3"/>
  <c r="J20" i="3"/>
  <c r="L20" i="3"/>
  <c r="D21" i="3"/>
  <c r="F21" i="3"/>
  <c r="J21" i="3"/>
  <c r="L21" i="3"/>
  <c r="D22" i="3"/>
  <c r="F22" i="3"/>
  <c r="J22" i="3"/>
  <c r="L22" i="3"/>
  <c r="D24" i="3"/>
  <c r="F24" i="3"/>
  <c r="J24" i="3"/>
  <c r="L24" i="3"/>
  <c r="D26" i="3"/>
  <c r="F26" i="3"/>
  <c r="H26" i="3"/>
  <c r="J26" i="3"/>
  <c r="L26" i="3"/>
  <c r="D35" i="3"/>
  <c r="D12" i="1"/>
  <c r="F12" i="1"/>
  <c r="H12" i="1"/>
  <c r="J12" i="1"/>
  <c r="L12" i="1"/>
  <c r="N12" i="1"/>
  <c r="D14" i="1"/>
  <c r="F14" i="1"/>
  <c r="H14" i="1"/>
  <c r="J14" i="1"/>
  <c r="L14" i="1"/>
  <c r="N14" i="1"/>
  <c r="D16" i="1"/>
  <c r="F16" i="1"/>
  <c r="H16" i="1"/>
  <c r="J16" i="1"/>
  <c r="L16" i="1"/>
  <c r="N16" i="1"/>
  <c r="D18" i="1"/>
  <c r="F18" i="1"/>
  <c r="H18" i="1"/>
  <c r="J18" i="1"/>
  <c r="N18" i="1"/>
  <c r="D19" i="1"/>
  <c r="F19" i="1"/>
  <c r="H19" i="1"/>
  <c r="J19" i="1"/>
  <c r="N19" i="1"/>
  <c r="D20" i="1"/>
  <c r="F20" i="1"/>
  <c r="H20" i="1"/>
  <c r="J20" i="1"/>
  <c r="L20" i="1"/>
  <c r="N20" i="1"/>
  <c r="D22" i="1"/>
  <c r="F22" i="1"/>
  <c r="H22" i="1"/>
  <c r="J22" i="1"/>
  <c r="L22" i="1"/>
  <c r="N22" i="1"/>
  <c r="D25" i="1"/>
  <c r="F25" i="1"/>
  <c r="H25" i="1"/>
  <c r="J25" i="1"/>
  <c r="L25" i="1"/>
  <c r="N25" i="1"/>
  <c r="D26" i="1"/>
  <c r="F26" i="1"/>
  <c r="H26" i="1"/>
  <c r="J26" i="1"/>
  <c r="N26" i="1"/>
  <c r="D27" i="1"/>
  <c r="F27" i="1"/>
  <c r="H27" i="1"/>
  <c r="J27" i="1"/>
  <c r="N27" i="1"/>
  <c r="D28" i="1"/>
  <c r="F28" i="1"/>
  <c r="H28" i="1"/>
  <c r="J28" i="1"/>
  <c r="L28" i="1"/>
  <c r="N28" i="1"/>
  <c r="D30" i="1"/>
  <c r="F30" i="1"/>
  <c r="H30" i="1"/>
  <c r="J30" i="1"/>
  <c r="L30" i="1"/>
  <c r="N30" i="1"/>
  <c r="D34" i="1"/>
  <c r="F34" i="1"/>
  <c r="H34" i="1"/>
  <c r="J34" i="1"/>
  <c r="N34" i="1"/>
  <c r="D35" i="1"/>
  <c r="F35" i="1"/>
  <c r="H35" i="1"/>
  <c r="J35" i="1"/>
  <c r="L35" i="1"/>
  <c r="N35" i="1"/>
  <c r="D36" i="1"/>
  <c r="J36" i="1"/>
  <c r="N36" i="1"/>
  <c r="D37" i="1"/>
  <c r="F37" i="1"/>
  <c r="H37" i="1"/>
  <c r="J37" i="1"/>
  <c r="L37" i="1"/>
  <c r="N37" i="1"/>
</calcChain>
</file>

<file path=xl/sharedStrings.xml><?xml version="1.0" encoding="utf-8"?>
<sst xmlns="http://schemas.openxmlformats.org/spreadsheetml/2006/main" count="145" uniqueCount="79">
  <si>
    <t>Enron Corp</t>
  </si>
  <si>
    <t>2001 Cash Flow Estimate</t>
  </si>
  <si>
    <t>June YTD</t>
  </si>
  <si>
    <t>3rd Quarter</t>
  </si>
  <si>
    <t>4th Quarter</t>
  </si>
  <si>
    <t>Full Year</t>
  </si>
  <si>
    <t>Needed to</t>
  </si>
  <si>
    <t>Actuals</t>
  </si>
  <si>
    <t>Target</t>
  </si>
  <si>
    <t>Estimate</t>
  </si>
  <si>
    <t>Meet Targets</t>
  </si>
  <si>
    <t>Funds Flow from Operations</t>
  </si>
  <si>
    <t>Changes in Working Capital</t>
  </si>
  <si>
    <t>Cash Flow from Operations</t>
  </si>
  <si>
    <t>Proceeds from Sale of Assets</t>
  </si>
  <si>
    <t>Capital Exp &amp; Equity Investments</t>
  </si>
  <si>
    <t>Cash Flow</t>
  </si>
  <si>
    <t>Cash Flow from Financing</t>
  </si>
  <si>
    <t>Increase/(Dec) in Debt</t>
  </si>
  <si>
    <t>Dividends Paid</t>
  </si>
  <si>
    <t>Other Financing</t>
  </si>
  <si>
    <t>Increase/(Decrease) in Cash Balances</t>
  </si>
  <si>
    <t>Balance Sheet Debt</t>
  </si>
  <si>
    <t>Opening Balance</t>
  </si>
  <si>
    <t>Increase from Cash Flow</t>
  </si>
  <si>
    <t>Other Changes</t>
  </si>
  <si>
    <t>Ending Balance</t>
  </si>
  <si>
    <t>Includes investing activities related to Sithe of ($955) mm, Merlin ($71) mm</t>
  </si>
  <si>
    <t>2001 Third Quarter</t>
  </si>
  <si>
    <t>3rd Quarter 2001</t>
  </si>
  <si>
    <t xml:space="preserve">Current  </t>
  </si>
  <si>
    <t xml:space="preserve">Identified </t>
  </si>
  <si>
    <t>Sept YTD</t>
  </si>
  <si>
    <t>View *</t>
  </si>
  <si>
    <t>Transactions</t>
  </si>
  <si>
    <t>Target **</t>
  </si>
  <si>
    <t>Transportation &amp; Distribution</t>
  </si>
  <si>
    <t>Enron Transportation Services</t>
  </si>
  <si>
    <t>Portland General Group</t>
  </si>
  <si>
    <t>Wholesale</t>
  </si>
  <si>
    <t>***</t>
  </si>
  <si>
    <t>Enron Global Assets &amp; Services</t>
  </si>
  <si>
    <t>Enron Energy Services</t>
  </si>
  <si>
    <t>Enron Renewable Energy</t>
  </si>
  <si>
    <t>Corporate &amp; Other</t>
  </si>
  <si>
    <t>Total</t>
  </si>
  <si>
    <t>Wholesale includes - Americas, Europe, EGM, EIM, ENW, EBS, EIP, EGEP and EE&amp;CC</t>
  </si>
  <si>
    <t>Corp and Other includes - Corp, Azurix and Clean Fuels</t>
  </si>
  <si>
    <t>* Based on view of funds flow without any prepays, overviews or any other major transaction</t>
  </si>
  <si>
    <t>** Based on full year target of $3,000</t>
  </si>
  <si>
    <t>*** Needed Prepays for 3rd quarter based on $3,000 full year target</t>
  </si>
  <si>
    <t>Corp &amp; Other</t>
  </si>
  <si>
    <t>ECM Other</t>
  </si>
  <si>
    <t>Azurix</t>
  </si>
  <si>
    <t>Clean Fuels</t>
  </si>
  <si>
    <t>Finance</t>
  </si>
  <si>
    <t>Overview</t>
  </si>
  <si>
    <t>IVEST</t>
  </si>
  <si>
    <t>Eliminations</t>
  </si>
  <si>
    <t>**</t>
  </si>
  <si>
    <t>* Based on view of funds flow without any major transaction</t>
  </si>
  <si>
    <t>** Planed A/R sale $500 more to be executed in Q4</t>
  </si>
  <si>
    <t>Cash Flow From Operating Activities</t>
  </si>
  <si>
    <t>Enron North America</t>
  </si>
  <si>
    <t>Enron Europe</t>
  </si>
  <si>
    <t>CATS &amp; Margaux</t>
  </si>
  <si>
    <t>Middle East</t>
  </si>
  <si>
    <t>Enron Global Markets</t>
  </si>
  <si>
    <t>Enron Broadband</t>
  </si>
  <si>
    <t>Global Explor &amp; Prod</t>
  </si>
  <si>
    <t>EEOS</t>
  </si>
  <si>
    <t>Enron Net Works</t>
  </si>
  <si>
    <t>Enron Global Finance</t>
  </si>
  <si>
    <t>Enron Industrial Markets</t>
  </si>
  <si>
    <t>Enron Investment Partners</t>
  </si>
  <si>
    <t>Wholesale - Other</t>
  </si>
  <si>
    <t>Wholesale - EES</t>
  </si>
  <si>
    <t>Wholesale - Elims</t>
  </si>
  <si>
    <t>EI Headquarters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</si>
</sst>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_);_(* \(#,##0.0\);_(* &quot;-&quot;?_);_(@_)"/>
    <numFmt numFmtId="165" formatCode="mm/dd/yy"/>
    <numFmt numFmtId="167" formatCode="_(* #,##0_);_(* \(#,##0\);_(* &quot;-&quot;?_);_(@_)"/>
  </numFmts>
  <fonts count="8" x14ac:knownFonts="1">
    <font>
      <sz val="10"/>
      <name val="Arial"/>
    </font>
    <font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8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64" fontId="5" fillId="0" borderId="0" xfId="0" quotePrefix="1" applyNumberFormat="1" applyFont="1" applyAlignment="1">
      <alignment horizontal="centerContinuous"/>
    </xf>
    <xf numFmtId="164" fontId="5" fillId="0" borderId="0" xfId="0" applyNumberFormat="1" applyFont="1" applyAlignment="1">
      <alignment horizontal="centerContinuous"/>
    </xf>
    <xf numFmtId="164" fontId="6" fillId="0" borderId="0" xfId="0" applyNumberFormat="1" applyFont="1" applyBorder="1" applyAlignment="1">
      <alignment horizontal="center" wrapText="1"/>
    </xf>
    <xf numFmtId="164" fontId="6" fillId="0" borderId="0" xfId="0" quotePrefix="1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6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Continuous"/>
    </xf>
    <xf numFmtId="164" fontId="2" fillId="0" borderId="0" xfId="0" applyNumberFormat="1" applyFont="1" applyAlignment="1">
      <alignment horizontal="left" indent="1"/>
    </xf>
    <xf numFmtId="164" fontId="2" fillId="0" borderId="0" xfId="0" applyNumberFormat="1" applyFont="1" applyFill="1"/>
    <xf numFmtId="164" fontId="6" fillId="0" borderId="0" xfId="0" applyNumberFormat="1" applyFont="1"/>
    <xf numFmtId="164" fontId="6" fillId="0" borderId="0" xfId="0" applyNumberFormat="1" applyFont="1" applyAlignment="1">
      <alignment horizontal="left" indent="1"/>
    </xf>
    <xf numFmtId="164" fontId="6" fillId="0" borderId="2" xfId="0" applyNumberFormat="1" applyFont="1" applyBorder="1"/>
    <xf numFmtId="164" fontId="6" fillId="0" borderId="0" xfId="0" applyNumberFormat="1" applyFont="1" applyFill="1"/>
    <xf numFmtId="164" fontId="7" fillId="0" borderId="0" xfId="0" quotePrefix="1" applyNumberFormat="1" applyFont="1"/>
    <xf numFmtId="164" fontId="2" fillId="0" borderId="0" xfId="0" applyNumberFormat="1" applyFont="1" applyAlignment="1">
      <alignment horizontal="left"/>
    </xf>
    <xf numFmtId="164" fontId="6" fillId="0" borderId="3" xfId="0" applyNumberFormat="1" applyFont="1" applyBorder="1"/>
    <xf numFmtId="164" fontId="6" fillId="0" borderId="0" xfId="0" applyNumberFormat="1" applyFont="1" applyAlignment="1">
      <alignment horizontal="left" indent="2"/>
    </xf>
    <xf numFmtId="164" fontId="3" fillId="0" borderId="0" xfId="0" applyNumberFormat="1" applyFont="1"/>
    <xf numFmtId="0" fontId="4" fillId="0" borderId="0" xfId="0" applyNumberFormat="1" applyFont="1" applyAlignment="1">
      <alignment horizontal="centerContinuous"/>
    </xf>
    <xf numFmtId="0" fontId="2" fillId="0" borderId="0" xfId="0" applyNumberFormat="1" applyFont="1" applyAlignment="1">
      <alignment horizontal="centerContinuous"/>
    </xf>
    <xf numFmtId="0" fontId="2" fillId="0" borderId="0" xfId="0" applyNumberFormat="1" applyFont="1" applyAlignment="1"/>
    <xf numFmtId="0" fontId="5" fillId="0" borderId="0" xfId="0" applyNumberFormat="1" applyFont="1" applyAlignment="1">
      <alignment horizontal="centerContinuous"/>
    </xf>
    <xf numFmtId="0" fontId="5" fillId="0" borderId="0" xfId="0" quotePrefix="1" applyNumberFormat="1" applyFont="1" applyAlignment="1">
      <alignment horizontal="centerContinuous"/>
    </xf>
    <xf numFmtId="0" fontId="5" fillId="0" borderId="0" xfId="0" applyNumberFormat="1" applyFont="1" applyAlignment="1"/>
    <xf numFmtId="164" fontId="5" fillId="0" borderId="0" xfId="0" applyNumberFormat="1" applyFont="1" applyAlignment="1"/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164" fontId="6" fillId="0" borderId="1" xfId="0" applyNumberFormat="1" applyFont="1" applyBorder="1" applyAlignment="1"/>
    <xf numFmtId="164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Continuous"/>
    </xf>
    <xf numFmtId="164" fontId="6" fillId="0" borderId="1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/>
    <xf numFmtId="164" fontId="2" fillId="0" borderId="0" xfId="0" applyNumberFormat="1" applyFont="1" applyBorder="1"/>
    <xf numFmtId="164" fontId="6" fillId="0" borderId="0" xfId="0" applyNumberFormat="1" applyFont="1" applyBorder="1"/>
    <xf numFmtId="167" fontId="2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left"/>
    </xf>
    <xf numFmtId="164" fontId="2" fillId="0" borderId="0" xfId="0" quotePrefix="1" applyNumberFormat="1" applyFont="1"/>
    <xf numFmtId="164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ocuments%20and%20Settings/sschwar/Local%20Settings/Temporary%20Internet%20Files/OLK18/Cause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rporate/GPGFin/Cfp/CURREST/2001CE/June_Cash/Invest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rporate/GPGFin/Cfp/CURREST/2001CE/June_Cash/FullYear_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ocuments%20and%20Settings/sschwar/Local%20Settings/Temporary%20Internet%20Files/OLK18/FullYear_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ocuments%20and%20Settings/sschwar/Local%20Settings/Temporary%20Internet%20Files/OLK18/BU-Cash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sFlow"/>
      <sheetName val="WorkingCapital"/>
      <sheetName val="Investing"/>
      <sheetName val="Recap"/>
      <sheetName val="Causey_FundsFlow"/>
      <sheetName val="Causey_Working Cap"/>
      <sheetName val="Causey_CFFO"/>
    </sheetNames>
    <sheetDataSet>
      <sheetData sheetId="0">
        <row r="13">
          <cell r="L13">
            <v>60.8</v>
          </cell>
        </row>
        <row r="14">
          <cell r="L14">
            <v>29.048910089479083</v>
          </cell>
        </row>
        <row r="34">
          <cell r="D34">
            <v>852.56999999999982</v>
          </cell>
          <cell r="L34">
            <v>-93.442151916426553</v>
          </cell>
        </row>
        <row r="36">
          <cell r="L36">
            <v>-80.199999999999989</v>
          </cell>
        </row>
        <row r="37">
          <cell r="L37">
            <v>3.7720000000000438</v>
          </cell>
        </row>
        <row r="38">
          <cell r="L38">
            <v>12.500000000000007</v>
          </cell>
        </row>
        <row r="40">
          <cell r="L40">
            <v>-353.74017188258102</v>
          </cell>
        </row>
      </sheetData>
      <sheetData sheetId="1">
        <row r="13">
          <cell r="D13">
            <v>-38.801000000000002</v>
          </cell>
          <cell r="L13">
            <v>75.800000000000011</v>
          </cell>
        </row>
        <row r="14">
          <cell r="D14">
            <v>-240.572</v>
          </cell>
          <cell r="L14">
            <v>7.3518477822743096</v>
          </cell>
        </row>
        <row r="15">
          <cell r="D15">
            <v>-279.37299999999999</v>
          </cell>
          <cell r="L15">
            <v>83.151847782274317</v>
          </cell>
        </row>
        <row r="34">
          <cell r="D34">
            <v>-2230.3900000000003</v>
          </cell>
          <cell r="L34">
            <v>-248.54316828992029</v>
          </cell>
        </row>
        <row r="36">
          <cell r="D36">
            <v>-76.668000000000006</v>
          </cell>
          <cell r="L36">
            <v>-112.1</v>
          </cell>
        </row>
        <row r="37">
          <cell r="D37">
            <v>-156.131</v>
          </cell>
          <cell r="L37">
            <v>-2</v>
          </cell>
        </row>
        <row r="38">
          <cell r="D38">
            <v>-118.02</v>
          </cell>
          <cell r="L38">
            <v>71.699999999999989</v>
          </cell>
        </row>
        <row r="40">
          <cell r="D40">
            <v>-281.72799999999955</v>
          </cell>
          <cell r="L40">
            <v>250.41095446539657</v>
          </cell>
        </row>
        <row r="42">
          <cell r="D42">
            <v>-3142.31</v>
          </cell>
          <cell r="L42">
            <v>42.619633957750608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_Sum"/>
      <sheetName val="CapEx"/>
      <sheetName val="Equity"/>
      <sheetName val="SubStock"/>
      <sheetName val="CashPaid"/>
      <sheetName val="OtherInvesting"/>
      <sheetName val="Investing"/>
      <sheetName val="CapEx_detail"/>
      <sheetName val="EquityInvesting_detail"/>
      <sheetName val="SubStock_detail"/>
      <sheetName val="CashPaid_detail"/>
      <sheetName val="Investing_detail"/>
    </sheetNames>
    <sheetDataSet>
      <sheetData sheetId="0">
        <row r="42">
          <cell r="D42">
            <v>-926.89602933518722</v>
          </cell>
          <cell r="F42">
            <v>-768.78</v>
          </cell>
          <cell r="H42">
            <v>0</v>
          </cell>
          <cell r="J42">
            <v>101.239</v>
          </cell>
          <cell r="L42">
            <v>-1266.4057057790017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S_Sum"/>
      <sheetName val="Deals"/>
      <sheetName val="Proforma"/>
      <sheetName val="Ratios"/>
      <sheetName val="2ndQuarter"/>
      <sheetName val="3rdQuarter"/>
      <sheetName val="4thQuarter"/>
      <sheetName val="BalanceSheet"/>
    </sheetNames>
    <sheetDataSet>
      <sheetData sheetId="0">
        <row r="27">
          <cell r="Q27">
            <v>-70224.662782232976</v>
          </cell>
        </row>
        <row r="40">
          <cell r="Q40">
            <v>-2722068.1266322299</v>
          </cell>
        </row>
        <row r="45">
          <cell r="Q45">
            <v>1872382</v>
          </cell>
        </row>
        <row r="55">
          <cell r="Q55">
            <v>4348420.0655493066</v>
          </cell>
        </row>
        <row r="56">
          <cell r="Q56">
            <v>0</v>
          </cell>
        </row>
        <row r="57">
          <cell r="Q57">
            <v>0</v>
          </cell>
        </row>
        <row r="58">
          <cell r="Q58">
            <v>-43862.5</v>
          </cell>
        </row>
        <row r="59">
          <cell r="Q59">
            <v>-526846</v>
          </cell>
        </row>
        <row r="60">
          <cell r="Q60">
            <v>-53701.704966475161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pain"/>
      <sheetName val="Summary"/>
      <sheetName val="BS_Sum"/>
      <sheetName val="Ratios"/>
      <sheetName val="Deals"/>
      <sheetName val="NewDeals"/>
      <sheetName val="Ratios_B"/>
      <sheetName val="BalanceSheet"/>
    </sheetNames>
    <sheetDataSet>
      <sheetData sheetId="0"/>
      <sheetData sheetId="1">
        <row r="27">
          <cell r="I27">
            <v>1804408.9999999995</v>
          </cell>
          <cell r="AB27">
            <v>3000000</v>
          </cell>
        </row>
        <row r="40">
          <cell r="I40">
            <v>-3142310.0000000019</v>
          </cell>
          <cell r="AB40">
            <v>-1995312.5795045791</v>
          </cell>
        </row>
        <row r="45">
          <cell r="I45">
            <v>1423171</v>
          </cell>
          <cell r="M45">
            <v>5000</v>
          </cell>
          <cell r="AB45">
            <v>1462971</v>
          </cell>
        </row>
        <row r="46">
          <cell r="I46">
            <v>-1199686</v>
          </cell>
          <cell r="M46">
            <v>-426189.58889055718</v>
          </cell>
          <cell r="AB46">
            <v>-1909319.9307323496</v>
          </cell>
        </row>
        <row r="47">
          <cell r="I47">
            <v>0</v>
          </cell>
          <cell r="M47">
            <v>0</v>
          </cell>
          <cell r="AB47">
            <v>0</v>
          </cell>
        </row>
        <row r="48">
          <cell r="I48">
            <v>-1087532.9999999998</v>
          </cell>
          <cell r="M48">
            <v>-115200.00000000001</v>
          </cell>
          <cell r="AB48">
            <v>-1255132.9999999998</v>
          </cell>
        </row>
        <row r="49">
          <cell r="I49">
            <v>-33765.000000000007</v>
          </cell>
          <cell r="M49">
            <v>0</v>
          </cell>
          <cell r="AB49">
            <v>-33765.000000000007</v>
          </cell>
        </row>
        <row r="50">
          <cell r="I50">
            <v>-262393.99999999988</v>
          </cell>
          <cell r="M50">
            <v>-26578.943766769604</v>
          </cell>
          <cell r="AB50">
            <v>-262292.35432183061</v>
          </cell>
        </row>
        <row r="55">
          <cell r="I55">
            <v>2251234.0000000005</v>
          </cell>
          <cell r="AB55">
            <v>1030240.3645587582</v>
          </cell>
        </row>
        <row r="56">
          <cell r="I56">
            <v>-24254.00000000032</v>
          </cell>
          <cell r="M56">
            <v>1499.999999999942</v>
          </cell>
          <cell r="AB56">
            <v>-22754.000000000437</v>
          </cell>
        </row>
        <row r="57">
          <cell r="I57">
            <v>0</v>
          </cell>
          <cell r="M57">
            <v>0</v>
          </cell>
          <cell r="AB57">
            <v>0</v>
          </cell>
        </row>
        <row r="58">
          <cell r="I58">
            <v>-36000</v>
          </cell>
          <cell r="M58">
            <v>-18481.25</v>
          </cell>
          <cell r="AB58">
            <v>-72862.5</v>
          </cell>
        </row>
        <row r="59">
          <cell r="I59">
            <v>-220390</v>
          </cell>
          <cell r="M59">
            <v>-128500</v>
          </cell>
          <cell r="AB59">
            <v>-471390</v>
          </cell>
        </row>
        <row r="60">
          <cell r="I60">
            <v>0</v>
          </cell>
          <cell r="M60">
            <v>1600</v>
          </cell>
          <cell r="AB60">
            <v>2100</v>
          </cell>
        </row>
      </sheetData>
      <sheetData sheetId="2">
        <row r="16">
          <cell r="C16">
            <v>-10229456.788000001</v>
          </cell>
          <cell r="G16">
            <v>-12812121.030999999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May"/>
      <sheetName val="April"/>
      <sheetName val="MarchR"/>
      <sheetName val="March"/>
      <sheetName val="March_Sum"/>
      <sheetName val="APRIL_SQ"/>
      <sheetName val="Sheet3"/>
    </sheetNames>
    <sheetDataSet>
      <sheetData sheetId="0">
        <row r="29">
          <cell r="B29">
            <v>1808265</v>
          </cell>
          <cell r="D29">
            <v>162661</v>
          </cell>
          <cell r="F29">
            <v>113813</v>
          </cell>
          <cell r="T29">
            <v>33907</v>
          </cell>
          <cell r="AN29">
            <v>49160</v>
          </cell>
          <cell r="AP29">
            <v>7084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B5" sqref="B5"/>
    </sheetView>
  </sheetViews>
  <sheetFormatPr defaultColWidth="9.109375" defaultRowHeight="13.2" x14ac:dyDescent="0.25"/>
  <cols>
    <col min="1" max="1" width="1.6640625" style="2" customWidth="1"/>
    <col min="2" max="2" width="28.33203125" style="2" customWidth="1"/>
    <col min="3" max="3" width="3.44140625" style="2" customWidth="1"/>
    <col min="4" max="4" width="12.6640625" style="2" customWidth="1"/>
    <col min="5" max="5" width="5.6640625" style="2" customWidth="1"/>
    <col min="6" max="6" width="12.6640625" style="2" customWidth="1"/>
    <col min="7" max="7" width="5.6640625" style="2" customWidth="1"/>
    <col min="8" max="8" width="12.6640625" style="2" customWidth="1"/>
    <col min="9" max="9" width="5.6640625" style="2" customWidth="1"/>
    <col min="10" max="10" width="12.6640625" hidden="1" customWidth="1"/>
    <col min="11" max="11" width="4" style="2" hidden="1" customWidth="1"/>
    <col min="12" max="12" width="12.6640625" style="2" hidden="1" customWidth="1"/>
    <col min="13" max="13" width="3.33203125" style="2" hidden="1" customWidth="1"/>
    <col min="14" max="14" width="12.6640625" style="2" customWidth="1"/>
    <col min="15" max="15" width="3.6640625" style="2" customWidth="1"/>
    <col min="16" max="16384" width="9.109375" style="2"/>
  </cols>
  <sheetData>
    <row r="1" spans="1:15" x14ac:dyDescent="0.25">
      <c r="A1" s="1"/>
      <c r="K1" s="3"/>
    </row>
    <row r="2" spans="1:15" x14ac:dyDescent="0.25">
      <c r="K2" s="4"/>
    </row>
    <row r="3" spans="1:15" x14ac:dyDescent="0.25">
      <c r="K3" s="4"/>
    </row>
    <row r="5" spans="1:15" ht="15.6" x14ac:dyDescent="0.3">
      <c r="A5" s="5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3.8" x14ac:dyDescent="0.25">
      <c r="A6" s="7" t="s">
        <v>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13.8" x14ac:dyDescent="0.25">
      <c r="A7" s="7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5" ht="13.8" x14ac:dyDescent="0.25">
      <c r="A8" s="8"/>
      <c r="B8" s="6"/>
      <c r="C8" s="6"/>
      <c r="D8" s="6"/>
      <c r="E8" s="6"/>
      <c r="G8" s="6"/>
      <c r="I8" s="6"/>
      <c r="K8" s="6"/>
    </row>
    <row r="9" spans="1:15" ht="10.199999999999999" x14ac:dyDescent="0.2">
      <c r="A9" s="6"/>
      <c r="B9" s="6"/>
      <c r="C9" s="6"/>
      <c r="D9" s="9" t="s">
        <v>2</v>
      </c>
      <c r="F9" s="10" t="s">
        <v>3</v>
      </c>
      <c r="H9" s="10" t="s">
        <v>4</v>
      </c>
      <c r="J9" s="9" t="s">
        <v>5</v>
      </c>
      <c r="K9" s="10"/>
      <c r="L9" s="11" t="s">
        <v>6</v>
      </c>
    </row>
    <row r="10" spans="1:15" s="12" customFormat="1" ht="10.199999999999999" x14ac:dyDescent="0.2">
      <c r="D10" s="13" t="s">
        <v>7</v>
      </c>
      <c r="F10" s="13" t="s">
        <v>8</v>
      </c>
      <c r="H10" s="13" t="s">
        <v>8</v>
      </c>
      <c r="J10" s="13" t="s">
        <v>9</v>
      </c>
      <c r="K10" s="9"/>
      <c r="L10" s="14" t="s">
        <v>10</v>
      </c>
      <c r="N10" s="13" t="s">
        <v>5</v>
      </c>
    </row>
    <row r="11" spans="1:15" ht="15" customHeight="1" x14ac:dyDescent="0.2">
      <c r="B11" s="15"/>
      <c r="J11" s="2"/>
      <c r="K11" s="16"/>
    </row>
    <row r="12" spans="1:15" ht="15" customHeight="1" x14ac:dyDescent="0.2">
      <c r="B12" s="17" t="s">
        <v>11</v>
      </c>
      <c r="D12" s="2">
        <f>+[4]Summary!$I$27/1000</f>
        <v>1804.4089999999994</v>
      </c>
      <c r="F12" s="2">
        <f>+Causey_FundsFlow!J26</f>
        <v>378.73858629047152</v>
      </c>
      <c r="H12" s="2">
        <f>N12-D12-F12</f>
        <v>816.85241370952906</v>
      </c>
      <c r="J12" s="2">
        <f>+[3]Summary!$Q$27/1000</f>
        <v>-70.224662782232969</v>
      </c>
      <c r="K12" s="16"/>
      <c r="L12" s="2">
        <f>+N12-J12</f>
        <v>3070.2246627822328</v>
      </c>
      <c r="N12" s="2">
        <f>+[4]Summary!$AB$27/1000</f>
        <v>3000</v>
      </c>
    </row>
    <row r="13" spans="1:15" ht="3.9" customHeight="1" x14ac:dyDescent="0.2">
      <c r="B13" s="15"/>
      <c r="J13" s="2"/>
      <c r="K13" s="16"/>
    </row>
    <row r="14" spans="1:15" ht="15" customHeight="1" x14ac:dyDescent="0.2">
      <c r="B14" s="17" t="s">
        <v>12</v>
      </c>
      <c r="D14" s="2">
        <f>+[4]Summary!$I$40/1000</f>
        <v>-3142.3100000000018</v>
      </c>
      <c r="F14" s="2">
        <f>+'Causey_Working Cap'!J26</f>
        <v>542.61963395775058</v>
      </c>
      <c r="H14" s="2">
        <f>N14-D14-F14</f>
        <v>604.37778653767202</v>
      </c>
      <c r="J14" s="2">
        <f>+[3]Summary!$Q$40/1000</f>
        <v>-2722.0681266322299</v>
      </c>
      <c r="K14" s="16"/>
      <c r="L14" s="2">
        <f>+N14-J14</f>
        <v>726.75554712765074</v>
      </c>
      <c r="N14" s="2">
        <f>+[4]Summary!$AB$40/1000</f>
        <v>-1995.3125795045792</v>
      </c>
    </row>
    <row r="15" spans="1:15" ht="3.9" customHeight="1" x14ac:dyDescent="0.2">
      <c r="B15" s="15"/>
      <c r="J15" s="2"/>
      <c r="K15" s="16"/>
    </row>
    <row r="16" spans="1:15" s="17" customFormat="1" ht="15" customHeight="1" x14ac:dyDescent="0.2">
      <c r="B16" s="18" t="s">
        <v>13</v>
      </c>
      <c r="D16" s="19">
        <f>SUM(D12:D15)</f>
        <v>-1337.9010000000023</v>
      </c>
      <c r="F16" s="19">
        <f>SUM(F12:F15)</f>
        <v>921.3582202482221</v>
      </c>
      <c r="H16" s="19">
        <f>SUM(H12:H15)</f>
        <v>1421.2302002472011</v>
      </c>
      <c r="J16" s="19">
        <f>SUM(J12:J15)</f>
        <v>-2792.2927894144627</v>
      </c>
      <c r="K16" s="20"/>
      <c r="L16" s="19">
        <f>SUM(L12:L15)</f>
        <v>3796.9802099098833</v>
      </c>
      <c r="N16" s="19">
        <f>SUM(N12:N15)</f>
        <v>1004.6874204954208</v>
      </c>
      <c r="O16" s="21"/>
    </row>
    <row r="17" spans="2:14" ht="15" customHeight="1" x14ac:dyDescent="0.25">
      <c r="B17" s="22"/>
      <c r="K17" s="16"/>
    </row>
    <row r="18" spans="2:14" ht="15" customHeight="1" x14ac:dyDescent="0.2">
      <c r="B18" s="17" t="s">
        <v>14</v>
      </c>
      <c r="D18" s="2">
        <f>+[4]Summary!$I$45/1000</f>
        <v>1423.171</v>
      </c>
      <c r="F18" s="2">
        <f>+[4]Summary!$M$45/1000</f>
        <v>5</v>
      </c>
      <c r="H18" s="2">
        <f>N18-D18-F18</f>
        <v>34.799999999999955</v>
      </c>
      <c r="J18" s="2">
        <f>+[3]Summary!$Q$45/1000</f>
        <v>1872.3820000000001</v>
      </c>
      <c r="K18" s="16"/>
      <c r="L18" s="2">
        <v>0</v>
      </c>
      <c r="N18" s="2">
        <f>+[4]Summary!$AB$45/1000</f>
        <v>1462.971</v>
      </c>
    </row>
    <row r="19" spans="2:14" ht="15" customHeight="1" x14ac:dyDescent="0.2">
      <c r="B19" s="17" t="s">
        <v>15</v>
      </c>
      <c r="D19" s="2">
        <f>SUM([4]Summary!$I$46:$I$50)/1000</f>
        <v>-2583.3780000000002</v>
      </c>
      <c r="F19" s="2">
        <f>SUM([4]Summary!$M$46:$M$50)/1000</f>
        <v>-567.96853265732682</v>
      </c>
      <c r="H19" s="2">
        <f>N19-D19-F19</f>
        <v>-309.16375239685283</v>
      </c>
      <c r="J19" s="2">
        <f>SUM([2]FY_Sum!$D$42:$L$42)</f>
        <v>-2860.8427351141891</v>
      </c>
      <c r="K19" s="16"/>
      <c r="L19" s="2">
        <v>0</v>
      </c>
      <c r="N19" s="2">
        <f>SUM([4]Summary!$AB$46:$AB$50)/1000</f>
        <v>-3460.5102850541798</v>
      </c>
    </row>
    <row r="20" spans="2:14" ht="15" customHeight="1" x14ac:dyDescent="0.2">
      <c r="B20" s="15"/>
      <c r="D20" s="19">
        <f>SUM(D18:D19)</f>
        <v>-1160.2070000000001</v>
      </c>
      <c r="E20" s="17"/>
      <c r="F20" s="19">
        <f>SUM(F18:F19)</f>
        <v>-562.96853265732682</v>
      </c>
      <c r="G20" s="17"/>
      <c r="H20" s="19">
        <f>SUM(H18:H19)</f>
        <v>-274.36375239685287</v>
      </c>
      <c r="I20" s="17"/>
      <c r="J20" s="19">
        <f>+J19+J18</f>
        <v>-988.46073511418899</v>
      </c>
      <c r="K20" s="16"/>
      <c r="L20" s="19">
        <f>+L19+L18</f>
        <v>0</v>
      </c>
      <c r="N20" s="19">
        <f>+N19+N18</f>
        <v>-1997.5392850541798</v>
      </c>
    </row>
    <row r="21" spans="2:14" ht="5.0999999999999996" customHeight="1" x14ac:dyDescent="0.2">
      <c r="B21" s="15"/>
      <c r="J21" s="2"/>
      <c r="K21" s="16"/>
    </row>
    <row r="22" spans="2:14" s="17" customFormat="1" ht="15" customHeight="1" x14ac:dyDescent="0.2">
      <c r="B22" s="18" t="s">
        <v>16</v>
      </c>
      <c r="D22" s="17">
        <f>+D20+D16</f>
        <v>-2498.1080000000024</v>
      </c>
      <c r="F22" s="17">
        <f>+F20+F16</f>
        <v>358.38968759089528</v>
      </c>
      <c r="H22" s="17">
        <f>+H20+H16</f>
        <v>1146.8664478503483</v>
      </c>
      <c r="J22" s="17">
        <f>+J20+J16</f>
        <v>-3780.7535245286517</v>
      </c>
      <c r="K22" s="20"/>
      <c r="L22" s="17">
        <f>+L20+L16</f>
        <v>3796.9802099098833</v>
      </c>
      <c r="N22" s="17">
        <f>+N20+N16</f>
        <v>-992.85186455875896</v>
      </c>
    </row>
    <row r="23" spans="2:14" ht="15" customHeight="1" x14ac:dyDescent="0.2">
      <c r="B23" s="15"/>
      <c r="J23" s="2"/>
      <c r="K23" s="16"/>
    </row>
    <row r="24" spans="2:14" ht="15" customHeight="1" x14ac:dyDescent="0.2">
      <c r="B24" s="17" t="s">
        <v>17</v>
      </c>
      <c r="J24" s="2"/>
      <c r="K24" s="16"/>
    </row>
    <row r="25" spans="2:14" ht="15" customHeight="1" x14ac:dyDescent="0.2">
      <c r="B25" s="15" t="s">
        <v>18</v>
      </c>
      <c r="D25" s="2">
        <f>+[4]Summary!$I$55/1000</f>
        <v>2251.2340000000004</v>
      </c>
      <c r="F25" s="2">
        <f>-F22-SUM(F26:F27)</f>
        <v>-214.50843759089523</v>
      </c>
      <c r="H25" s="2">
        <f>N25-D25-F25</f>
        <v>-1006.4851978503468</v>
      </c>
      <c r="J25" s="2">
        <f>+[3]Summary!$Q$55/1000</f>
        <v>4348.4200655493069</v>
      </c>
      <c r="K25" s="16"/>
      <c r="L25" s="2">
        <f>-L22</f>
        <v>-3796.9802099098833</v>
      </c>
      <c r="N25" s="2">
        <f>+[4]Summary!$AB$55/1000</f>
        <v>1030.2403645587583</v>
      </c>
    </row>
    <row r="26" spans="2:14" ht="15" customHeight="1" x14ac:dyDescent="0.2">
      <c r="B26" s="15" t="s">
        <v>19</v>
      </c>
      <c r="D26" s="2">
        <f>SUM([4]Summary!$I$58:$I$59)/1000</f>
        <v>-256.39</v>
      </c>
      <c r="F26" s="2">
        <f>SUM([4]Summary!$M$57:$M$59)/1000</f>
        <v>-146.98124999999999</v>
      </c>
      <c r="H26" s="2">
        <f>N26-D26-F26</f>
        <v>-140.88125000000008</v>
      </c>
      <c r="J26" s="2">
        <f>SUM([3]Summary!$Q$57:$Q$59)/1000</f>
        <v>-570.70849999999996</v>
      </c>
      <c r="K26" s="16"/>
      <c r="L26" s="2">
        <v>0</v>
      </c>
      <c r="N26" s="2">
        <f>SUM([4]Summary!$AB$58:$AB$59)/1000</f>
        <v>-544.25250000000005</v>
      </c>
    </row>
    <row r="27" spans="2:14" ht="15" customHeight="1" x14ac:dyDescent="0.2">
      <c r="B27" s="15" t="s">
        <v>20</v>
      </c>
      <c r="D27" s="2">
        <f>SUM([4]Summary!$I$56:$I$57,[4]Summary!$I$60)/1000</f>
        <v>-24.254000000000321</v>
      </c>
      <c r="F27" s="2">
        <f>([4]Summary!$M$56+[4]Summary!$M$60)/1000</f>
        <v>3.0999999999999419</v>
      </c>
      <c r="H27" s="2">
        <f>N27-D27-F27</f>
        <v>0.49999999999994227</v>
      </c>
      <c r="J27" s="2">
        <f>SUM([3]Summary!$Q$56,[3]Summary!$Q$60)/1000</f>
        <v>-53.701704966475162</v>
      </c>
      <c r="K27" s="16"/>
      <c r="L27" s="2">
        <v>0</v>
      </c>
      <c r="N27" s="2">
        <f>SUM([4]Summary!$AB$56:$AB$57,[4]Summary!$AB$60)/1000</f>
        <v>-20.654000000000437</v>
      </c>
    </row>
    <row r="28" spans="2:14" ht="15" customHeight="1" x14ac:dyDescent="0.2">
      <c r="B28" s="15"/>
      <c r="D28" s="19">
        <f>SUM(D25:D27)</f>
        <v>1970.5900000000001</v>
      </c>
      <c r="E28" s="17"/>
      <c r="F28" s="19">
        <f>SUM(F25:F27)</f>
        <v>-358.38968759089522</v>
      </c>
      <c r="G28" s="17"/>
      <c r="H28" s="19">
        <f>SUM(H25:H27)</f>
        <v>-1146.866447850347</v>
      </c>
      <c r="I28" s="17"/>
      <c r="J28" s="19">
        <f>SUM(J25:J27)</f>
        <v>3724.0098605828321</v>
      </c>
      <c r="K28" s="16"/>
      <c r="L28" s="19">
        <f>SUM(L25:L27)</f>
        <v>-3796.9802099098833</v>
      </c>
      <c r="N28" s="19">
        <f>SUM(N25:N27)</f>
        <v>465.3338645587578</v>
      </c>
    </row>
    <row r="29" spans="2:14" ht="5.0999999999999996" customHeight="1" x14ac:dyDescent="0.2">
      <c r="B29" s="15"/>
      <c r="J29" s="2"/>
      <c r="K29" s="16"/>
    </row>
    <row r="30" spans="2:14" ht="15" customHeight="1" x14ac:dyDescent="0.2">
      <c r="B30" s="17" t="s">
        <v>21</v>
      </c>
      <c r="D30" s="23">
        <f>+D28+D22</f>
        <v>-527.5180000000023</v>
      </c>
      <c r="F30" s="23">
        <f>ROUND(+F28+F22,1)</f>
        <v>0</v>
      </c>
      <c r="H30" s="23">
        <f>ROUND(+H28+H22,1)</f>
        <v>0</v>
      </c>
      <c r="J30" s="23">
        <f>+J28+J22</f>
        <v>-56.743663945819662</v>
      </c>
      <c r="K30" s="16"/>
      <c r="L30" s="23">
        <f>ROUND(+L28+L22,1)</f>
        <v>0</v>
      </c>
      <c r="N30" s="23">
        <f>+N28+N22</f>
        <v>-527.51800000000117</v>
      </c>
    </row>
    <row r="31" spans="2:14" ht="15" customHeight="1" x14ac:dyDescent="0.2">
      <c r="B31" s="15"/>
      <c r="J31" s="2"/>
      <c r="K31" s="16"/>
    </row>
    <row r="32" spans="2:14" ht="5.25" customHeight="1" x14ac:dyDescent="0.2">
      <c r="B32" s="15"/>
      <c r="J32" s="2"/>
      <c r="K32" s="16"/>
    </row>
    <row r="33" spans="2:14" ht="15" customHeight="1" x14ac:dyDescent="0.2">
      <c r="B33" s="17" t="s">
        <v>22</v>
      </c>
      <c r="J33" s="2"/>
      <c r="K33" s="16"/>
    </row>
    <row r="34" spans="2:14" ht="15" customHeight="1" x14ac:dyDescent="0.2">
      <c r="B34" s="15" t="s">
        <v>23</v>
      </c>
      <c r="D34" s="17">
        <f>-[4]BS_Sum!$C$16/1000</f>
        <v>10229.456788000001</v>
      </c>
      <c r="F34" s="2">
        <f>+D37</f>
        <v>12812.121030999999</v>
      </c>
      <c r="H34" s="2">
        <f>+F37</f>
        <v>12597.612593409103</v>
      </c>
      <c r="J34" s="2">
        <f>+D34</f>
        <v>10229.456788000001</v>
      </c>
      <c r="K34" s="16"/>
      <c r="N34" s="2">
        <f>+J34</f>
        <v>10229.456788000001</v>
      </c>
    </row>
    <row r="35" spans="2:14" ht="15" customHeight="1" x14ac:dyDescent="0.2">
      <c r="B35" s="15" t="s">
        <v>24</v>
      </c>
      <c r="D35" s="2">
        <f>+D25</f>
        <v>2251.2340000000004</v>
      </c>
      <c r="F35" s="2">
        <f>+F25</f>
        <v>-214.50843759089523</v>
      </c>
      <c r="H35" s="2">
        <f>+H25</f>
        <v>-1006.4851978503468</v>
      </c>
      <c r="J35" s="2">
        <f>SUM(D35:I35)</f>
        <v>1030.2403645587583</v>
      </c>
      <c r="K35" s="16"/>
      <c r="L35" s="2">
        <f>+L25</f>
        <v>-3796.9802099098833</v>
      </c>
      <c r="N35" s="2">
        <f>+N25</f>
        <v>1030.2403645587583</v>
      </c>
    </row>
    <row r="36" spans="2:14" ht="15" customHeight="1" x14ac:dyDescent="0.2">
      <c r="B36" s="15" t="s">
        <v>25</v>
      </c>
      <c r="D36" s="2">
        <f>+D37-SUM(D34:D35)</f>
        <v>331.43024299999706</v>
      </c>
      <c r="F36" s="2">
        <v>0</v>
      </c>
      <c r="H36" s="2">
        <v>0</v>
      </c>
      <c r="J36" s="2">
        <f>SUM(D36:I36)</f>
        <v>331.43024299999706</v>
      </c>
      <c r="K36" s="16"/>
      <c r="L36" s="2">
        <v>0</v>
      </c>
      <c r="N36" s="2">
        <f>SUM(J36:M36)</f>
        <v>331.43024299999706</v>
      </c>
    </row>
    <row r="37" spans="2:14" ht="15" customHeight="1" x14ac:dyDescent="0.2">
      <c r="B37" s="24" t="s">
        <v>26</v>
      </c>
      <c r="D37" s="19">
        <f>-[4]BS_Sum!$G$16/1000</f>
        <v>12812.121030999999</v>
      </c>
      <c r="E37" s="17"/>
      <c r="F37" s="19">
        <f>SUM(F34:F36)</f>
        <v>12597.612593409103</v>
      </c>
      <c r="G37" s="17"/>
      <c r="H37" s="19">
        <f>SUM(H34:H36)</f>
        <v>11591.127395558757</v>
      </c>
      <c r="I37" s="17"/>
      <c r="J37" s="19">
        <f>SUM(J34:J36)</f>
        <v>11591.127395558757</v>
      </c>
      <c r="K37" s="16"/>
      <c r="L37" s="19">
        <f>SUM(L34:L36)</f>
        <v>-3796.9802099098833</v>
      </c>
      <c r="N37" s="19">
        <f>SUM(N34:N36)</f>
        <v>11591.127395558757</v>
      </c>
    </row>
    <row r="38" spans="2:14" ht="15" customHeight="1" x14ac:dyDescent="0.2">
      <c r="B38" s="15"/>
      <c r="J38" s="2"/>
      <c r="K38" s="16"/>
    </row>
    <row r="39" spans="2:14" ht="15" customHeight="1" x14ac:dyDescent="0.2">
      <c r="B39" s="15"/>
      <c r="C39" s="21"/>
      <c r="D39" s="25"/>
      <c r="J39" s="2"/>
      <c r="K39" s="16"/>
    </row>
    <row r="40" spans="2:14" ht="15" customHeight="1" x14ac:dyDescent="0.2">
      <c r="B40" s="15"/>
      <c r="J40" s="2"/>
      <c r="K40" s="16"/>
    </row>
    <row r="42" spans="2:14" x14ac:dyDescent="0.25">
      <c r="B42" s="2" t="s">
        <v>27</v>
      </c>
    </row>
  </sheetData>
  <phoneticPr fontId="0" type="noConversion"/>
  <printOptions horizontalCentered="1"/>
  <pageMargins left="0.5" right="0.5" top="0.3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workbookViewId="0">
      <pane xSplit="2" ySplit="12" topLeftCell="C17" activePane="bottomRight" state="frozen"/>
      <selection activeCell="D37" sqref="D37"/>
      <selection pane="topRight" activeCell="D37" sqref="D37"/>
      <selection pane="bottomLeft" activeCell="D37" sqref="D37"/>
      <selection pane="bottomRight" activeCell="D37" sqref="D37"/>
    </sheetView>
  </sheetViews>
  <sheetFormatPr defaultColWidth="9.109375" defaultRowHeight="10.199999999999999" x14ac:dyDescent="0.2"/>
  <cols>
    <col min="1" max="1" width="3.109375" style="2" customWidth="1"/>
    <col min="2" max="2" width="22.44140625" style="2" bestFit="1" customWidth="1"/>
    <col min="3" max="3" width="3.44140625" style="2" customWidth="1"/>
    <col min="4" max="4" width="12.6640625" style="2" customWidth="1"/>
    <col min="5" max="5" width="3.44140625" style="2" customWidth="1"/>
    <col min="6" max="6" width="12.44140625" style="2" customWidth="1"/>
    <col min="7" max="7" width="3.44140625" style="2" customWidth="1"/>
    <col min="8" max="8" width="12.109375" style="2" customWidth="1"/>
    <col min="9" max="9" width="3" style="2" customWidth="1"/>
    <col min="10" max="10" width="12.33203125" style="2" customWidth="1"/>
    <col min="11" max="11" width="4.5546875" style="2" customWidth="1"/>
    <col min="12" max="12" width="9.88671875" style="2" customWidth="1"/>
    <col min="13" max="13" width="5.44140625" style="2" customWidth="1"/>
    <col min="14" max="16384" width="9.109375" style="2"/>
  </cols>
  <sheetData>
    <row r="1" spans="1:13" x14ac:dyDescent="0.2">
      <c r="A1" s="1"/>
    </row>
    <row r="5" spans="1:13" ht="15.6" x14ac:dyDescent="0.3">
      <c r="A5" s="26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3.8" x14ac:dyDescent="0.25">
      <c r="A6" s="29" t="s">
        <v>11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3.8" x14ac:dyDescent="0.25">
      <c r="A7" s="30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3.8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3.5" customHeight="1" x14ac:dyDescent="0.25">
      <c r="A9" s="32"/>
      <c r="B9" s="33"/>
      <c r="C9" s="33"/>
      <c r="D9" s="33"/>
      <c r="E9" s="33"/>
      <c r="F9" s="34"/>
      <c r="G9" s="34"/>
      <c r="H9" s="35" t="s">
        <v>29</v>
      </c>
      <c r="I9" s="34"/>
      <c r="J9" s="34"/>
      <c r="K9" s="33"/>
      <c r="L9" s="33"/>
      <c r="M9" s="33"/>
    </row>
    <row r="10" spans="1:13" ht="13.5" customHeight="1" x14ac:dyDescent="0.2">
      <c r="A10" s="6"/>
      <c r="B10" s="6"/>
      <c r="C10" s="6"/>
      <c r="D10" s="9" t="s">
        <v>2</v>
      </c>
      <c r="F10" s="36" t="s">
        <v>30</v>
      </c>
      <c r="G10" s="37"/>
      <c r="H10" s="36" t="s">
        <v>31</v>
      </c>
      <c r="I10" s="27"/>
      <c r="J10" s="27"/>
      <c r="K10" s="27"/>
      <c r="L10" s="38" t="s">
        <v>32</v>
      </c>
      <c r="M10" s="39"/>
    </row>
    <row r="11" spans="1:13" s="12" customFormat="1" x14ac:dyDescent="0.2">
      <c r="D11" s="13" t="s">
        <v>7</v>
      </c>
      <c r="F11" s="40" t="s">
        <v>33</v>
      </c>
      <c r="G11" s="41"/>
      <c r="H11" s="42" t="s">
        <v>34</v>
      </c>
      <c r="I11" s="41"/>
      <c r="J11" s="42" t="s">
        <v>35</v>
      </c>
      <c r="K11" s="41"/>
      <c r="L11" s="42" t="s">
        <v>9</v>
      </c>
      <c r="M11" s="38"/>
    </row>
    <row r="12" spans="1:13" ht="5.0999999999999996" customHeight="1" x14ac:dyDescent="0.2"/>
    <row r="13" spans="1:13" ht="15" customHeight="1" x14ac:dyDescent="0.2">
      <c r="B13" s="17" t="s">
        <v>36</v>
      </c>
    </row>
    <row r="14" spans="1:13" ht="18" customHeight="1" x14ac:dyDescent="0.2">
      <c r="B14" s="15" t="s">
        <v>37</v>
      </c>
      <c r="D14" s="2">
        <f>+[5]June!$D$29/1000</f>
        <v>162.661</v>
      </c>
      <c r="F14" s="2">
        <f>+[1]FundsFlow!L13</f>
        <v>60.8</v>
      </c>
      <c r="H14" s="2">
        <v>0</v>
      </c>
      <c r="J14" s="2">
        <f>F14+H14</f>
        <v>60.8</v>
      </c>
      <c r="L14" s="2">
        <f>J14+D14</f>
        <v>223.46100000000001</v>
      </c>
    </row>
    <row r="15" spans="1:13" ht="18" customHeight="1" x14ac:dyDescent="0.2">
      <c r="B15" s="15" t="s">
        <v>38</v>
      </c>
      <c r="D15" s="2">
        <f>+[5]June!$F$29/1000</f>
        <v>113.813</v>
      </c>
      <c r="F15" s="2">
        <f>+[1]FundsFlow!L14</f>
        <v>29.048910089479083</v>
      </c>
      <c r="H15" s="43">
        <v>0</v>
      </c>
      <c r="J15" s="43">
        <f>F15+H15</f>
        <v>29.048910089479083</v>
      </c>
      <c r="L15" s="43">
        <f>J15+D15</f>
        <v>142.8619100894791</v>
      </c>
    </row>
    <row r="16" spans="1:13" ht="15" customHeight="1" x14ac:dyDescent="0.2">
      <c r="B16" s="15"/>
      <c r="D16" s="19">
        <f>SUM(D14:D15)</f>
        <v>276.47399999999999</v>
      </c>
      <c r="F16" s="19">
        <f>SUM(F14:F15)</f>
        <v>89.848910089479077</v>
      </c>
      <c r="H16" s="2">
        <f>SUM(H14:H15)</f>
        <v>0</v>
      </c>
      <c r="J16" s="17">
        <f>SUM(J14:J15)</f>
        <v>89.848910089479077</v>
      </c>
      <c r="L16" s="17">
        <f>J16+D16</f>
        <v>366.32291008947908</v>
      </c>
    </row>
    <row r="17" spans="1:13" x14ac:dyDescent="0.2">
      <c r="B17" s="15"/>
      <c r="D17" s="44"/>
      <c r="J17" s="17"/>
      <c r="L17" s="17"/>
    </row>
    <row r="18" spans="1:13" ht="15" customHeight="1" x14ac:dyDescent="0.2">
      <c r="B18" s="17" t="s">
        <v>39</v>
      </c>
      <c r="D18" s="45">
        <f>+[1]FundsFlow!D34</f>
        <v>852.56999999999982</v>
      </c>
      <c r="F18" s="45">
        <f>+[1]FundsFlow!L34</f>
        <v>-93.442151916426553</v>
      </c>
      <c r="H18" s="17">
        <v>800</v>
      </c>
      <c r="I18" s="46" t="s">
        <v>40</v>
      </c>
      <c r="J18" s="17">
        <f>F18+H18</f>
        <v>706.55784808357339</v>
      </c>
      <c r="L18" s="17">
        <f>J18+D18</f>
        <v>1559.1278480835731</v>
      </c>
    </row>
    <row r="19" spans="1:13" x14ac:dyDescent="0.2">
      <c r="B19" s="15"/>
    </row>
    <row r="20" spans="1:13" ht="18" customHeight="1" x14ac:dyDescent="0.2">
      <c r="B20" s="47" t="s">
        <v>41</v>
      </c>
      <c r="D20" s="2">
        <f>+[5]June!$T$29/1000</f>
        <v>33.906999999999996</v>
      </c>
      <c r="F20" s="2">
        <f>+[1]FundsFlow!L36</f>
        <v>-80.199999999999989</v>
      </c>
      <c r="H20" s="2">
        <v>0</v>
      </c>
      <c r="J20" s="17">
        <f>F20+H20</f>
        <v>-80.199999999999989</v>
      </c>
      <c r="L20" s="17">
        <f>J20+D20</f>
        <v>-46.292999999999992</v>
      </c>
    </row>
    <row r="21" spans="1:13" ht="18" customHeight="1" x14ac:dyDescent="0.2">
      <c r="B21" s="47" t="s">
        <v>42</v>
      </c>
      <c r="D21" s="2">
        <f>+[5]June!$AN$29/1000</f>
        <v>49.16</v>
      </c>
      <c r="F21" s="2">
        <f>+[1]FundsFlow!L37</f>
        <v>3.7720000000000438</v>
      </c>
      <c r="H21" s="2">
        <v>0</v>
      </c>
      <c r="J21" s="17">
        <f>F21+H21</f>
        <v>3.7720000000000438</v>
      </c>
      <c r="L21" s="17">
        <f>J21+D21</f>
        <v>52.932000000000038</v>
      </c>
    </row>
    <row r="22" spans="1:13" ht="18" customHeight="1" x14ac:dyDescent="0.2">
      <c r="B22" s="47" t="s">
        <v>43</v>
      </c>
      <c r="D22" s="2">
        <f>+[5]June!$AP$29/1000</f>
        <v>7.0839999999999996</v>
      </c>
      <c r="F22" s="2">
        <f>+[1]FundsFlow!L38</f>
        <v>12.500000000000007</v>
      </c>
      <c r="H22" s="2">
        <v>0</v>
      </c>
      <c r="J22" s="17">
        <f>F22+H22</f>
        <v>12.500000000000007</v>
      </c>
      <c r="L22" s="17">
        <f>J22+D22</f>
        <v>19.584000000000007</v>
      </c>
    </row>
    <row r="23" spans="1:13" x14ac:dyDescent="0.2">
      <c r="B23" s="15"/>
    </row>
    <row r="24" spans="1:13" ht="18" customHeight="1" x14ac:dyDescent="0.2">
      <c r="B24" s="2" t="s">
        <v>44</v>
      </c>
      <c r="D24" s="2">
        <f>+D26-D16-D18-SUM(D20:D22)</f>
        <v>589.07000000000039</v>
      </c>
      <c r="F24" s="2">
        <f>+[1]FundsFlow!L40</f>
        <v>-353.74017188258102</v>
      </c>
      <c r="H24" s="2">
        <v>0</v>
      </c>
      <c r="J24" s="2">
        <f>F24+H24</f>
        <v>-353.74017188258102</v>
      </c>
      <c r="L24" s="2">
        <f>J24+D24</f>
        <v>235.32982811741937</v>
      </c>
    </row>
    <row r="25" spans="1:13" x14ac:dyDescent="0.2">
      <c r="B25" s="15"/>
    </row>
    <row r="26" spans="1:13" x14ac:dyDescent="0.2">
      <c r="B26" s="17" t="s">
        <v>45</v>
      </c>
      <c r="C26" s="17"/>
      <c r="D26" s="23">
        <f>+[5]June!$B$29/1000</f>
        <v>1808.2650000000001</v>
      </c>
      <c r="E26" s="17"/>
      <c r="F26" s="23">
        <f>+F16+F18+SUM(F20:F24)</f>
        <v>-421.26141370952843</v>
      </c>
      <c r="G26" s="17"/>
      <c r="H26" s="23">
        <f>H16+H18+H20+H21+H22+H24</f>
        <v>800</v>
      </c>
      <c r="I26" s="17"/>
      <c r="J26" s="23">
        <f>+J16+J18+SUM(J20:J24)</f>
        <v>378.73858629047152</v>
      </c>
      <c r="K26" s="17"/>
      <c r="L26" s="23">
        <f>J26+D26</f>
        <v>2187.0035862904715</v>
      </c>
      <c r="M26" s="17"/>
    </row>
    <row r="27" spans="1:13" ht="18.75" customHeight="1" x14ac:dyDescent="0.2">
      <c r="B27" s="15"/>
    </row>
    <row r="28" spans="1:13" ht="12.75" customHeight="1" x14ac:dyDescent="0.2">
      <c r="B28" s="15" t="s">
        <v>46</v>
      </c>
    </row>
    <row r="29" spans="1:13" ht="12" customHeight="1" x14ac:dyDescent="0.2">
      <c r="B29" s="15" t="s">
        <v>47</v>
      </c>
    </row>
    <row r="30" spans="1:13" ht="7.5" customHeight="1" x14ac:dyDescent="0.2">
      <c r="B30" s="15"/>
    </row>
    <row r="31" spans="1:13" x14ac:dyDescent="0.2">
      <c r="A31" s="48"/>
      <c r="B31" s="2" t="s">
        <v>48</v>
      </c>
    </row>
    <row r="32" spans="1:13" x14ac:dyDescent="0.2">
      <c r="A32" s="48"/>
      <c r="B32" s="2" t="s">
        <v>49</v>
      </c>
    </row>
    <row r="33" spans="1:4" x14ac:dyDescent="0.2">
      <c r="A33" s="48"/>
      <c r="B33" s="2" t="s">
        <v>50</v>
      </c>
    </row>
    <row r="34" spans="1:4" x14ac:dyDescent="0.2">
      <c r="A34" s="48"/>
    </row>
    <row r="35" spans="1:4" x14ac:dyDescent="0.2">
      <c r="B35" s="15"/>
      <c r="D35" s="2">
        <f>+D16+D18+SUM(D20:D24)</f>
        <v>1808.2650000000003</v>
      </c>
    </row>
    <row r="36" spans="1:4" x14ac:dyDescent="0.2">
      <c r="B36" s="15"/>
    </row>
    <row r="37" spans="1:4" ht="15" customHeight="1" x14ac:dyDescent="0.2">
      <c r="B37" s="17" t="s">
        <v>44</v>
      </c>
    </row>
    <row r="38" spans="1:4" ht="15" customHeight="1" x14ac:dyDescent="0.2">
      <c r="B38" s="15" t="s">
        <v>51</v>
      </c>
    </row>
    <row r="39" spans="1:4" ht="15" customHeight="1" x14ac:dyDescent="0.2">
      <c r="B39" s="15" t="s">
        <v>52</v>
      </c>
    </row>
    <row r="40" spans="1:4" ht="15" customHeight="1" x14ac:dyDescent="0.2">
      <c r="B40" s="15" t="s">
        <v>53</v>
      </c>
    </row>
    <row r="41" spans="1:4" ht="15" customHeight="1" x14ac:dyDescent="0.2">
      <c r="B41" s="15" t="s">
        <v>54</v>
      </c>
    </row>
    <row r="42" spans="1:4" ht="15" customHeight="1" x14ac:dyDescent="0.2">
      <c r="B42" s="15" t="s">
        <v>55</v>
      </c>
    </row>
    <row r="43" spans="1:4" ht="15" customHeight="1" x14ac:dyDescent="0.2">
      <c r="B43" s="15" t="s">
        <v>56</v>
      </c>
    </row>
    <row r="44" spans="1:4" ht="15" customHeight="1" x14ac:dyDescent="0.2">
      <c r="B44" s="15" t="s">
        <v>57</v>
      </c>
    </row>
    <row r="45" spans="1:4" ht="15" customHeight="1" x14ac:dyDescent="0.2">
      <c r="B45" s="15" t="s">
        <v>58</v>
      </c>
    </row>
    <row r="46" spans="1:4" ht="15" customHeight="1" x14ac:dyDescent="0.2">
      <c r="B46" s="15"/>
      <c r="D46" s="19"/>
    </row>
    <row r="47" spans="1:4" x14ac:dyDescent="0.2">
      <c r="B47" s="15"/>
    </row>
    <row r="48" spans="1:4" s="17" customFormat="1" ht="15" customHeight="1" x14ac:dyDescent="0.2">
      <c r="B48" s="17" t="s">
        <v>45</v>
      </c>
      <c r="D48" s="2"/>
    </row>
  </sheetData>
  <phoneticPr fontId="0" type="noConversion"/>
  <printOptions horizontalCentered="1"/>
  <pageMargins left="0.5" right="0.92" top="0.59" bottom="0.5" header="0.44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workbookViewId="0">
      <pane xSplit="2" ySplit="12" topLeftCell="C17" activePane="bottomRight" state="frozen"/>
      <selection activeCell="D37" sqref="D37"/>
      <selection pane="topRight" activeCell="D37" sqref="D37"/>
      <selection pane="bottomLeft" activeCell="D37" sqref="D37"/>
      <selection pane="bottomRight" activeCell="D37" sqref="D37"/>
    </sheetView>
  </sheetViews>
  <sheetFormatPr defaultColWidth="9.109375" defaultRowHeight="10.199999999999999" x14ac:dyDescent="0.2"/>
  <cols>
    <col min="1" max="1" width="3.109375" style="2" customWidth="1"/>
    <col min="2" max="2" width="22.44140625" style="2" bestFit="1" customWidth="1"/>
    <col min="3" max="3" width="3.44140625" style="2" customWidth="1"/>
    <col min="4" max="4" width="12.6640625" style="2" customWidth="1"/>
    <col min="5" max="5" width="3.44140625" style="2" customWidth="1"/>
    <col min="6" max="6" width="12.44140625" style="2" customWidth="1"/>
    <col min="7" max="7" width="3.44140625" style="2" customWidth="1"/>
    <col min="8" max="8" width="12.109375" style="2" customWidth="1"/>
    <col min="9" max="9" width="3.44140625" style="2" customWidth="1"/>
    <col min="10" max="10" width="12.33203125" style="2" customWidth="1"/>
    <col min="11" max="11" width="4.5546875" style="2" customWidth="1"/>
    <col min="12" max="12" width="9.88671875" style="2" customWidth="1"/>
    <col min="13" max="13" width="5.44140625" style="2" customWidth="1"/>
    <col min="14" max="16384" width="9.109375" style="2"/>
  </cols>
  <sheetData>
    <row r="1" spans="1:13" x14ac:dyDescent="0.2">
      <c r="A1" s="1"/>
    </row>
    <row r="5" spans="1:13" ht="15.6" x14ac:dyDescent="0.3">
      <c r="A5" s="26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3.8" x14ac:dyDescent="0.25">
      <c r="A6" s="29" t="s">
        <v>12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3.8" x14ac:dyDescent="0.25">
      <c r="A7" s="30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3.8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3.5" customHeight="1" x14ac:dyDescent="0.25">
      <c r="A9" s="32"/>
      <c r="B9" s="33"/>
      <c r="C9" s="33"/>
      <c r="D9" s="33"/>
      <c r="E9" s="33"/>
      <c r="F9" s="34"/>
      <c r="G9" s="34"/>
      <c r="H9" s="35" t="s">
        <v>29</v>
      </c>
      <c r="I9" s="34"/>
      <c r="J9" s="34"/>
      <c r="K9" s="33"/>
      <c r="L9" s="33"/>
      <c r="M9" s="33"/>
    </row>
    <row r="10" spans="1:13" ht="13.5" customHeight="1" x14ac:dyDescent="0.2">
      <c r="A10" s="6"/>
      <c r="B10" s="6"/>
      <c r="C10" s="6"/>
      <c r="D10" s="9" t="s">
        <v>2</v>
      </c>
      <c r="F10" s="36" t="s">
        <v>30</v>
      </c>
      <c r="G10" s="37"/>
      <c r="H10" s="36" t="s">
        <v>31</v>
      </c>
      <c r="I10" s="27"/>
      <c r="J10" s="27"/>
      <c r="K10" s="27"/>
      <c r="L10" s="38" t="s">
        <v>32</v>
      </c>
      <c r="M10" s="39"/>
    </row>
    <row r="11" spans="1:13" s="12" customFormat="1" x14ac:dyDescent="0.2">
      <c r="D11" s="13" t="s">
        <v>7</v>
      </c>
      <c r="F11" s="40" t="s">
        <v>33</v>
      </c>
      <c r="G11" s="41"/>
      <c r="H11" s="42" t="s">
        <v>34</v>
      </c>
      <c r="I11" s="41"/>
      <c r="J11" s="42" t="s">
        <v>45</v>
      </c>
      <c r="K11" s="41"/>
      <c r="L11" s="42" t="s">
        <v>9</v>
      </c>
      <c r="M11" s="38"/>
    </row>
    <row r="12" spans="1:13" ht="5.0999999999999996" customHeight="1" x14ac:dyDescent="0.2"/>
    <row r="13" spans="1:13" ht="15" customHeight="1" x14ac:dyDescent="0.2">
      <c r="B13" s="17" t="s">
        <v>36</v>
      </c>
    </row>
    <row r="14" spans="1:13" ht="18" customHeight="1" x14ac:dyDescent="0.2">
      <c r="B14" s="15" t="s">
        <v>37</v>
      </c>
      <c r="D14" s="2">
        <f>[1]WorkingCapital!D13</f>
        <v>-38.801000000000002</v>
      </c>
      <c r="F14" s="2">
        <f>[1]WorkingCapital!L13</f>
        <v>75.800000000000011</v>
      </c>
      <c r="H14" s="2">
        <v>0</v>
      </c>
      <c r="J14" s="2">
        <f>F14+H14</f>
        <v>75.800000000000011</v>
      </c>
      <c r="L14" s="2">
        <f>J14+D14</f>
        <v>36.999000000000009</v>
      </c>
    </row>
    <row r="15" spans="1:13" ht="18" customHeight="1" x14ac:dyDescent="0.2">
      <c r="B15" s="15" t="s">
        <v>38</v>
      </c>
      <c r="D15" s="2">
        <f>[1]WorkingCapital!D14</f>
        <v>-240.572</v>
      </c>
      <c r="F15" s="2">
        <f>[1]WorkingCapital!L14</f>
        <v>7.3518477822743096</v>
      </c>
      <c r="H15" s="43">
        <v>0</v>
      </c>
      <c r="J15" s="43">
        <f>F15+H15</f>
        <v>7.3518477822743096</v>
      </c>
      <c r="L15" s="43">
        <f>J15+D15</f>
        <v>-233.22015221772568</v>
      </c>
    </row>
    <row r="16" spans="1:13" ht="15" customHeight="1" x14ac:dyDescent="0.2">
      <c r="B16" s="15"/>
      <c r="D16" s="19">
        <f>[1]WorkingCapital!D15</f>
        <v>-279.37299999999999</v>
      </c>
      <c r="F16" s="19">
        <f>[1]WorkingCapital!L15</f>
        <v>83.151847782274317</v>
      </c>
      <c r="H16" s="2">
        <f>SUM(H14:H15)</f>
        <v>0</v>
      </c>
      <c r="J16" s="17">
        <f>SUM(J14:J15)</f>
        <v>83.151847782274317</v>
      </c>
      <c r="L16" s="17">
        <f>J16+D16</f>
        <v>-196.22115221772566</v>
      </c>
    </row>
    <row r="17" spans="1:13" x14ac:dyDescent="0.2">
      <c r="B17" s="15"/>
      <c r="J17" s="17"/>
      <c r="L17" s="17"/>
    </row>
    <row r="18" spans="1:13" ht="15" customHeight="1" x14ac:dyDescent="0.2">
      <c r="B18" s="17" t="s">
        <v>39</v>
      </c>
      <c r="D18" s="45">
        <f>[1]WorkingCapital!D34</f>
        <v>-2230.3900000000003</v>
      </c>
      <c r="F18" s="45">
        <f>[1]WorkingCapital!L34</f>
        <v>-248.54316828992029</v>
      </c>
      <c r="H18" s="17">
        <v>500</v>
      </c>
      <c r="I18" s="49" t="s">
        <v>59</v>
      </c>
      <c r="J18" s="17">
        <f>F18+H18</f>
        <v>251.45683171007971</v>
      </c>
      <c r="L18" s="17">
        <f>J18+D18</f>
        <v>-1978.9331682899206</v>
      </c>
    </row>
    <row r="19" spans="1:13" x14ac:dyDescent="0.2">
      <c r="B19" s="15"/>
    </row>
    <row r="20" spans="1:13" ht="18" customHeight="1" x14ac:dyDescent="0.2">
      <c r="B20" s="47" t="s">
        <v>41</v>
      </c>
      <c r="D20" s="2">
        <f>[1]WorkingCapital!D36</f>
        <v>-76.668000000000006</v>
      </c>
      <c r="F20" s="2">
        <f>[1]WorkingCapital!L36</f>
        <v>-112.1</v>
      </c>
      <c r="H20" s="2">
        <v>0</v>
      </c>
      <c r="J20" s="17">
        <f>F20+H20</f>
        <v>-112.1</v>
      </c>
      <c r="L20" s="17">
        <f>J20+D20</f>
        <v>-188.768</v>
      </c>
    </row>
    <row r="21" spans="1:13" ht="18" customHeight="1" x14ac:dyDescent="0.2">
      <c r="B21" s="47" t="s">
        <v>42</v>
      </c>
      <c r="D21" s="2">
        <f>[1]WorkingCapital!D37</f>
        <v>-156.131</v>
      </c>
      <c r="F21" s="2">
        <f>[1]WorkingCapital!L37</f>
        <v>-2</v>
      </c>
      <c r="H21" s="2">
        <v>0</v>
      </c>
      <c r="J21" s="17">
        <f>F21+H21</f>
        <v>-2</v>
      </c>
      <c r="L21" s="17">
        <f>J21+D21</f>
        <v>-158.131</v>
      </c>
    </row>
    <row r="22" spans="1:13" ht="18" customHeight="1" x14ac:dyDescent="0.2">
      <c r="B22" s="47" t="s">
        <v>43</v>
      </c>
      <c r="D22" s="2">
        <f>[1]WorkingCapital!D38</f>
        <v>-118.02</v>
      </c>
      <c r="F22" s="2">
        <f>[1]WorkingCapital!L38</f>
        <v>71.699999999999989</v>
      </c>
      <c r="H22" s="2">
        <v>0</v>
      </c>
      <c r="J22" s="17">
        <f>F22+H22</f>
        <v>71.699999999999989</v>
      </c>
      <c r="L22" s="17">
        <f>J22+D22</f>
        <v>-46.320000000000007</v>
      </c>
    </row>
    <row r="23" spans="1:13" x14ac:dyDescent="0.2">
      <c r="B23" s="15"/>
    </row>
    <row r="24" spans="1:13" ht="18" customHeight="1" x14ac:dyDescent="0.2">
      <c r="B24" s="2" t="s">
        <v>44</v>
      </c>
      <c r="D24" s="2">
        <f>[1]WorkingCapital!D40</f>
        <v>-281.72799999999955</v>
      </c>
      <c r="F24" s="2">
        <f>[1]WorkingCapital!L40</f>
        <v>250.41095446539657</v>
      </c>
      <c r="H24" s="2">
        <v>0</v>
      </c>
      <c r="J24" s="2">
        <f>F24+H24</f>
        <v>250.41095446539657</v>
      </c>
      <c r="L24" s="2">
        <f>J24+D24</f>
        <v>-31.317045534602983</v>
      </c>
    </row>
    <row r="25" spans="1:13" x14ac:dyDescent="0.2">
      <c r="B25" s="15"/>
    </row>
    <row r="26" spans="1:13" x14ac:dyDescent="0.2">
      <c r="B26" s="17" t="s">
        <v>45</v>
      </c>
      <c r="C26" s="17"/>
      <c r="D26" s="23">
        <f>[1]WorkingCapital!D42</f>
        <v>-3142.31</v>
      </c>
      <c r="E26" s="17"/>
      <c r="F26" s="23">
        <f>[1]WorkingCapital!L42</f>
        <v>42.619633957750608</v>
      </c>
      <c r="G26" s="17"/>
      <c r="H26" s="23">
        <f>H16+H18+H20+H21+H22+H24</f>
        <v>500</v>
      </c>
      <c r="I26" s="17"/>
      <c r="J26" s="23">
        <f>J16+J18+J20+J21+J22+J24</f>
        <v>542.61963395775058</v>
      </c>
      <c r="K26" s="17"/>
      <c r="L26" s="23">
        <f>J26+D26</f>
        <v>-2599.6903660422495</v>
      </c>
      <c r="M26" s="17"/>
    </row>
    <row r="27" spans="1:13" ht="20.25" customHeight="1" x14ac:dyDescent="0.2">
      <c r="B27" s="15"/>
    </row>
    <row r="28" spans="1:13" x14ac:dyDescent="0.2">
      <c r="B28" s="15" t="s">
        <v>46</v>
      </c>
    </row>
    <row r="29" spans="1:13" x14ac:dyDescent="0.2">
      <c r="B29" s="15" t="s">
        <v>47</v>
      </c>
    </row>
    <row r="30" spans="1:13" ht="8.25" customHeight="1" x14ac:dyDescent="0.2">
      <c r="B30" s="15"/>
    </row>
    <row r="31" spans="1:13" x14ac:dyDescent="0.2">
      <c r="A31" s="48"/>
      <c r="B31" s="2" t="s">
        <v>60</v>
      </c>
    </row>
    <row r="32" spans="1:13" x14ac:dyDescent="0.2">
      <c r="A32" s="48"/>
      <c r="B32" s="2" t="s">
        <v>61</v>
      </c>
    </row>
    <row r="33" spans="1:4" x14ac:dyDescent="0.2">
      <c r="A33" s="48"/>
    </row>
    <row r="34" spans="1:4" x14ac:dyDescent="0.2">
      <c r="A34" s="48"/>
    </row>
    <row r="35" spans="1:4" x14ac:dyDescent="0.2">
      <c r="B35" s="15"/>
      <c r="D35" s="2">
        <f>+D16+D18+SUM(D20:D24)</f>
        <v>-3142.31</v>
      </c>
    </row>
    <row r="36" spans="1:4" x14ac:dyDescent="0.2">
      <c r="B36" s="15"/>
    </row>
  </sheetData>
  <phoneticPr fontId="0" type="noConversion"/>
  <printOptions horizontalCentered="1"/>
  <pageMargins left="0.5" right="0.92" top="0.59" bottom="0.5" header="0.44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pane xSplit="2" ySplit="12" topLeftCell="C36" activePane="bottomRight" state="frozen"/>
      <selection activeCell="D37" sqref="D37"/>
      <selection pane="topRight" activeCell="D37" sqref="D37"/>
      <selection pane="bottomLeft" activeCell="D37" sqref="D37"/>
      <selection pane="bottomRight" activeCell="D37" sqref="D37"/>
    </sheetView>
  </sheetViews>
  <sheetFormatPr defaultColWidth="9.109375" defaultRowHeight="10.199999999999999" x14ac:dyDescent="0.2"/>
  <cols>
    <col min="1" max="1" width="3.109375" style="2" customWidth="1"/>
    <col min="2" max="2" width="22.44140625" style="2" bestFit="1" customWidth="1"/>
    <col min="3" max="3" width="3.44140625" style="2" customWidth="1"/>
    <col min="4" max="4" width="12.6640625" style="2" customWidth="1"/>
    <col min="5" max="5" width="3.44140625" style="2" customWidth="1"/>
    <col min="6" max="6" width="12.44140625" style="2" customWidth="1"/>
    <col min="7" max="7" width="3.44140625" style="2" customWidth="1"/>
    <col min="8" max="8" width="12.109375" style="2" customWidth="1"/>
    <col min="9" max="9" width="3.44140625" style="2" customWidth="1"/>
    <col min="10" max="10" width="12.33203125" style="2" customWidth="1"/>
    <col min="11" max="11" width="4.5546875" style="2" customWidth="1"/>
    <col min="12" max="12" width="9.88671875" style="2" customWidth="1"/>
    <col min="13" max="13" width="5.44140625" style="2" customWidth="1"/>
    <col min="14" max="16384" width="9.109375" style="2"/>
  </cols>
  <sheetData>
    <row r="1" spans="1:13" x14ac:dyDescent="0.2">
      <c r="A1" s="1"/>
    </row>
    <row r="5" spans="1:13" ht="15.6" x14ac:dyDescent="0.3">
      <c r="A5" s="26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3.8" x14ac:dyDescent="0.25">
      <c r="A6" s="29" t="s">
        <v>62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3.8" x14ac:dyDescent="0.25">
      <c r="A7" s="30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3.8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3.5" customHeight="1" x14ac:dyDescent="0.25">
      <c r="A9" s="32"/>
      <c r="B9" s="33"/>
      <c r="C9" s="33"/>
      <c r="D9" s="33"/>
      <c r="E9" s="33"/>
      <c r="F9" s="34"/>
      <c r="G9" s="34"/>
      <c r="H9" s="35" t="s">
        <v>29</v>
      </c>
      <c r="I9" s="34"/>
      <c r="J9" s="34"/>
      <c r="K9" s="33"/>
      <c r="L9" s="33"/>
      <c r="M9" s="33"/>
    </row>
    <row r="10" spans="1:13" ht="13.5" customHeight="1" x14ac:dyDescent="0.2">
      <c r="A10" s="6"/>
      <c r="B10" s="6"/>
      <c r="C10" s="6"/>
      <c r="D10" s="9" t="s">
        <v>2</v>
      </c>
      <c r="F10" s="36" t="s">
        <v>30</v>
      </c>
      <c r="G10" s="37"/>
      <c r="H10" s="36" t="s">
        <v>31</v>
      </c>
      <c r="I10" s="27"/>
      <c r="J10" s="27"/>
      <c r="K10" s="27"/>
      <c r="L10" s="38" t="s">
        <v>32</v>
      </c>
      <c r="M10" s="39"/>
    </row>
    <row r="11" spans="1:13" s="12" customFormat="1" x14ac:dyDescent="0.2">
      <c r="D11" s="13" t="s">
        <v>7</v>
      </c>
      <c r="F11" s="40" t="s">
        <v>33</v>
      </c>
      <c r="G11" s="41"/>
      <c r="H11" s="42" t="s">
        <v>34</v>
      </c>
      <c r="I11" s="41"/>
      <c r="J11" s="42" t="s">
        <v>45</v>
      </c>
      <c r="K11" s="41"/>
      <c r="L11" s="42" t="s">
        <v>9</v>
      </c>
      <c r="M11" s="38"/>
    </row>
    <row r="12" spans="1:13" ht="5.0999999999999996" customHeight="1" x14ac:dyDescent="0.2"/>
    <row r="13" spans="1:13" ht="15" customHeight="1" x14ac:dyDescent="0.2">
      <c r="B13" s="17" t="s">
        <v>36</v>
      </c>
    </row>
    <row r="14" spans="1:13" ht="18" customHeight="1" x14ac:dyDescent="0.2">
      <c r="B14" s="15" t="s">
        <v>37</v>
      </c>
      <c r="D14" s="2">
        <f>Causey_FundsFlow!D14+'Causey_Working Cap'!D14</f>
        <v>123.86</v>
      </c>
      <c r="F14" s="2">
        <f>Causey_FundsFlow!F14+'Causey_Working Cap'!F14</f>
        <v>136.60000000000002</v>
      </c>
      <c r="H14" s="2">
        <f>Causey_FundsFlow!H14+'Causey_Working Cap'!H14</f>
        <v>0</v>
      </c>
      <c r="J14" s="2">
        <f>Causey_FundsFlow!J14+'Causey_Working Cap'!J14</f>
        <v>136.60000000000002</v>
      </c>
      <c r="L14" s="2">
        <f>J14+D14</f>
        <v>260.46000000000004</v>
      </c>
    </row>
    <row r="15" spans="1:13" ht="18" customHeight="1" x14ac:dyDescent="0.2">
      <c r="B15" s="15" t="s">
        <v>38</v>
      </c>
      <c r="D15" s="2">
        <f>Causey_FundsFlow!D15+'Causey_Working Cap'!D15</f>
        <v>-126.759</v>
      </c>
      <c r="F15" s="2">
        <f>Causey_FundsFlow!F15+'Causey_Working Cap'!F15</f>
        <v>36.400757871753392</v>
      </c>
      <c r="H15" s="43">
        <f>Causey_FundsFlow!H15+'Causey_Working Cap'!H15</f>
        <v>0</v>
      </c>
      <c r="J15" s="43">
        <f>Causey_FundsFlow!J15+'Causey_Working Cap'!J15</f>
        <v>36.400757871753392</v>
      </c>
      <c r="L15" s="43">
        <f>J15+D15</f>
        <v>-90.358242128246616</v>
      </c>
    </row>
    <row r="16" spans="1:13" ht="15" customHeight="1" x14ac:dyDescent="0.2">
      <c r="B16" s="15"/>
      <c r="D16" s="19">
        <f>Causey_FundsFlow!D16+'Causey_Working Cap'!D16</f>
        <v>-2.8990000000000009</v>
      </c>
      <c r="F16" s="19">
        <f>Causey_FundsFlow!F16+'Causey_Working Cap'!F16</f>
        <v>173.00075787175339</v>
      </c>
      <c r="H16" s="2">
        <f>Causey_FundsFlow!H16+'Causey_Working Cap'!H16</f>
        <v>0</v>
      </c>
      <c r="J16" s="17">
        <f>Causey_FundsFlow!J16+'Causey_Working Cap'!J16</f>
        <v>173.00075787175339</v>
      </c>
      <c r="L16" s="17">
        <f>J16+D16</f>
        <v>170.10175787175339</v>
      </c>
    </row>
    <row r="17" spans="2:12" x14ac:dyDescent="0.2">
      <c r="B17" s="15"/>
      <c r="J17" s="17"/>
      <c r="L17" s="17"/>
    </row>
    <row r="18" spans="2:12" ht="15" hidden="1" customHeight="1" x14ac:dyDescent="0.2">
      <c r="B18" s="17" t="s">
        <v>39</v>
      </c>
      <c r="D18" s="17" t="e">
        <f>Causey_FundsFlow!#REF!+'Causey_Working Cap'!#REF!</f>
        <v>#REF!</v>
      </c>
      <c r="F18" s="17" t="e">
        <f>Causey_FundsFlow!#REF!+'Causey_Working Cap'!#REF!</f>
        <v>#REF!</v>
      </c>
      <c r="H18" s="17" t="e">
        <f>Causey_FundsFlow!#REF!+'Causey_Working Cap'!#REF!</f>
        <v>#REF!</v>
      </c>
      <c r="J18" s="17" t="e">
        <f>Causey_FundsFlow!#REF!+'Causey_Working Cap'!#REF!</f>
        <v>#REF!</v>
      </c>
      <c r="L18" s="17" t="e">
        <f t="shared" ref="L18:L35" si="0">J18+D18</f>
        <v>#REF!</v>
      </c>
    </row>
    <row r="19" spans="2:12" ht="18" hidden="1" customHeight="1" x14ac:dyDescent="0.2">
      <c r="B19" s="15" t="s">
        <v>63</v>
      </c>
      <c r="D19" s="2" t="e">
        <f>Causey_FundsFlow!#REF!+'Causey_Working Cap'!#REF!</f>
        <v>#REF!</v>
      </c>
      <c r="F19" s="2" t="e">
        <f>Causey_FundsFlow!#REF!+'Causey_Working Cap'!#REF!</f>
        <v>#REF!</v>
      </c>
      <c r="H19" s="2" t="e">
        <f>Causey_FundsFlow!#REF!+'Causey_Working Cap'!#REF!</f>
        <v>#REF!</v>
      </c>
      <c r="J19" s="17" t="e">
        <f>Causey_FundsFlow!#REF!+'Causey_Working Cap'!#REF!</f>
        <v>#REF!</v>
      </c>
      <c r="L19" s="17" t="e">
        <f t="shared" si="0"/>
        <v>#REF!</v>
      </c>
    </row>
    <row r="20" spans="2:12" ht="18" hidden="1" customHeight="1" x14ac:dyDescent="0.2">
      <c r="B20" s="15" t="s">
        <v>64</v>
      </c>
      <c r="D20" s="2" t="e">
        <f>Causey_FundsFlow!#REF!+'Causey_Working Cap'!#REF!</f>
        <v>#REF!</v>
      </c>
      <c r="F20" s="2" t="e">
        <f>Causey_FundsFlow!#REF!+'Causey_Working Cap'!#REF!</f>
        <v>#REF!</v>
      </c>
      <c r="H20" s="2" t="e">
        <f>Causey_FundsFlow!#REF!+'Causey_Working Cap'!#REF!</f>
        <v>#REF!</v>
      </c>
      <c r="J20" s="17" t="e">
        <f>Causey_FundsFlow!#REF!+'Causey_Working Cap'!#REF!</f>
        <v>#REF!</v>
      </c>
      <c r="L20" s="17" t="e">
        <f t="shared" si="0"/>
        <v>#REF!</v>
      </c>
    </row>
    <row r="21" spans="2:12" ht="18" hidden="1" customHeight="1" x14ac:dyDescent="0.2">
      <c r="B21" s="15" t="s">
        <v>65</v>
      </c>
      <c r="D21" s="2" t="e">
        <f>Causey_FundsFlow!#REF!+'Causey_Working Cap'!#REF!</f>
        <v>#REF!</v>
      </c>
      <c r="F21" s="2" t="e">
        <f>Causey_FundsFlow!#REF!+'Causey_Working Cap'!#REF!</f>
        <v>#REF!</v>
      </c>
      <c r="H21" s="2" t="e">
        <f>Causey_FundsFlow!#REF!+'Causey_Working Cap'!#REF!</f>
        <v>#REF!</v>
      </c>
      <c r="J21" s="17" t="e">
        <f>Causey_FundsFlow!#REF!+'Causey_Working Cap'!#REF!</f>
        <v>#REF!</v>
      </c>
      <c r="L21" s="17" t="e">
        <f t="shared" si="0"/>
        <v>#REF!</v>
      </c>
    </row>
    <row r="22" spans="2:12" ht="18" hidden="1" customHeight="1" x14ac:dyDescent="0.2">
      <c r="B22" s="15" t="s">
        <v>66</v>
      </c>
      <c r="D22" s="2" t="e">
        <f>Causey_FundsFlow!#REF!+'Causey_Working Cap'!#REF!</f>
        <v>#REF!</v>
      </c>
      <c r="F22" s="2" t="e">
        <f>Causey_FundsFlow!#REF!+'Causey_Working Cap'!#REF!</f>
        <v>#REF!</v>
      </c>
      <c r="H22" s="2" t="e">
        <f>Causey_FundsFlow!#REF!+'Causey_Working Cap'!#REF!</f>
        <v>#REF!</v>
      </c>
      <c r="J22" s="17" t="e">
        <f>Causey_FundsFlow!#REF!+'Causey_Working Cap'!#REF!</f>
        <v>#REF!</v>
      </c>
      <c r="L22" s="17" t="e">
        <f t="shared" si="0"/>
        <v>#REF!</v>
      </c>
    </row>
    <row r="23" spans="2:12" ht="18" hidden="1" customHeight="1" x14ac:dyDescent="0.2">
      <c r="B23" s="15" t="s">
        <v>67</v>
      </c>
      <c r="D23" s="2" t="e">
        <f>Causey_FundsFlow!#REF!+'Causey_Working Cap'!#REF!</f>
        <v>#REF!</v>
      </c>
      <c r="F23" s="2" t="e">
        <f>Causey_FundsFlow!#REF!+'Causey_Working Cap'!#REF!</f>
        <v>#REF!</v>
      </c>
      <c r="H23" s="2" t="e">
        <f>Causey_FundsFlow!#REF!+'Causey_Working Cap'!#REF!</f>
        <v>#REF!</v>
      </c>
      <c r="J23" s="17" t="e">
        <f>Causey_FundsFlow!#REF!+'Causey_Working Cap'!#REF!</f>
        <v>#REF!</v>
      </c>
      <c r="L23" s="17" t="e">
        <f t="shared" si="0"/>
        <v>#REF!</v>
      </c>
    </row>
    <row r="24" spans="2:12" ht="18" hidden="1" customHeight="1" x14ac:dyDescent="0.2">
      <c r="B24" s="15" t="s">
        <v>68</v>
      </c>
      <c r="D24" s="2" t="e">
        <f>Causey_FundsFlow!#REF!+'Causey_Working Cap'!#REF!</f>
        <v>#REF!</v>
      </c>
      <c r="F24" s="2" t="e">
        <f>Causey_FundsFlow!#REF!+'Causey_Working Cap'!#REF!</f>
        <v>#REF!</v>
      </c>
      <c r="H24" s="2" t="e">
        <f>Causey_FundsFlow!#REF!+'Causey_Working Cap'!#REF!</f>
        <v>#REF!</v>
      </c>
      <c r="J24" s="17" t="e">
        <f>Causey_FundsFlow!#REF!+'Causey_Working Cap'!#REF!</f>
        <v>#REF!</v>
      </c>
      <c r="L24" s="17" t="e">
        <f t="shared" si="0"/>
        <v>#REF!</v>
      </c>
    </row>
    <row r="25" spans="2:12" ht="18" hidden="1" customHeight="1" x14ac:dyDescent="0.2">
      <c r="B25" s="15" t="s">
        <v>69</v>
      </c>
      <c r="D25" s="2" t="e">
        <f>Causey_FundsFlow!#REF!+'Causey_Working Cap'!#REF!</f>
        <v>#REF!</v>
      </c>
      <c r="F25" s="2" t="e">
        <f>Causey_FundsFlow!#REF!+'Causey_Working Cap'!#REF!</f>
        <v>#REF!</v>
      </c>
      <c r="H25" s="2" t="e">
        <f>Causey_FundsFlow!#REF!+'Causey_Working Cap'!#REF!</f>
        <v>#REF!</v>
      </c>
      <c r="J25" s="17" t="e">
        <f>Causey_FundsFlow!#REF!+'Causey_Working Cap'!#REF!</f>
        <v>#REF!</v>
      </c>
      <c r="L25" s="17" t="e">
        <f t="shared" si="0"/>
        <v>#REF!</v>
      </c>
    </row>
    <row r="26" spans="2:12" ht="18" hidden="1" customHeight="1" x14ac:dyDescent="0.2">
      <c r="B26" s="15" t="s">
        <v>70</v>
      </c>
      <c r="D26" s="2" t="e">
        <f>Causey_FundsFlow!#REF!+'Causey_Working Cap'!#REF!</f>
        <v>#REF!</v>
      </c>
      <c r="F26" s="2" t="e">
        <f>Causey_FundsFlow!#REF!+'Causey_Working Cap'!#REF!</f>
        <v>#REF!</v>
      </c>
      <c r="H26" s="2" t="e">
        <f>Causey_FundsFlow!#REF!+'Causey_Working Cap'!#REF!</f>
        <v>#REF!</v>
      </c>
      <c r="J26" s="17" t="e">
        <f>Causey_FundsFlow!#REF!+'Causey_Working Cap'!#REF!</f>
        <v>#REF!</v>
      </c>
      <c r="L26" s="17" t="e">
        <f t="shared" si="0"/>
        <v>#REF!</v>
      </c>
    </row>
    <row r="27" spans="2:12" ht="18" hidden="1" customHeight="1" x14ac:dyDescent="0.2">
      <c r="B27" s="15" t="s">
        <v>71</v>
      </c>
      <c r="D27" s="2" t="e">
        <f>Causey_FundsFlow!#REF!+'Causey_Working Cap'!#REF!</f>
        <v>#REF!</v>
      </c>
      <c r="F27" s="2" t="e">
        <f>Causey_FundsFlow!#REF!+'Causey_Working Cap'!#REF!</f>
        <v>#REF!</v>
      </c>
      <c r="H27" s="2" t="e">
        <f>Causey_FundsFlow!#REF!+'Causey_Working Cap'!#REF!</f>
        <v>#REF!</v>
      </c>
      <c r="J27" s="17" t="e">
        <f>Causey_FundsFlow!#REF!+'Causey_Working Cap'!#REF!</f>
        <v>#REF!</v>
      </c>
      <c r="L27" s="17" t="e">
        <f t="shared" si="0"/>
        <v>#REF!</v>
      </c>
    </row>
    <row r="28" spans="2:12" ht="18" hidden="1" customHeight="1" x14ac:dyDescent="0.2">
      <c r="B28" s="15" t="s">
        <v>72</v>
      </c>
      <c r="D28" s="2" t="e">
        <f>Causey_FundsFlow!#REF!+'Causey_Working Cap'!#REF!</f>
        <v>#REF!</v>
      </c>
      <c r="F28" s="2" t="e">
        <f>Causey_FundsFlow!#REF!+'Causey_Working Cap'!#REF!</f>
        <v>#REF!</v>
      </c>
      <c r="H28" s="2" t="e">
        <f>Causey_FundsFlow!#REF!+'Causey_Working Cap'!#REF!</f>
        <v>#REF!</v>
      </c>
      <c r="J28" s="17" t="e">
        <f>Causey_FundsFlow!#REF!+'Causey_Working Cap'!#REF!</f>
        <v>#REF!</v>
      </c>
      <c r="L28" s="17" t="e">
        <f t="shared" si="0"/>
        <v>#REF!</v>
      </c>
    </row>
    <row r="29" spans="2:12" ht="18" hidden="1" customHeight="1" x14ac:dyDescent="0.2">
      <c r="B29" s="15" t="s">
        <v>73</v>
      </c>
      <c r="D29" s="2" t="e">
        <f>Causey_FundsFlow!#REF!+'Causey_Working Cap'!#REF!</f>
        <v>#REF!</v>
      </c>
      <c r="F29" s="2" t="e">
        <f>Causey_FundsFlow!#REF!+'Causey_Working Cap'!#REF!</f>
        <v>#REF!</v>
      </c>
      <c r="H29" s="2" t="e">
        <f>Causey_FundsFlow!#REF!+'Causey_Working Cap'!#REF!</f>
        <v>#REF!</v>
      </c>
      <c r="J29" s="17" t="e">
        <f>Causey_FundsFlow!#REF!+'Causey_Working Cap'!#REF!</f>
        <v>#REF!</v>
      </c>
      <c r="L29" s="17" t="e">
        <f t="shared" si="0"/>
        <v>#REF!</v>
      </c>
    </row>
    <row r="30" spans="2:12" ht="18" hidden="1" customHeight="1" x14ac:dyDescent="0.2">
      <c r="B30" s="15" t="s">
        <v>74</v>
      </c>
      <c r="D30" s="2" t="e">
        <f>Causey_FundsFlow!#REF!+'Causey_Working Cap'!#REF!</f>
        <v>#REF!</v>
      </c>
      <c r="F30" s="2" t="e">
        <f>Causey_FundsFlow!#REF!+'Causey_Working Cap'!#REF!</f>
        <v>#REF!</v>
      </c>
      <c r="H30" s="2" t="e">
        <f>Causey_FundsFlow!#REF!+'Causey_Working Cap'!#REF!</f>
        <v>#REF!</v>
      </c>
      <c r="J30" s="17" t="e">
        <f>Causey_FundsFlow!#REF!+'Causey_Working Cap'!#REF!</f>
        <v>#REF!</v>
      </c>
      <c r="L30" s="17" t="e">
        <f t="shared" si="0"/>
        <v>#REF!</v>
      </c>
    </row>
    <row r="31" spans="2:12" ht="18" hidden="1" customHeight="1" x14ac:dyDescent="0.2">
      <c r="B31" s="15" t="s">
        <v>75</v>
      </c>
      <c r="D31" s="2" t="e">
        <f>Causey_FundsFlow!#REF!+'Causey_Working Cap'!#REF!</f>
        <v>#REF!</v>
      </c>
      <c r="F31" s="2" t="e">
        <f>Causey_FundsFlow!#REF!+'Causey_Working Cap'!#REF!</f>
        <v>#REF!</v>
      </c>
      <c r="H31" s="2" t="e">
        <f>Causey_FundsFlow!#REF!+'Causey_Working Cap'!#REF!</f>
        <v>#REF!</v>
      </c>
      <c r="J31" s="17" t="e">
        <f>Causey_FundsFlow!#REF!+'Causey_Working Cap'!#REF!</f>
        <v>#REF!</v>
      </c>
      <c r="L31" s="17" t="e">
        <f t="shared" si="0"/>
        <v>#REF!</v>
      </c>
    </row>
    <row r="32" spans="2:12" ht="18" hidden="1" customHeight="1" x14ac:dyDescent="0.2">
      <c r="B32" s="15" t="s">
        <v>76</v>
      </c>
      <c r="D32" s="2" t="e">
        <f>Causey_FundsFlow!#REF!+'Causey_Working Cap'!#REF!</f>
        <v>#REF!</v>
      </c>
      <c r="F32" s="2" t="e">
        <f>Causey_FundsFlow!#REF!+'Causey_Working Cap'!#REF!</f>
        <v>#REF!</v>
      </c>
      <c r="H32" s="2" t="e">
        <f>Causey_FundsFlow!#REF!+'Causey_Working Cap'!#REF!</f>
        <v>#REF!</v>
      </c>
      <c r="J32" s="17" t="e">
        <f>Causey_FundsFlow!#REF!+'Causey_Working Cap'!#REF!</f>
        <v>#REF!</v>
      </c>
      <c r="L32" s="17" t="e">
        <f t="shared" si="0"/>
        <v>#REF!</v>
      </c>
    </row>
    <row r="33" spans="1:13" ht="18" hidden="1" customHeight="1" x14ac:dyDescent="0.2">
      <c r="B33" s="15" t="s">
        <v>77</v>
      </c>
      <c r="D33" s="2" t="e">
        <f>Causey_FundsFlow!#REF!+'Causey_Working Cap'!#REF!</f>
        <v>#REF!</v>
      </c>
      <c r="F33" s="2" t="e">
        <f>Causey_FundsFlow!#REF!+'Causey_Working Cap'!#REF!</f>
        <v>#REF!</v>
      </c>
      <c r="H33" s="2" t="e">
        <f>Causey_FundsFlow!#REF!+'Causey_Working Cap'!#REF!</f>
        <v>#REF!</v>
      </c>
      <c r="J33" s="17" t="e">
        <f>Causey_FundsFlow!#REF!+'Causey_Working Cap'!#REF!</f>
        <v>#REF!</v>
      </c>
      <c r="L33" s="17" t="e">
        <f t="shared" si="0"/>
        <v>#REF!</v>
      </c>
    </row>
    <row r="34" spans="1:13" ht="18" hidden="1" customHeight="1" x14ac:dyDescent="0.2">
      <c r="B34" s="15" t="s">
        <v>78</v>
      </c>
      <c r="D34" s="2" t="e">
        <f>Causey_FundsFlow!#REF!+'Causey_Working Cap'!#REF!</f>
        <v>#REF!</v>
      </c>
      <c r="F34" s="2" t="e">
        <f>Causey_FundsFlow!#REF!+'Causey_Working Cap'!#REF!</f>
        <v>#REF!</v>
      </c>
      <c r="H34" s="2" t="e">
        <f>Causey_FundsFlow!#REF!+'Causey_Working Cap'!#REF!</f>
        <v>#REF!</v>
      </c>
      <c r="J34" s="17" t="e">
        <f>Causey_FundsFlow!#REF!+'Causey_Working Cap'!#REF!</f>
        <v>#REF!</v>
      </c>
      <c r="L34" s="17" t="e">
        <f t="shared" si="0"/>
        <v>#REF!</v>
      </c>
    </row>
    <row r="35" spans="1:13" ht="15" customHeight="1" x14ac:dyDescent="0.2">
      <c r="B35" s="17" t="str">
        <f>B18</f>
        <v>Wholesale</v>
      </c>
      <c r="D35" s="45">
        <f>Causey_FundsFlow!D18+'Causey_Working Cap'!D18</f>
        <v>-1377.8200000000006</v>
      </c>
      <c r="F35" s="45">
        <f>Causey_FundsFlow!F18+'Causey_Working Cap'!F18</f>
        <v>-341.98532020634684</v>
      </c>
      <c r="H35" s="17">
        <f>Causey_FundsFlow!H18+'Causey_Working Cap'!H18</f>
        <v>1300</v>
      </c>
      <c r="J35" s="17">
        <f>Causey_FundsFlow!J18+'Causey_Working Cap'!J18</f>
        <v>958.01467979365316</v>
      </c>
      <c r="L35" s="17">
        <f t="shared" si="0"/>
        <v>-419.80532020634746</v>
      </c>
    </row>
    <row r="36" spans="1:13" x14ac:dyDescent="0.2">
      <c r="B36" s="15"/>
    </row>
    <row r="37" spans="1:13" ht="18" customHeight="1" x14ac:dyDescent="0.2">
      <c r="B37" s="47" t="s">
        <v>41</v>
      </c>
      <c r="D37" s="2">
        <f>Causey_FundsFlow!D20+'Causey_Working Cap'!D20</f>
        <v>-42.76100000000001</v>
      </c>
      <c r="F37" s="2">
        <f>Causey_FundsFlow!F20+'Causey_Working Cap'!F20</f>
        <v>-192.29999999999998</v>
      </c>
      <c r="H37" s="2">
        <f>Causey_FundsFlow!H20+'Causey_Working Cap'!H20</f>
        <v>0</v>
      </c>
      <c r="J37" s="17">
        <f>Causey_FundsFlow!J20+'Causey_Working Cap'!J20</f>
        <v>-192.29999999999998</v>
      </c>
      <c r="L37" s="17">
        <f>J37+D37</f>
        <v>-235.06099999999998</v>
      </c>
    </row>
    <row r="38" spans="1:13" ht="18" customHeight="1" x14ac:dyDescent="0.2">
      <c r="B38" s="47" t="s">
        <v>42</v>
      </c>
      <c r="D38" s="2">
        <f>Causey_FundsFlow!D21+'Causey_Working Cap'!D21</f>
        <v>-106.971</v>
      </c>
      <c r="F38" s="2">
        <f>Causey_FundsFlow!F21+'Causey_Working Cap'!F21</f>
        <v>1.7720000000000438</v>
      </c>
      <c r="H38" s="2">
        <f>Causey_FundsFlow!H21+'Causey_Working Cap'!H21</f>
        <v>0</v>
      </c>
      <c r="J38" s="17">
        <f>Causey_FundsFlow!J21+'Causey_Working Cap'!J21</f>
        <v>1.7720000000000438</v>
      </c>
      <c r="L38" s="17">
        <f>J38+D38</f>
        <v>-105.19899999999996</v>
      </c>
    </row>
    <row r="39" spans="1:13" ht="18" customHeight="1" x14ac:dyDescent="0.2">
      <c r="B39" s="47" t="s">
        <v>43</v>
      </c>
      <c r="D39" s="2">
        <f>Causey_FundsFlow!D22+'Causey_Working Cap'!D22</f>
        <v>-110.93599999999999</v>
      </c>
      <c r="F39" s="2">
        <f>Causey_FundsFlow!F22+'Causey_Working Cap'!F22</f>
        <v>84.199999999999989</v>
      </c>
      <c r="H39" s="2">
        <f>Causey_FundsFlow!H22+'Causey_Working Cap'!H22</f>
        <v>0</v>
      </c>
      <c r="J39" s="17">
        <f>Causey_FundsFlow!J22+'Causey_Working Cap'!J22</f>
        <v>84.199999999999989</v>
      </c>
      <c r="L39" s="17">
        <f>J39+D39</f>
        <v>-26.736000000000004</v>
      </c>
    </row>
    <row r="40" spans="1:13" x14ac:dyDescent="0.2">
      <c r="B40" s="15"/>
    </row>
    <row r="41" spans="1:13" ht="18" customHeight="1" x14ac:dyDescent="0.2">
      <c r="B41" s="2" t="s">
        <v>44</v>
      </c>
      <c r="D41" s="2">
        <f>Causey_FundsFlow!D24+'Causey_Working Cap'!D24</f>
        <v>307.34200000000084</v>
      </c>
      <c r="F41" s="2">
        <f>Causey_FundsFlow!F24+'Causey_Working Cap'!F24</f>
        <v>-103.32921741718445</v>
      </c>
      <c r="H41" s="2">
        <f>Causey_FundsFlow!H24+'Causey_Working Cap'!H24</f>
        <v>0</v>
      </c>
      <c r="J41" s="2">
        <f>Causey_FundsFlow!J24+'Causey_Working Cap'!J24</f>
        <v>-103.32921741718445</v>
      </c>
      <c r="L41" s="2">
        <f>J41+D41</f>
        <v>204.01278258281639</v>
      </c>
    </row>
    <row r="42" spans="1:13" x14ac:dyDescent="0.2">
      <c r="B42" s="15"/>
    </row>
    <row r="43" spans="1:13" x14ac:dyDescent="0.2">
      <c r="B43" s="17" t="s">
        <v>45</v>
      </c>
      <c r="C43" s="17"/>
      <c r="D43" s="23">
        <f>Causey_FundsFlow!D26+'Causey_Working Cap'!D26</f>
        <v>-1334.0449999999998</v>
      </c>
      <c r="E43" s="17"/>
      <c r="F43" s="23">
        <f>Causey_FundsFlow!F26+'Causey_Working Cap'!F26</f>
        <v>-378.64177975177779</v>
      </c>
      <c r="G43" s="17"/>
      <c r="H43" s="23">
        <f>Causey_FundsFlow!H26+'Causey_Working Cap'!H26</f>
        <v>1300</v>
      </c>
      <c r="I43" s="17"/>
      <c r="J43" s="23">
        <f>Causey_FundsFlow!J26+'Causey_Working Cap'!J26</f>
        <v>921.3582202482221</v>
      </c>
      <c r="K43" s="17"/>
      <c r="L43" s="23">
        <f>J43+D43</f>
        <v>-412.68677975177775</v>
      </c>
      <c r="M43" s="17"/>
    </row>
    <row r="44" spans="1:13" ht="21" customHeight="1" x14ac:dyDescent="0.2">
      <c r="B44" s="15"/>
    </row>
    <row r="45" spans="1:13" x14ac:dyDescent="0.2">
      <c r="A45" s="48"/>
      <c r="B45" s="15" t="s">
        <v>46</v>
      </c>
    </row>
    <row r="46" spans="1:13" x14ac:dyDescent="0.2">
      <c r="A46" s="48"/>
      <c r="B46" s="15" t="s">
        <v>47</v>
      </c>
    </row>
    <row r="47" spans="1:13" x14ac:dyDescent="0.2">
      <c r="A47" s="48"/>
    </row>
    <row r="48" spans="1:13" x14ac:dyDescent="0.2">
      <c r="A48" s="48"/>
    </row>
    <row r="49" spans="2:4" x14ac:dyDescent="0.2">
      <c r="B49" s="15"/>
      <c r="D49" s="2">
        <f>+D16+D35+SUM(D37:D41)</f>
        <v>-1334.0449999999996</v>
      </c>
    </row>
    <row r="50" spans="2:4" x14ac:dyDescent="0.2">
      <c r="B50" s="15"/>
    </row>
    <row r="51" spans="2:4" ht="15" customHeight="1" x14ac:dyDescent="0.2">
      <c r="B51" s="17" t="s">
        <v>44</v>
      </c>
    </row>
    <row r="52" spans="2:4" ht="15" customHeight="1" x14ac:dyDescent="0.2">
      <c r="B52" s="15" t="s">
        <v>51</v>
      </c>
    </row>
    <row r="53" spans="2:4" ht="15" customHeight="1" x14ac:dyDescent="0.2">
      <c r="B53" s="15" t="s">
        <v>52</v>
      </c>
    </row>
    <row r="54" spans="2:4" ht="15" customHeight="1" x14ac:dyDescent="0.2">
      <c r="B54" s="15" t="s">
        <v>53</v>
      </c>
    </row>
    <row r="55" spans="2:4" ht="15" customHeight="1" x14ac:dyDescent="0.2">
      <c r="B55" s="15" t="s">
        <v>54</v>
      </c>
    </row>
    <row r="56" spans="2:4" ht="15" customHeight="1" x14ac:dyDescent="0.2">
      <c r="B56" s="15" t="s">
        <v>55</v>
      </c>
    </row>
    <row r="57" spans="2:4" ht="15" customHeight="1" x14ac:dyDescent="0.2">
      <c r="B57" s="15" t="s">
        <v>56</v>
      </c>
    </row>
    <row r="58" spans="2:4" ht="15" customHeight="1" x14ac:dyDescent="0.2">
      <c r="B58" s="15" t="s">
        <v>57</v>
      </c>
    </row>
    <row r="59" spans="2:4" ht="15" customHeight="1" x14ac:dyDescent="0.2">
      <c r="B59" s="15" t="s">
        <v>58</v>
      </c>
    </row>
    <row r="60" spans="2:4" ht="15" customHeight="1" x14ac:dyDescent="0.2">
      <c r="B60" s="15"/>
      <c r="D60" s="19"/>
    </row>
    <row r="61" spans="2:4" x14ac:dyDescent="0.2">
      <c r="B61" s="15"/>
    </row>
    <row r="62" spans="2:4" s="17" customFormat="1" ht="15" customHeight="1" x14ac:dyDescent="0.2">
      <c r="B62" s="17" t="s">
        <v>45</v>
      </c>
      <c r="D62" s="2"/>
    </row>
  </sheetData>
  <phoneticPr fontId="0" type="noConversion"/>
  <printOptions horizontalCentered="1"/>
  <pageMargins left="0.5" right="0.92" top="0.59" bottom="0.5" header="0.44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Recap</vt:lpstr>
      <vt:lpstr>Causey_FundsFlow</vt:lpstr>
      <vt:lpstr>Causey_Working Cap</vt:lpstr>
      <vt:lpstr>Causey_CFFO</vt:lpstr>
      <vt:lpstr>Causey_CFFO!Print_Area</vt:lpstr>
      <vt:lpstr>Causey_FundsFlow!Print_Area</vt:lpstr>
      <vt:lpstr>'Causey_Working Cap'!Print_Area</vt:lpstr>
      <vt:lpstr>Recap!Print_Area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dcterms:created xsi:type="dcterms:W3CDTF">2001-08-23T22:04:02Z</dcterms:created>
  <dcterms:modified xsi:type="dcterms:W3CDTF">2023-09-10T14:58:59Z</dcterms:modified>
</cp:coreProperties>
</file>