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0380" windowHeight="5772" activeTab="6"/>
  </bookViews>
  <sheets>
    <sheet name="IT Corp" sheetId="9" r:id="rId1"/>
    <sheet name="Marketing" sheetId="5" r:id="rId2"/>
    <sheet name="IT" sheetId="1" r:id="rId3"/>
    <sheet name="Gas Logistics" sheetId="2" r:id="rId4"/>
    <sheet name="OPs" sheetId="3" r:id="rId5"/>
    <sheet name="HR" sheetId="7" r:id="rId6"/>
    <sheet name="F &amp; A" sheetId="8" r:id="rId7"/>
  </sheets>
  <definedNames>
    <definedName name="_xlnm.Print_Area" localSheetId="5">HR!$A$1:$N$15</definedName>
    <definedName name="_xlnm.Print_Area" localSheetId="0">'IT Corp'!$A$1:$D$21</definedName>
    <definedName name="_xlnm.Print_Area" localSheetId="1">Marketing!$A$1:$N$31</definedName>
  </definedNames>
  <calcPr calcId="92512"/>
</workbook>
</file>

<file path=xl/calcChain.xml><?xml version="1.0" encoding="utf-8"?>
<calcChain xmlns="http://schemas.openxmlformats.org/spreadsheetml/2006/main">
  <c r="F9" i="8" l="1"/>
  <c r="M9" i="8"/>
  <c r="N9" i="8"/>
  <c r="D10" i="8"/>
  <c r="M10" i="8"/>
  <c r="N10" i="8"/>
  <c r="D11" i="8"/>
  <c r="M11" i="8"/>
  <c r="N11" i="8"/>
  <c r="M12" i="8"/>
  <c r="N12" i="8"/>
  <c r="D13" i="8"/>
  <c r="M13" i="8"/>
  <c r="N13" i="8"/>
  <c r="H14" i="8"/>
  <c r="M14" i="8"/>
  <c r="N14" i="8"/>
  <c r="D15" i="8"/>
  <c r="F15" i="8"/>
  <c r="H15" i="8"/>
  <c r="M15" i="8"/>
  <c r="N15" i="8"/>
  <c r="D16" i="8"/>
  <c r="F16" i="8"/>
  <c r="H16" i="8"/>
  <c r="M16" i="8"/>
  <c r="N16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A20" i="8"/>
  <c r="E7" i="2"/>
  <c r="G7" i="2"/>
  <c r="D11" i="2"/>
  <c r="F11" i="2"/>
  <c r="H11" i="2"/>
  <c r="M11" i="2"/>
  <c r="N11" i="2"/>
  <c r="D12" i="2"/>
  <c r="F12" i="2"/>
  <c r="H12" i="2"/>
  <c r="M12" i="2"/>
  <c r="N12" i="2"/>
  <c r="D13" i="2"/>
  <c r="F13" i="2"/>
  <c r="H13" i="2"/>
  <c r="M13" i="2"/>
  <c r="N13" i="2"/>
  <c r="D14" i="2"/>
  <c r="F14" i="2"/>
  <c r="H14" i="2"/>
  <c r="M14" i="2"/>
  <c r="N14" i="2"/>
  <c r="D15" i="2"/>
  <c r="F15" i="2"/>
  <c r="H15" i="2"/>
  <c r="M15" i="2"/>
  <c r="N15" i="2"/>
  <c r="D16" i="2"/>
  <c r="F16" i="2"/>
  <c r="H16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D32" i="2"/>
  <c r="F32" i="2"/>
  <c r="H32" i="2"/>
  <c r="J32" i="2"/>
  <c r="L32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F41" i="2"/>
  <c r="M41" i="2"/>
  <c r="N41" i="2"/>
  <c r="D42" i="2"/>
  <c r="M42" i="2"/>
  <c r="N42" i="2"/>
  <c r="H43" i="2"/>
  <c r="M43" i="2"/>
  <c r="N43" i="2"/>
  <c r="M44" i="2"/>
  <c r="N44" i="2"/>
  <c r="M45" i="2"/>
  <c r="N45" i="2"/>
  <c r="M46" i="2"/>
  <c r="N46" i="2"/>
  <c r="M47" i="2"/>
  <c r="N47" i="2"/>
  <c r="M48" i="2"/>
  <c r="N48" i="2"/>
  <c r="K49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A58" i="2"/>
  <c r="M10" i="7"/>
  <c r="N10" i="7"/>
  <c r="D11" i="7"/>
  <c r="M11" i="7"/>
  <c r="N11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M14" i="7"/>
  <c r="A15" i="7"/>
  <c r="M15" i="7"/>
  <c r="M16" i="7"/>
  <c r="M17" i="7"/>
  <c r="M18" i="7"/>
  <c r="M19" i="7"/>
  <c r="M20" i="7"/>
  <c r="M21" i="7"/>
  <c r="M22" i="7"/>
  <c r="M23" i="7"/>
  <c r="M24" i="7"/>
  <c r="M25" i="7"/>
  <c r="Q9" i="1"/>
  <c r="R9" i="1"/>
  <c r="Q10" i="1"/>
  <c r="R10" i="1"/>
  <c r="M11" i="1"/>
  <c r="Q11" i="1"/>
  <c r="R11" i="1"/>
  <c r="M12" i="1"/>
  <c r="Q12" i="1"/>
  <c r="R12" i="1"/>
  <c r="M13" i="1"/>
  <c r="Q13" i="1"/>
  <c r="R13" i="1"/>
  <c r="M14" i="1"/>
  <c r="Q14" i="1"/>
  <c r="R14" i="1"/>
  <c r="M15" i="1"/>
  <c r="Q15" i="1"/>
  <c r="R15" i="1"/>
  <c r="M16" i="1"/>
  <c r="Q16" i="1"/>
  <c r="R16" i="1"/>
  <c r="M17" i="1"/>
  <c r="Q17" i="1"/>
  <c r="R17" i="1"/>
  <c r="D18" i="1"/>
  <c r="M18" i="1"/>
  <c r="Q18" i="1"/>
  <c r="R18" i="1"/>
  <c r="M19" i="1"/>
  <c r="Q19" i="1"/>
  <c r="R19" i="1"/>
  <c r="M20" i="1"/>
  <c r="Q20" i="1"/>
  <c r="R20" i="1"/>
  <c r="M21" i="1"/>
  <c r="Q21" i="1"/>
  <c r="R21" i="1"/>
  <c r="D22" i="1"/>
  <c r="F22" i="1"/>
  <c r="H22" i="1"/>
  <c r="M22" i="1"/>
  <c r="Q22" i="1"/>
  <c r="R22" i="1"/>
  <c r="M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7" i="1"/>
  <c r="C18" i="9"/>
  <c r="A21" i="9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C25" i="5"/>
  <c r="D25" i="5"/>
  <c r="E25" i="5"/>
  <c r="F25" i="5"/>
  <c r="G25" i="5"/>
  <c r="H25" i="5"/>
  <c r="I25" i="5"/>
  <c r="J25" i="5"/>
  <c r="K25" i="5"/>
  <c r="L25" i="5"/>
  <c r="M25" i="5"/>
  <c r="N25" i="5"/>
  <c r="A28" i="5"/>
  <c r="H9" i="3"/>
  <c r="L9" i="3"/>
  <c r="M9" i="3"/>
  <c r="N9" i="3"/>
  <c r="M10" i="3"/>
  <c r="N10" i="3"/>
  <c r="F11" i="3"/>
  <c r="M11" i="3"/>
  <c r="N11" i="3"/>
  <c r="D12" i="3"/>
  <c r="M12" i="3"/>
  <c r="N12" i="3"/>
  <c r="H13" i="3"/>
  <c r="M13" i="3"/>
  <c r="N13" i="3"/>
  <c r="D14" i="3"/>
  <c r="M14" i="3"/>
  <c r="N14" i="3"/>
  <c r="M15" i="3"/>
  <c r="N15" i="3"/>
  <c r="M16" i="3"/>
  <c r="N16" i="3"/>
  <c r="M17" i="3"/>
  <c r="N17" i="3"/>
  <c r="M18" i="3"/>
  <c r="N18" i="3"/>
  <c r="D19" i="3"/>
  <c r="F19" i="3"/>
  <c r="H19" i="3"/>
  <c r="M19" i="3"/>
  <c r="N19" i="3"/>
  <c r="M20" i="3"/>
  <c r="N20" i="3"/>
  <c r="M21" i="3"/>
  <c r="N21" i="3"/>
  <c r="D22" i="3"/>
  <c r="F22" i="3"/>
  <c r="H22" i="3"/>
  <c r="J22" i="3"/>
  <c r="L22" i="3"/>
  <c r="M22" i="3"/>
  <c r="N22" i="3"/>
  <c r="D23" i="3"/>
  <c r="F23" i="3"/>
  <c r="H23" i="3"/>
  <c r="J23" i="3"/>
  <c r="L23" i="3"/>
  <c r="M23" i="3"/>
  <c r="N23" i="3"/>
  <c r="O23" i="3"/>
  <c r="D24" i="3"/>
  <c r="F24" i="3"/>
  <c r="H24" i="3"/>
  <c r="J24" i="3"/>
  <c r="L24" i="3"/>
  <c r="M24" i="3"/>
  <c r="N24" i="3"/>
  <c r="O24" i="3"/>
  <c r="D25" i="3"/>
  <c r="F25" i="3"/>
  <c r="H25" i="3"/>
  <c r="M25" i="3"/>
  <c r="N25" i="3"/>
  <c r="D26" i="3"/>
  <c r="F26" i="3"/>
  <c r="H26" i="3"/>
  <c r="J26" i="3"/>
  <c r="L26" i="3"/>
  <c r="N26" i="3"/>
  <c r="D27" i="3"/>
  <c r="F27" i="3"/>
  <c r="H27" i="3"/>
  <c r="J27" i="3"/>
  <c r="L27" i="3"/>
  <c r="N27" i="3"/>
  <c r="N28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5" i="3"/>
</calcChain>
</file>

<file path=xl/sharedStrings.xml><?xml version="1.0" encoding="utf-8"?>
<sst xmlns="http://schemas.openxmlformats.org/spreadsheetml/2006/main" count="248" uniqueCount="106">
  <si>
    <t>NonDisc</t>
  </si>
  <si>
    <t>Disc</t>
  </si>
  <si>
    <t>NNG</t>
  </si>
  <si>
    <t>TW</t>
  </si>
  <si>
    <t>FGT</t>
  </si>
  <si>
    <t>NBP</t>
  </si>
  <si>
    <t>2002 CAPITAL PLAN</t>
  </si>
  <si>
    <t>($ Whole)</t>
  </si>
  <si>
    <t>OPERATIONS</t>
  </si>
  <si>
    <t>MARKETING</t>
  </si>
  <si>
    <t>IT</t>
  </si>
  <si>
    <t>GAS LOGISTICS</t>
  </si>
  <si>
    <t>GROUP</t>
  </si>
  <si>
    <t>Midwestern</t>
  </si>
  <si>
    <t>Shared Systems:</t>
  </si>
  <si>
    <t xml:space="preserve">   Total Marketing</t>
  </si>
  <si>
    <t>SHARED SYSTEM</t>
  </si>
  <si>
    <t xml:space="preserve">  Gas Control</t>
  </si>
  <si>
    <t>SHARED HARDWARE:</t>
  </si>
  <si>
    <t>Legal / NonD</t>
  </si>
  <si>
    <t>NonD</t>
  </si>
  <si>
    <t>HUMAN RESOURCES</t>
  </si>
  <si>
    <t>EOTT</t>
  </si>
  <si>
    <t>Other</t>
  </si>
  <si>
    <t>Total IT</t>
  </si>
  <si>
    <t>Total Gas Logisics</t>
  </si>
  <si>
    <t>Total Operations</t>
  </si>
  <si>
    <t>Total HR</t>
  </si>
  <si>
    <t>INFRASTRUCTURE</t>
  </si>
  <si>
    <t>F &amp; A</t>
  </si>
  <si>
    <t>Total F &amp; A</t>
  </si>
  <si>
    <t>TOTAL</t>
  </si>
  <si>
    <t>Total Corp Document Management</t>
  </si>
  <si>
    <t>CORP DOCUMENT MANAGEMENT</t>
  </si>
  <si>
    <t>DocEntry Upgrade for HR shill Base Pay Records</t>
  </si>
  <si>
    <t xml:space="preserve"> EnCompass Dev/Enhancements</t>
  </si>
  <si>
    <t xml:space="preserve"> eProcess Implementation</t>
  </si>
  <si>
    <t xml:space="preserve"> Automation of Enrollment process for Envision &amp; EnCompass</t>
  </si>
  <si>
    <t>FileNET System(s) Administration Tools</t>
  </si>
  <si>
    <t>Migrate Access database to SQL</t>
  </si>
  <si>
    <t xml:space="preserve">Envision System Production/Development Server Upgrade </t>
  </si>
  <si>
    <t>Upgrade of existing Envision Windows NT Servers</t>
  </si>
  <si>
    <t>Blanket - Depts</t>
  </si>
  <si>
    <t>NNG Partial Cycle FDD</t>
  </si>
  <si>
    <t xml:space="preserve"> Electronic Tariff Filing</t>
  </si>
  <si>
    <t>NNG Automate Storage "Book"</t>
  </si>
  <si>
    <t>NNG Rate Case Reporting</t>
  </si>
  <si>
    <t>NNG Form 567 Reporting</t>
  </si>
  <si>
    <t>BLANKET Dept</t>
  </si>
  <si>
    <t>Blanket - Dept</t>
  </si>
  <si>
    <t>F&amp;A Comm Reporting Environ</t>
  </si>
  <si>
    <t>PGAS Reporting</t>
  </si>
  <si>
    <t>MFS Enhancement or Repl</t>
  </si>
  <si>
    <t>Blanket - IT depts</t>
  </si>
  <si>
    <t>Blanket - IT ETS depts</t>
  </si>
  <si>
    <t>Omaha Infra Upgrade - System Reliability</t>
  </si>
  <si>
    <t>Monitor Upgrade for IT Ops Support</t>
  </si>
  <si>
    <t>Chair Upgrade IT Support</t>
  </si>
  <si>
    <t xml:space="preserve">    Audit / Security Compliance Monitoring</t>
  </si>
  <si>
    <t xml:space="preserve">    Data Center Consolidation - System Rel</t>
  </si>
  <si>
    <t>CompEng\ Data Analysis &amp; Maint</t>
  </si>
  <si>
    <t>FIELD - SE</t>
  </si>
  <si>
    <t>FIELD - SW</t>
  </si>
  <si>
    <t>FIELD - N</t>
  </si>
  <si>
    <t>FIELD depts</t>
  </si>
  <si>
    <t>Class Location System</t>
  </si>
  <si>
    <t xml:space="preserve">DOT/OPS Internet Map Server </t>
  </si>
  <si>
    <t>SFA - Over Press Prot Sys Repl</t>
  </si>
  <si>
    <t>Material List Request Replace</t>
  </si>
  <si>
    <t>Continuation PHD Replacement</t>
  </si>
  <si>
    <t>Pipeline Op Data Integration</t>
  </si>
  <si>
    <t xml:space="preserve">      GC UPS and GC Center Upgrades</t>
  </si>
  <si>
    <t xml:space="preserve">      GC Desktop Refresh Houston</t>
  </si>
  <si>
    <t xml:space="preserve">      GC SCADA App Servers Upgade</t>
  </si>
  <si>
    <t xml:space="preserve">      GC SCADA Network Upgrade-Field</t>
  </si>
  <si>
    <t xml:space="preserve">      GC SCADA Network Upgrade-Houston</t>
  </si>
  <si>
    <t xml:space="preserve">      GC SCADA Network Doc to Web</t>
  </si>
  <si>
    <t xml:space="preserve">      GC SCADA Network Secuity Upgrade</t>
  </si>
  <si>
    <t>Continuation Contract System completion</t>
  </si>
  <si>
    <t xml:space="preserve">Continuation Rates &amp; Revenue system </t>
  </si>
  <si>
    <t>Call Center-CRM Telephony Software</t>
  </si>
  <si>
    <t>CAS Enhancements</t>
  </si>
  <si>
    <t>FERC Order 637</t>
  </si>
  <si>
    <t>GISB v1.4/1.5 Mods - High Priority</t>
  </si>
  <si>
    <t>GISB v1.4/1.5 Mods - Low Priority</t>
  </si>
  <si>
    <t>HotTap Redesign</t>
  </si>
  <si>
    <t>PNR/Stroage Modifications</t>
  </si>
  <si>
    <t>TMS Security Appl Enhancement</t>
  </si>
  <si>
    <t>GC SCADA Upgrade and Concolidation</t>
  </si>
  <si>
    <t>TW Flow Direction</t>
  </si>
  <si>
    <t>FERC Changes for NNG Invoicing</t>
  </si>
  <si>
    <t>Omaha UPS Upgrade-System Reliability</t>
  </si>
  <si>
    <t>HotTap Windows 2000 Upgrade Cust Rel</t>
  </si>
  <si>
    <t>HotTap Server Upgrades</t>
  </si>
  <si>
    <t>Blanket - depts</t>
  </si>
  <si>
    <t>FGT Allocation &amp; Meter Bounce Enh</t>
  </si>
  <si>
    <t>Midland CC Blanket Refrest</t>
  </si>
  <si>
    <t>Midland CC Facility Upgrades &amp; Maint</t>
  </si>
  <si>
    <t>Midland CC SCADA Network Comp Upgrd</t>
  </si>
  <si>
    <t>Midland CC TankLeak/Spill Pre &amp; alarms</t>
  </si>
  <si>
    <t>Midland CC SCADA &amp; CPM Srv Upgrades</t>
  </si>
  <si>
    <t>Midland CC CPM System Installation</t>
  </si>
  <si>
    <t>Midland CC Instrumentation</t>
  </si>
  <si>
    <t>Midland CC SCADA Communications</t>
  </si>
  <si>
    <t>PILARS Upgrade</t>
  </si>
  <si>
    <t>rev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</si>
</sst>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0" fillId="0" borderId="0" xfId="2" applyNumberFormat="1" applyFont="1"/>
    <xf numFmtId="0" fontId="2" fillId="0" borderId="0" xfId="0" applyFont="1"/>
    <xf numFmtId="165" fontId="1" fillId="0" borderId="0" xfId="2" applyNumberFormat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65" fontId="0" fillId="0" borderId="10" xfId="2" applyNumberFormat="1" applyFont="1" applyBorder="1"/>
    <xf numFmtId="165" fontId="0" fillId="0" borderId="11" xfId="2" applyNumberFormat="1" applyFont="1" applyBorder="1"/>
    <xf numFmtId="0" fontId="0" fillId="0" borderId="10" xfId="0" applyBorder="1"/>
    <xf numFmtId="0" fontId="0" fillId="0" borderId="11" xfId="0" applyBorder="1"/>
    <xf numFmtId="165" fontId="1" fillId="0" borderId="10" xfId="2" applyNumberFormat="1" applyBorder="1"/>
    <xf numFmtId="165" fontId="1" fillId="0" borderId="11" xfId="2" applyNumberFormat="1" applyBorder="1"/>
    <xf numFmtId="165" fontId="1" fillId="0" borderId="5" xfId="2" applyNumberFormat="1" applyBorder="1"/>
    <xf numFmtId="165" fontId="1" fillId="0" borderId="4" xfId="2" applyNumberFormat="1" applyBorder="1"/>
    <xf numFmtId="165" fontId="0" fillId="0" borderId="5" xfId="2" applyNumberFormat="1" applyFont="1" applyBorder="1"/>
    <xf numFmtId="165" fontId="0" fillId="0" borderId="4" xfId="2" applyNumberFormat="1" applyFont="1" applyBorder="1"/>
    <xf numFmtId="165" fontId="0" fillId="0" borderId="0" xfId="2" applyNumberFormat="1" applyFont="1" applyBorder="1"/>
    <xf numFmtId="167" fontId="0" fillId="0" borderId="10" xfId="1" applyNumberFormat="1" applyFont="1" applyBorder="1"/>
    <xf numFmtId="0" fontId="0" fillId="0" borderId="0" xfId="0" applyBorder="1"/>
    <xf numFmtId="0" fontId="0" fillId="0" borderId="12" xfId="0" applyBorder="1"/>
    <xf numFmtId="165" fontId="1" fillId="0" borderId="0" xfId="2" applyNumberFormat="1" applyBorder="1"/>
    <xf numFmtId="165" fontId="1" fillId="0" borderId="13" xfId="2" applyNumberFormat="1" applyBorder="1"/>
    <xf numFmtId="165" fontId="4" fillId="0" borderId="10" xfId="2" applyNumberFormat="1" applyFont="1" applyBorder="1"/>
    <xf numFmtId="0" fontId="0" fillId="0" borderId="0" xfId="0" applyFill="1"/>
    <xf numFmtId="165" fontId="0" fillId="0" borderId="0" xfId="2" applyNumberFormat="1" applyFont="1" applyFill="1"/>
    <xf numFmtId="10" fontId="0" fillId="0" borderId="0" xfId="3" applyNumberFormat="1" applyFont="1"/>
    <xf numFmtId="0" fontId="0" fillId="0" borderId="0" xfId="0" quotePrefix="1"/>
    <xf numFmtId="165" fontId="4" fillId="0" borderId="6" xfId="2" applyNumberFormat="1" applyFont="1" applyBorder="1"/>
    <xf numFmtId="165" fontId="4" fillId="0" borderId="7" xfId="2" applyNumberFormat="1" applyFont="1" applyBorder="1"/>
    <xf numFmtId="165" fontId="4" fillId="0" borderId="11" xfId="2" applyNumberFormat="1" applyFont="1" applyBorder="1"/>
    <xf numFmtId="165" fontId="0" fillId="0" borderId="6" xfId="2" applyNumberFormat="1" applyFont="1" applyBorder="1"/>
    <xf numFmtId="165" fontId="2" fillId="0" borderId="1" xfId="2" applyNumberFormat="1" applyFont="1" applyBorder="1"/>
    <xf numFmtId="165" fontId="1" fillId="0" borderId="1" xfId="2" applyNumberFormat="1" applyBorder="1"/>
    <xf numFmtId="167" fontId="1" fillId="0" borderId="10" xfId="1" applyNumberFormat="1" applyBorder="1"/>
    <xf numFmtId="167" fontId="1" fillId="0" borderId="11" xfId="1" applyNumberFormat="1" applyBorder="1"/>
    <xf numFmtId="167" fontId="1" fillId="0" borderId="0" xfId="1" applyNumberFormat="1" applyBorder="1"/>
    <xf numFmtId="165" fontId="1" fillId="0" borderId="6" xfId="2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4" fillId="0" borderId="14" xfId="2" applyNumberFormat="1" applyFont="1" applyBorder="1"/>
    <xf numFmtId="0" fontId="0" fillId="0" borderId="15" xfId="0" applyBorder="1"/>
    <xf numFmtId="165" fontId="0" fillId="0" borderId="15" xfId="2" applyNumberFormat="1" applyFont="1" applyBorder="1"/>
    <xf numFmtId="165" fontId="0" fillId="0" borderId="0" xfId="0" applyNumberFormat="1"/>
    <xf numFmtId="165" fontId="0" fillId="0" borderId="9" xfId="2" applyNumberFormat="1" applyFont="1" applyBorder="1"/>
    <xf numFmtId="0" fontId="0" fillId="0" borderId="13" xfId="0" applyBorder="1"/>
    <xf numFmtId="0" fontId="0" fillId="0" borderId="6" xfId="0" applyBorder="1"/>
    <xf numFmtId="165" fontId="0" fillId="0" borderId="16" xfId="0" applyNumberFormat="1" applyBorder="1"/>
    <xf numFmtId="165" fontId="0" fillId="0" borderId="5" xfId="0" applyNumberFormat="1" applyBorder="1"/>
    <xf numFmtId="0" fontId="2" fillId="0" borderId="0" xfId="0" applyFont="1" applyBorder="1"/>
    <xf numFmtId="165" fontId="0" fillId="0" borderId="4" xfId="0" applyNumberFormat="1" applyBorder="1"/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/>
    <xf numFmtId="0" fontId="3" fillId="0" borderId="17" xfId="0" applyFont="1" applyBorder="1" applyAlignment="1">
      <alignment horizontal="center"/>
    </xf>
    <xf numFmtId="165" fontId="1" fillId="0" borderId="9" xfId="2" applyNumberFormat="1" applyBorder="1" applyAlignment="1"/>
    <xf numFmtId="0" fontId="2" fillId="0" borderId="1" xfId="0" applyFont="1" applyBorder="1" applyAlignment="1"/>
    <xf numFmtId="165" fontId="2" fillId="0" borderId="1" xfId="2" applyNumberFormat="1" applyFont="1" applyBorder="1" applyAlignment="1"/>
    <xf numFmtId="0" fontId="2" fillId="0" borderId="0" xfId="0" applyFont="1" applyFill="1" applyAlignment="1">
      <alignment horizontal="left"/>
    </xf>
    <xf numFmtId="165" fontId="4" fillId="0" borderId="10" xfId="2" applyNumberFormat="1" applyFont="1" applyFill="1" applyBorder="1"/>
    <xf numFmtId="165" fontId="1" fillId="0" borderId="11" xfId="2" applyNumberFormat="1" applyFill="1" applyBorder="1"/>
    <xf numFmtId="165" fontId="1" fillId="0" borderId="0" xfId="2" applyNumberFormat="1" applyFill="1" applyBorder="1"/>
    <xf numFmtId="0" fontId="0" fillId="0" borderId="0" xfId="0" applyAlignment="1"/>
    <xf numFmtId="0" fontId="2" fillId="0" borderId="0" xfId="0" applyFont="1" applyFill="1" applyAlignment="1"/>
    <xf numFmtId="165" fontId="1" fillId="0" borderId="0" xfId="2" applyNumberFormat="1" applyBorder="1" applyAlignment="1"/>
    <xf numFmtId="0" fontId="2" fillId="0" borderId="0" xfId="0" applyFont="1" applyAlignment="1"/>
    <xf numFmtId="165" fontId="0" fillId="0" borderId="0" xfId="2" applyNumberFormat="1" applyFont="1" applyBorder="1" applyAlignment="1"/>
    <xf numFmtId="0" fontId="4" fillId="0" borderId="0" xfId="0" applyFont="1" applyAlignment="1"/>
    <xf numFmtId="0" fontId="0" fillId="0" borderId="0" xfId="0" applyFill="1" applyAlignment="1"/>
    <xf numFmtId="165" fontId="0" fillId="0" borderId="0" xfId="2" applyNumberFormat="1" applyFont="1" applyFill="1" applyBorder="1" applyAlignment="1"/>
    <xf numFmtId="165" fontId="0" fillId="0" borderId="13" xfId="2" applyNumberFormat="1" applyFont="1" applyBorder="1"/>
    <xf numFmtId="0" fontId="0" fillId="0" borderId="4" xfId="0" applyBorder="1"/>
    <xf numFmtId="165" fontId="2" fillId="0" borderId="18" xfId="2" applyNumberFormat="1" applyFont="1" applyBorder="1"/>
    <xf numFmtId="167" fontId="0" fillId="0" borderId="0" xfId="1" applyNumberFormat="1" applyFont="1" applyBorder="1"/>
    <xf numFmtId="165" fontId="2" fillId="0" borderId="7" xfId="2" applyNumberFormat="1" applyFont="1" applyBorder="1"/>
    <xf numFmtId="0" fontId="2" fillId="0" borderId="13" xfId="0" applyFont="1" applyBorder="1" applyAlignment="1">
      <alignment horizontal="left"/>
    </xf>
    <xf numFmtId="165" fontId="2" fillId="0" borderId="9" xfId="2" applyNumberFormat="1" applyFont="1" applyBorder="1"/>
    <xf numFmtId="0" fontId="2" fillId="0" borderId="3" xfId="0" applyFont="1" applyBorder="1" applyAlignment="1">
      <alignment horizontal="center"/>
    </xf>
    <xf numFmtId="165" fontId="2" fillId="0" borderId="6" xfId="2" applyNumberFormat="1" applyFont="1" applyBorder="1"/>
    <xf numFmtId="0" fontId="0" fillId="0" borderId="19" xfId="0" applyBorder="1"/>
    <xf numFmtId="0" fontId="0" fillId="0" borderId="5" xfId="0" applyBorder="1"/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1" fillId="0" borderId="8" xfId="2" applyNumberFormat="1" applyBorder="1" applyAlignment="1"/>
    <xf numFmtId="165" fontId="1" fillId="0" borderId="15" xfId="2" applyNumberFormat="1" applyBorder="1" applyAlignment="1"/>
    <xf numFmtId="165" fontId="1" fillId="0" borderId="9" xfId="2" applyNumberFormat="1" applyBorder="1"/>
    <xf numFmtId="167" fontId="4" fillId="0" borderId="0" xfId="1" applyNumberFormat="1" applyFont="1" applyBorder="1"/>
    <xf numFmtId="0" fontId="2" fillId="0" borderId="13" xfId="0" applyFont="1" applyBorder="1" applyAlignment="1">
      <alignment horizontal="center"/>
    </xf>
    <xf numFmtId="167" fontId="4" fillId="0" borderId="13" xfId="1" applyNumberFormat="1" applyFont="1" applyBorder="1"/>
    <xf numFmtId="0" fontId="2" fillId="0" borderId="2" xfId="0" applyFont="1" applyBorder="1" applyAlignment="1">
      <alignment horizontal="center"/>
    </xf>
    <xf numFmtId="165" fontId="4" fillId="0" borderId="0" xfId="2" applyNumberFormat="1" applyFont="1" applyBorder="1"/>
    <xf numFmtId="165" fontId="4" fillId="0" borderId="4" xfId="2" applyNumberFormat="1" applyFont="1" applyBorder="1"/>
    <xf numFmtId="0" fontId="2" fillId="0" borderId="13" xfId="0" applyFont="1" applyBorder="1"/>
    <xf numFmtId="165" fontId="4" fillId="0" borderId="5" xfId="2" applyNumberFormat="1" applyFont="1" applyBorder="1"/>
    <xf numFmtId="165" fontId="0" fillId="0" borderId="10" xfId="0" applyNumberFormat="1" applyFill="1" applyBorder="1"/>
    <xf numFmtId="165" fontId="0" fillId="0" borderId="11" xfId="0" applyNumberFormat="1" applyFill="1" applyBorder="1"/>
    <xf numFmtId="0" fontId="0" fillId="0" borderId="1" xfId="0" applyBorder="1"/>
    <xf numFmtId="167" fontId="1" fillId="0" borderId="5" xfId="1" applyNumberFormat="1" applyBorder="1"/>
    <xf numFmtId="167" fontId="1" fillId="0" borderId="4" xfId="1" applyNumberFormat="1" applyBorder="1"/>
    <xf numFmtId="165" fontId="4" fillId="0" borderId="13" xfId="2" applyNumberFormat="1" applyFont="1" applyBorder="1"/>
    <xf numFmtId="0" fontId="2" fillId="0" borderId="1" xfId="0" applyFont="1" applyBorder="1" applyAlignment="1">
      <alignment horizontal="center"/>
    </xf>
    <xf numFmtId="165" fontId="4" fillId="0" borderId="0" xfId="2" applyNumberFormat="1" applyFont="1" applyFill="1" applyBorder="1"/>
    <xf numFmtId="0" fontId="2" fillId="0" borderId="12" xfId="0" applyFont="1" applyBorder="1" applyAlignment="1">
      <alignment horizontal="center"/>
    </xf>
    <xf numFmtId="167" fontId="0" fillId="0" borderId="11" xfId="1" applyNumberFormat="1" applyFont="1" applyBorder="1"/>
    <xf numFmtId="165" fontId="0" fillId="0" borderId="13" xfId="0" applyNumberFormat="1" applyBorder="1"/>
    <xf numFmtId="165" fontId="1" fillId="0" borderId="15" xfId="2" applyNumberFormat="1" applyBorder="1"/>
    <xf numFmtId="0" fontId="0" fillId="0" borderId="14" xfId="0" applyBorder="1" applyAlignment="1"/>
    <xf numFmtId="167" fontId="4" fillId="0" borderId="4" xfId="1" applyNumberFormat="1" applyFont="1" applyBorder="1"/>
    <xf numFmtId="167" fontId="4" fillId="0" borderId="11" xfId="1" applyNumberFormat="1" applyFont="1" applyBorder="1"/>
    <xf numFmtId="165" fontId="0" fillId="0" borderId="14" xfId="2" applyNumberFormat="1" applyFont="1" applyBorder="1"/>
    <xf numFmtId="10" fontId="0" fillId="0" borderId="0" xfId="3" applyNumberFormat="1" applyFont="1" applyBorder="1"/>
    <xf numFmtId="165" fontId="0" fillId="0" borderId="0" xfId="2" applyNumberFormat="1" applyFont="1" applyFill="1" applyBorder="1"/>
    <xf numFmtId="165" fontId="1" fillId="0" borderId="7" xfId="2" applyNumberFormat="1" applyBorder="1"/>
    <xf numFmtId="165" fontId="0" fillId="0" borderId="7" xfId="2" applyNumberFormat="1" applyFont="1" applyBorder="1"/>
    <xf numFmtId="165" fontId="2" fillId="0" borderId="5" xfId="2" applyNumberFormat="1" applyFont="1" applyBorder="1"/>
    <xf numFmtId="167" fontId="0" fillId="0" borderId="0" xfId="0" applyNumberFormat="1" applyBorder="1"/>
    <xf numFmtId="165" fontId="0" fillId="0" borderId="1" xfId="2" applyNumberFormat="1" applyFont="1" applyBorder="1"/>
    <xf numFmtId="167" fontId="1" fillId="0" borderId="1" xfId="1" applyNumberFormat="1" applyBorder="1"/>
    <xf numFmtId="165" fontId="0" fillId="0" borderId="1" xfId="0" applyNumberFormat="1" applyBorder="1"/>
    <xf numFmtId="165" fontId="0" fillId="0" borderId="2" xfId="2" applyNumberFormat="1" applyFont="1" applyBorder="1"/>
    <xf numFmtId="165" fontId="0" fillId="0" borderId="3" xfId="2" applyNumberFormat="1" applyFont="1" applyBorder="1"/>
    <xf numFmtId="167" fontId="4" fillId="0" borderId="3" xfId="1" applyNumberFormat="1" applyFont="1" applyBorder="1"/>
    <xf numFmtId="165" fontId="4" fillId="0" borderId="3" xfId="2" applyNumberFormat="1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0" fillId="0" borderId="7" xfId="0" applyBorder="1" applyAlignment="1"/>
    <xf numFmtId="0" fontId="2" fillId="0" borderId="13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75" workbookViewId="0">
      <selection activeCell="E4" sqref="E4"/>
    </sheetView>
  </sheetViews>
  <sheetFormatPr defaultRowHeight="13.2" x14ac:dyDescent="0.25"/>
  <cols>
    <col min="1" max="1" width="61.44140625" bestFit="1" customWidth="1"/>
    <col min="2" max="2" width="2.109375" customWidth="1"/>
    <col min="3" max="3" width="12.5546875" bestFit="1" customWidth="1"/>
    <col min="4" max="4" width="10" customWidth="1"/>
    <col min="5" max="5" width="11.44140625" bestFit="1" customWidth="1"/>
    <col min="7" max="7" width="12.33203125" bestFit="1" customWidth="1"/>
    <col min="9" max="9" width="10.44140625" bestFit="1" customWidth="1"/>
    <col min="13" max="13" width="12.33203125" bestFit="1" customWidth="1"/>
    <col min="17" max="17" width="15.33203125" customWidth="1"/>
    <col min="18" max="18" width="11.5546875" bestFit="1" customWidth="1"/>
  </cols>
  <sheetData>
    <row r="1" spans="1:21" ht="15.6" x14ac:dyDescent="0.3">
      <c r="A1" s="60" t="s">
        <v>33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21" ht="15.6" x14ac:dyDescent="0.3">
      <c r="A2" s="60" t="s">
        <v>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21" ht="15.6" x14ac:dyDescent="0.3">
      <c r="A3" s="65" t="s">
        <v>7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21" ht="16.2" thickBot="1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21" ht="13.8" thickBot="1" x14ac:dyDescent="0.3">
      <c r="A5" s="73"/>
      <c r="B5" s="73"/>
      <c r="C5" s="112">
        <v>2002</v>
      </c>
      <c r="D5" s="62"/>
      <c r="E5" s="64"/>
      <c r="F5" s="64"/>
      <c r="G5" s="62"/>
      <c r="H5" s="62"/>
      <c r="I5" s="62"/>
      <c r="J5" s="62"/>
      <c r="K5" s="62"/>
      <c r="L5" s="62"/>
      <c r="M5" s="62"/>
      <c r="N5" s="62"/>
      <c r="O5" s="62"/>
      <c r="P5" s="62"/>
      <c r="Q5" s="28"/>
      <c r="R5" s="28"/>
      <c r="S5" s="28"/>
      <c r="T5" s="28"/>
      <c r="U5" s="28"/>
    </row>
    <row r="6" spans="1:21" x14ac:dyDescent="0.25">
      <c r="A6" s="12"/>
      <c r="B6" s="73"/>
      <c r="C6" s="64"/>
      <c r="D6" s="64"/>
      <c r="E6" s="64"/>
      <c r="F6" s="64"/>
      <c r="G6" s="62"/>
      <c r="H6" s="62"/>
      <c r="I6" s="62"/>
      <c r="J6" s="62"/>
      <c r="K6" s="62"/>
      <c r="L6" s="62"/>
      <c r="M6" s="135"/>
      <c r="N6" s="135"/>
      <c r="O6" s="135"/>
      <c r="P6" s="135"/>
      <c r="Q6" s="135"/>
      <c r="R6" s="135"/>
      <c r="S6" s="28"/>
      <c r="T6" s="28"/>
      <c r="U6" s="28"/>
    </row>
    <row r="7" spans="1:21" ht="13.8" thickBot="1" x14ac:dyDescent="0.3">
      <c r="A7" s="13" t="s">
        <v>12</v>
      </c>
      <c r="B7" s="73"/>
      <c r="C7" s="64"/>
      <c r="D7" s="64"/>
      <c r="E7" s="64"/>
      <c r="F7" s="64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8"/>
      <c r="T7" s="28"/>
      <c r="U7" s="28"/>
    </row>
    <row r="8" spans="1:21" ht="13.8" thickBot="1" x14ac:dyDescent="0.3">
      <c r="A8" s="73"/>
      <c r="B8" s="73"/>
      <c r="C8" s="64"/>
      <c r="D8" s="64"/>
      <c r="E8" s="64"/>
      <c r="F8" s="64"/>
      <c r="G8" s="64"/>
      <c r="H8" s="64"/>
      <c r="I8" s="64"/>
      <c r="J8" s="64"/>
      <c r="K8" s="64"/>
      <c r="L8" s="64"/>
      <c r="M8" s="28"/>
      <c r="N8" s="28"/>
      <c r="O8" s="28"/>
      <c r="P8" s="28"/>
      <c r="Q8" s="28"/>
      <c r="R8" s="28"/>
      <c r="S8" s="28"/>
      <c r="T8" s="28"/>
      <c r="U8" s="28"/>
    </row>
    <row r="9" spans="1:21" x14ac:dyDescent="0.25">
      <c r="A9" s="74" t="s">
        <v>35</v>
      </c>
      <c r="B9" s="73"/>
      <c r="C9" s="95">
        <v>50000</v>
      </c>
      <c r="D9" s="75"/>
      <c r="E9" s="75"/>
      <c r="F9" s="75"/>
      <c r="G9" s="75"/>
      <c r="H9" s="75"/>
      <c r="I9" s="75"/>
      <c r="J9" s="75"/>
      <c r="K9" s="75"/>
      <c r="L9" s="75"/>
      <c r="M9" s="30"/>
      <c r="N9" s="30"/>
      <c r="O9" s="30"/>
      <c r="P9" s="30"/>
      <c r="Q9" s="63"/>
      <c r="R9" s="63"/>
      <c r="S9" s="28"/>
      <c r="T9" s="28"/>
      <c r="U9" s="28"/>
    </row>
    <row r="10" spans="1:21" x14ac:dyDescent="0.25">
      <c r="A10" s="76" t="s">
        <v>36</v>
      </c>
      <c r="B10" s="73"/>
      <c r="C10" s="96">
        <v>50000</v>
      </c>
      <c r="D10" s="75"/>
      <c r="E10" s="75"/>
      <c r="F10" s="75"/>
      <c r="G10" s="75"/>
      <c r="H10" s="75"/>
      <c r="I10" s="75"/>
      <c r="J10" s="75"/>
      <c r="K10" s="75"/>
      <c r="L10" s="75"/>
      <c r="M10" s="30"/>
      <c r="N10" s="30"/>
      <c r="O10" s="30"/>
      <c r="P10" s="30"/>
      <c r="Q10" s="63"/>
      <c r="R10" s="63"/>
      <c r="S10" s="28"/>
      <c r="T10" s="28"/>
      <c r="U10" s="28"/>
    </row>
    <row r="11" spans="1:21" x14ac:dyDescent="0.25">
      <c r="A11" s="15" t="s">
        <v>37</v>
      </c>
      <c r="B11" s="73"/>
      <c r="C11" s="96">
        <v>45000</v>
      </c>
      <c r="D11" s="75"/>
      <c r="E11" s="75"/>
      <c r="F11" s="75"/>
      <c r="G11" s="75"/>
      <c r="H11" s="75"/>
      <c r="I11" s="75"/>
      <c r="J11" s="75"/>
      <c r="K11" s="75"/>
      <c r="L11" s="75"/>
      <c r="M11" s="30"/>
      <c r="N11" s="30"/>
      <c r="O11" s="30"/>
      <c r="P11" s="30"/>
      <c r="Q11" s="63"/>
      <c r="R11" s="63"/>
      <c r="S11" s="28"/>
      <c r="T11" s="28"/>
      <c r="U11" s="28"/>
    </row>
    <row r="12" spans="1:21" x14ac:dyDescent="0.25">
      <c r="A12" s="15" t="s">
        <v>38</v>
      </c>
      <c r="B12" s="73"/>
      <c r="C12" s="96">
        <v>50000</v>
      </c>
      <c r="D12" s="75"/>
      <c r="E12" s="75"/>
      <c r="F12" s="75"/>
      <c r="G12" s="75"/>
      <c r="H12" s="75"/>
      <c r="I12" s="75"/>
      <c r="J12" s="75"/>
      <c r="K12" s="75"/>
      <c r="L12" s="75"/>
      <c r="M12" s="30"/>
      <c r="N12" s="30"/>
      <c r="O12" s="30"/>
      <c r="P12" s="30"/>
      <c r="Q12" s="63"/>
      <c r="R12" s="63"/>
      <c r="S12" s="28"/>
      <c r="T12" s="28"/>
      <c r="U12" s="28"/>
    </row>
    <row r="13" spans="1:21" x14ac:dyDescent="0.25">
      <c r="A13" s="15" t="s">
        <v>39</v>
      </c>
      <c r="B13" s="73"/>
      <c r="C13" s="96">
        <v>50000</v>
      </c>
      <c r="D13" s="75"/>
      <c r="E13" s="75"/>
      <c r="F13" s="75"/>
      <c r="G13" s="75"/>
      <c r="H13" s="75"/>
      <c r="I13" s="75"/>
      <c r="J13" s="75"/>
      <c r="K13" s="75"/>
      <c r="L13" s="75"/>
      <c r="M13" s="30"/>
      <c r="N13" s="30"/>
      <c r="O13" s="30"/>
      <c r="P13" s="30"/>
      <c r="Q13" s="63"/>
      <c r="R13" s="63"/>
      <c r="S13" s="28"/>
      <c r="T13" s="28"/>
      <c r="U13" s="28"/>
    </row>
    <row r="14" spans="1:21" x14ac:dyDescent="0.25">
      <c r="A14" s="15" t="s">
        <v>40</v>
      </c>
      <c r="B14" s="73"/>
      <c r="C14" s="96">
        <v>709100</v>
      </c>
      <c r="D14" s="75"/>
      <c r="E14" s="75"/>
      <c r="F14" s="75"/>
      <c r="G14" s="75"/>
      <c r="H14" s="75"/>
      <c r="I14" s="75"/>
      <c r="J14" s="75"/>
      <c r="K14" s="75"/>
      <c r="L14" s="75"/>
      <c r="M14" s="30"/>
      <c r="N14" s="30"/>
      <c r="O14" s="30"/>
      <c r="P14" s="30"/>
      <c r="Q14" s="63"/>
      <c r="R14" s="63"/>
      <c r="S14" s="28"/>
      <c r="T14" s="28"/>
      <c r="U14" s="28"/>
    </row>
    <row r="15" spans="1:21" x14ac:dyDescent="0.25">
      <c r="A15" s="15" t="s">
        <v>41</v>
      </c>
      <c r="B15" s="73"/>
      <c r="C15" s="96">
        <v>166000</v>
      </c>
      <c r="D15" s="75"/>
      <c r="E15" s="75"/>
      <c r="F15" s="75"/>
      <c r="G15" s="75"/>
      <c r="H15" s="75"/>
      <c r="I15" s="75"/>
      <c r="J15" s="75"/>
      <c r="K15" s="75"/>
      <c r="L15" s="75"/>
      <c r="M15" s="30"/>
      <c r="N15" s="30"/>
      <c r="O15" s="30"/>
      <c r="P15" s="30"/>
      <c r="Q15" s="63"/>
      <c r="R15" s="63"/>
      <c r="S15" s="28"/>
      <c r="T15" s="28"/>
      <c r="U15" s="28"/>
    </row>
    <row r="16" spans="1:21" ht="13.8" thickBot="1" x14ac:dyDescent="0.3">
      <c r="A16" s="76" t="s">
        <v>34</v>
      </c>
      <c r="B16" s="73"/>
      <c r="C16" s="66">
        <v>50000</v>
      </c>
      <c r="D16" s="62"/>
      <c r="E16" s="62"/>
      <c r="F16" s="62"/>
      <c r="G16" s="62"/>
      <c r="H16" s="75"/>
      <c r="I16" s="75"/>
      <c r="J16" s="75"/>
      <c r="K16" s="75"/>
      <c r="L16" s="75"/>
      <c r="M16" s="30"/>
      <c r="N16" s="30"/>
      <c r="O16" s="30"/>
      <c r="P16" s="30"/>
      <c r="Q16" s="63"/>
      <c r="R16" s="63"/>
      <c r="S16" s="28"/>
      <c r="T16" s="28"/>
      <c r="U16" s="28"/>
    </row>
    <row r="17" spans="1:21" ht="13.8" thickBot="1" x14ac:dyDescent="0.3">
      <c r="A17" s="76"/>
      <c r="B17" s="73"/>
      <c r="C17" s="75"/>
      <c r="D17" s="62"/>
      <c r="E17" s="62"/>
      <c r="F17" s="62"/>
      <c r="G17" s="62"/>
      <c r="H17" s="75"/>
      <c r="I17" s="75"/>
      <c r="J17" s="75"/>
      <c r="K17" s="75"/>
      <c r="L17" s="75"/>
      <c r="M17" s="30"/>
      <c r="N17" s="30"/>
      <c r="O17" s="30"/>
      <c r="P17" s="30"/>
      <c r="Q17" s="63"/>
      <c r="R17" s="63"/>
      <c r="S17" s="28"/>
      <c r="T17" s="28"/>
      <c r="U17" s="28"/>
    </row>
    <row r="18" spans="1:21" ht="21.75" customHeight="1" thickBot="1" x14ac:dyDescent="0.3">
      <c r="A18" s="67" t="s">
        <v>32</v>
      </c>
      <c r="B18" s="73"/>
      <c r="C18" s="68">
        <f>SUM(C9:C17)</f>
        <v>1170100</v>
      </c>
      <c r="D18" s="62"/>
      <c r="E18" s="62"/>
      <c r="F18" s="62"/>
      <c r="G18" s="62"/>
      <c r="H18" s="75"/>
      <c r="I18" s="75"/>
      <c r="J18" s="75"/>
      <c r="K18" s="75"/>
      <c r="L18" s="75"/>
      <c r="M18" s="30"/>
      <c r="N18" s="30"/>
      <c r="O18" s="30"/>
      <c r="P18" s="30"/>
      <c r="Q18" s="63"/>
      <c r="R18" s="63"/>
      <c r="S18" s="28"/>
      <c r="T18" s="28"/>
      <c r="U18" s="28"/>
    </row>
    <row r="19" spans="1:21" x14ac:dyDescent="0.25">
      <c r="A19" s="73"/>
      <c r="B19" s="73"/>
      <c r="C19" s="77"/>
      <c r="D19" s="77"/>
      <c r="E19" s="77"/>
      <c r="F19" s="77"/>
      <c r="G19" s="77"/>
      <c r="H19" s="77"/>
      <c r="I19" s="77"/>
      <c r="J19" s="77"/>
      <c r="K19" s="64"/>
      <c r="L19" s="64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25">
      <c r="A20" s="73"/>
      <c r="B20" s="73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5">
      <c r="A21" s="78" t="str">
        <f ca="1">CELL("filename")</f>
        <v>P:\IT MS Financial\njc\2002 Plan\[CAPITAL WORKSHEET.xls]F &amp; A</v>
      </c>
      <c r="B21" s="79"/>
      <c r="C21" s="80"/>
      <c r="D21" s="77"/>
      <c r="E21" s="77"/>
      <c r="F21" s="77"/>
      <c r="G21" s="77"/>
      <c r="H21" s="77"/>
      <c r="I21" s="77"/>
      <c r="J21" s="77"/>
      <c r="K21" s="77"/>
      <c r="L21" s="77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25">
      <c r="A22" s="33"/>
      <c r="B22" s="33"/>
      <c r="C22" s="34"/>
      <c r="D22" s="8"/>
      <c r="E22" s="8"/>
      <c r="F22" s="8"/>
      <c r="G22" s="8"/>
      <c r="H22" s="8"/>
      <c r="I22" s="8"/>
      <c r="J22" s="8"/>
      <c r="K22" s="8"/>
      <c r="L22" s="8"/>
    </row>
    <row r="23" spans="1:21" x14ac:dyDescent="0.25">
      <c r="A23" s="33"/>
      <c r="B23" s="33"/>
      <c r="C23" s="34"/>
      <c r="D23" s="8"/>
      <c r="E23" s="8"/>
      <c r="F23" s="8"/>
      <c r="G23" s="8"/>
      <c r="H23" s="8"/>
      <c r="I23" s="8"/>
      <c r="J23" s="8"/>
      <c r="K23" s="8"/>
      <c r="L23" s="8"/>
    </row>
    <row r="24" spans="1:21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21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21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1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21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1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21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21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21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3:12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3:12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3:12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3:12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</row>
  </sheetData>
  <mergeCells count="3">
    <mergeCell ref="Q6:R6"/>
    <mergeCell ref="M6:N6"/>
    <mergeCell ref="O6:P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2" zoomScale="75" workbookViewId="0">
      <selection activeCell="A30" sqref="A30"/>
    </sheetView>
  </sheetViews>
  <sheetFormatPr defaultRowHeight="13.2" x14ac:dyDescent="0.25"/>
  <cols>
    <col min="1" max="1" width="31.6640625" customWidth="1"/>
    <col min="2" max="2" width="2.109375" customWidth="1"/>
    <col min="3" max="4" width="10" customWidth="1"/>
    <col min="6" max="6" width="8.6640625" bestFit="1" customWidth="1"/>
    <col min="7" max="8" width="9.109375" style="28" customWidth="1"/>
    <col min="13" max="13" width="12.6640625" style="28" customWidth="1"/>
    <col min="14" max="14" width="12.6640625" customWidth="1"/>
  </cols>
  <sheetData>
    <row r="1" spans="1:14" ht="15.6" x14ac:dyDescent="0.3">
      <c r="A1" s="136" t="s">
        <v>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4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4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4" ht="15.6" x14ac:dyDescent="0.3">
      <c r="A4" s="136"/>
      <c r="B4" s="136"/>
      <c r="C4" s="136"/>
      <c r="D4" s="136"/>
      <c r="E4" s="136"/>
      <c r="F4" s="136"/>
      <c r="G4" s="136"/>
      <c r="H4" s="136"/>
      <c r="I4" s="136"/>
      <c r="J4" s="136"/>
    </row>
    <row r="5" spans="1:14" ht="14.4" thickBot="1" x14ac:dyDescent="0.3">
      <c r="C5" s="139">
        <v>2002</v>
      </c>
      <c r="D5" s="139"/>
      <c r="E5" s="139"/>
      <c r="F5" s="139"/>
      <c r="G5" s="139"/>
      <c r="H5" s="139"/>
      <c r="I5" s="139"/>
      <c r="J5" s="139"/>
      <c r="K5" s="139"/>
      <c r="L5" s="139"/>
    </row>
    <row r="6" spans="1:14" ht="13.8" thickBot="1" x14ac:dyDescent="0.3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4" ht="13.8" thickBot="1" x14ac:dyDescent="0.3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94" t="s">
        <v>1</v>
      </c>
    </row>
    <row r="8" spans="1:14" x14ac:dyDescent="0.25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</row>
    <row r="9" spans="1:14" x14ac:dyDescent="0.25">
      <c r="A9" s="15" t="s">
        <v>14</v>
      </c>
      <c r="C9" s="16"/>
      <c r="D9" s="26"/>
      <c r="E9" s="16"/>
      <c r="F9" s="26"/>
      <c r="G9" s="16"/>
      <c r="H9" s="17"/>
      <c r="I9" s="26"/>
      <c r="J9" s="26"/>
      <c r="K9" s="18"/>
      <c r="L9" s="28"/>
      <c r="M9" s="18"/>
      <c r="N9" s="19"/>
    </row>
    <row r="10" spans="1:14" x14ac:dyDescent="0.25">
      <c r="A10" s="15" t="s">
        <v>44</v>
      </c>
      <c r="C10" s="16">
        <v>21605</v>
      </c>
      <c r="D10" s="26"/>
      <c r="E10" s="16">
        <v>6200</v>
      </c>
      <c r="F10" s="26"/>
      <c r="G10" s="16">
        <v>11165</v>
      </c>
      <c r="H10" s="17"/>
      <c r="I10" s="26">
        <v>10325</v>
      </c>
      <c r="J10" s="26"/>
      <c r="K10" s="16">
        <v>705</v>
      </c>
      <c r="L10" s="26"/>
      <c r="M10" s="16">
        <f>SUM(K10,I10,G10,E10,C10)</f>
        <v>50000</v>
      </c>
      <c r="N10" s="17">
        <f>SUM(L10,J10,H10,F10,D10)</f>
        <v>0</v>
      </c>
    </row>
    <row r="11" spans="1:14" x14ac:dyDescent="0.25">
      <c r="C11" s="18"/>
      <c r="D11" s="28"/>
      <c r="E11" s="18"/>
      <c r="F11" s="28"/>
      <c r="G11" s="18"/>
      <c r="H11" s="19"/>
      <c r="I11" s="28"/>
      <c r="J11" s="28"/>
      <c r="K11" s="18"/>
      <c r="L11" s="28"/>
      <c r="M11" s="16">
        <f t="shared" ref="M11:M25" si="0">SUM(K11,I11,G11,E11,C11)</f>
        <v>0</v>
      </c>
      <c r="N11" s="17">
        <f t="shared" ref="N11:N23" si="1">SUM(L11,J11,H11,F11,D11)</f>
        <v>0</v>
      </c>
    </row>
    <row r="12" spans="1:14" x14ac:dyDescent="0.25">
      <c r="A12" s="9"/>
      <c r="C12" s="16"/>
      <c r="D12" s="26"/>
      <c r="E12" s="16"/>
      <c r="F12" s="26"/>
      <c r="G12" s="16"/>
      <c r="H12" s="17"/>
      <c r="I12" s="26"/>
      <c r="J12" s="26"/>
      <c r="K12" s="16"/>
      <c r="L12" s="26"/>
      <c r="M12" s="16">
        <f t="shared" si="0"/>
        <v>0</v>
      </c>
      <c r="N12" s="17">
        <f t="shared" si="1"/>
        <v>0</v>
      </c>
    </row>
    <row r="13" spans="1:14" x14ac:dyDescent="0.25">
      <c r="A13" s="9" t="s">
        <v>43</v>
      </c>
      <c r="C13" s="16">
        <v>65000</v>
      </c>
      <c r="D13" s="26"/>
      <c r="E13" s="16"/>
      <c r="F13" s="26"/>
      <c r="G13" s="16"/>
      <c r="H13" s="17"/>
      <c r="I13" s="26"/>
      <c r="J13" s="26"/>
      <c r="K13" s="16"/>
      <c r="L13" s="26"/>
      <c r="M13" s="16">
        <f t="shared" si="0"/>
        <v>65000</v>
      </c>
      <c r="N13" s="17">
        <f t="shared" si="1"/>
        <v>0</v>
      </c>
    </row>
    <row r="14" spans="1:14" x14ac:dyDescent="0.25">
      <c r="A14" s="9" t="s">
        <v>45</v>
      </c>
      <c r="C14" s="16"/>
      <c r="D14" s="26">
        <v>87000</v>
      </c>
      <c r="E14" s="16"/>
      <c r="F14" s="26"/>
      <c r="G14" s="16"/>
      <c r="H14" s="17"/>
      <c r="I14" s="26"/>
      <c r="J14" s="26"/>
      <c r="K14" s="16"/>
      <c r="L14" s="26"/>
      <c r="M14" s="16">
        <f t="shared" si="0"/>
        <v>0</v>
      </c>
      <c r="N14" s="17">
        <f t="shared" si="1"/>
        <v>87000</v>
      </c>
    </row>
    <row r="15" spans="1:14" x14ac:dyDescent="0.25">
      <c r="C15" s="18"/>
      <c r="D15" s="28"/>
      <c r="E15" s="18"/>
      <c r="F15" s="28"/>
      <c r="G15" s="18"/>
      <c r="H15" s="19"/>
      <c r="I15" s="28"/>
      <c r="J15" s="28"/>
      <c r="K15" s="18"/>
      <c r="L15" s="28"/>
      <c r="M15" s="16">
        <f t="shared" si="0"/>
        <v>0</v>
      </c>
      <c r="N15" s="17">
        <f t="shared" si="1"/>
        <v>0</v>
      </c>
    </row>
    <row r="16" spans="1:14" x14ac:dyDescent="0.25">
      <c r="A16" s="9"/>
      <c r="C16" s="16"/>
      <c r="D16" s="26"/>
      <c r="E16" s="16"/>
      <c r="F16" s="26"/>
      <c r="G16" s="16"/>
      <c r="H16" s="17"/>
      <c r="I16" s="26"/>
      <c r="J16" s="26"/>
      <c r="K16" s="16"/>
      <c r="L16" s="26"/>
      <c r="M16" s="16">
        <f t="shared" si="0"/>
        <v>0</v>
      </c>
      <c r="N16" s="17">
        <f t="shared" si="1"/>
        <v>0</v>
      </c>
    </row>
    <row r="17" spans="1:14" x14ac:dyDescent="0.25">
      <c r="A17" s="9" t="s">
        <v>46</v>
      </c>
      <c r="C17" s="16">
        <v>108000</v>
      </c>
      <c r="D17" s="26"/>
      <c r="E17" s="16"/>
      <c r="F17" s="26"/>
      <c r="G17" s="16"/>
      <c r="H17" s="17"/>
      <c r="I17" s="26"/>
      <c r="J17" s="26"/>
      <c r="K17" s="16"/>
      <c r="L17" s="26"/>
      <c r="M17" s="16">
        <f t="shared" si="0"/>
        <v>108000</v>
      </c>
      <c r="N17" s="17">
        <f t="shared" si="1"/>
        <v>0</v>
      </c>
    </row>
    <row r="18" spans="1:14" x14ac:dyDescent="0.25">
      <c r="A18" s="9" t="s">
        <v>47</v>
      </c>
      <c r="C18" s="16">
        <v>65000</v>
      </c>
      <c r="D18" s="26"/>
      <c r="E18" s="16"/>
      <c r="F18" s="26"/>
      <c r="G18" s="16"/>
      <c r="H18" s="17"/>
      <c r="I18" s="26"/>
      <c r="J18" s="26"/>
      <c r="K18" s="16"/>
      <c r="L18" s="26"/>
      <c r="M18" s="16">
        <f t="shared" si="0"/>
        <v>65000</v>
      </c>
      <c r="N18" s="17">
        <f t="shared" si="1"/>
        <v>0</v>
      </c>
    </row>
    <row r="19" spans="1:14" x14ac:dyDescent="0.25">
      <c r="A19" s="9"/>
      <c r="C19" s="16"/>
      <c r="D19" s="26"/>
      <c r="E19" s="16"/>
      <c r="F19" s="26"/>
      <c r="G19" s="16"/>
      <c r="H19" s="17"/>
      <c r="I19" s="26"/>
      <c r="J19" s="26"/>
      <c r="K19" s="16"/>
      <c r="L19" s="26"/>
      <c r="M19" s="16">
        <f t="shared" si="0"/>
        <v>0</v>
      </c>
      <c r="N19" s="17">
        <f t="shared" si="1"/>
        <v>0</v>
      </c>
    </row>
    <row r="20" spans="1:14" x14ac:dyDescent="0.25">
      <c r="A20" s="9" t="s">
        <v>42</v>
      </c>
      <c r="C20" s="16"/>
      <c r="D20" s="26"/>
      <c r="E20" s="18"/>
      <c r="F20" s="26">
        <v>40000</v>
      </c>
      <c r="G20" s="16"/>
      <c r="H20" s="17"/>
      <c r="I20" s="26"/>
      <c r="J20" s="26"/>
      <c r="K20" s="16"/>
      <c r="L20" s="26"/>
      <c r="M20" s="16">
        <f t="shared" si="0"/>
        <v>0</v>
      </c>
      <c r="N20" s="17">
        <f t="shared" si="1"/>
        <v>40000</v>
      </c>
    </row>
    <row r="21" spans="1:14" x14ac:dyDescent="0.25">
      <c r="A21" s="9" t="s">
        <v>42</v>
      </c>
      <c r="C21" s="16"/>
      <c r="D21" s="26">
        <v>118400</v>
      </c>
      <c r="E21" s="16"/>
      <c r="F21" s="26"/>
      <c r="G21" s="16"/>
      <c r="H21" s="17"/>
      <c r="I21" s="26"/>
      <c r="J21" s="26"/>
      <c r="K21" s="16"/>
      <c r="L21" s="26"/>
      <c r="M21" s="16">
        <f t="shared" si="0"/>
        <v>0</v>
      </c>
      <c r="N21" s="17">
        <f t="shared" si="1"/>
        <v>118400</v>
      </c>
    </row>
    <row r="22" spans="1:14" x14ac:dyDescent="0.25">
      <c r="A22" s="9" t="s">
        <v>42</v>
      </c>
      <c r="C22" s="16"/>
      <c r="D22" s="26"/>
      <c r="E22" s="16"/>
      <c r="F22" s="26"/>
      <c r="G22" s="18"/>
      <c r="H22" s="17">
        <v>30000</v>
      </c>
      <c r="I22" s="26"/>
      <c r="J22" s="26"/>
      <c r="K22" s="16"/>
      <c r="L22" s="26"/>
      <c r="M22" s="16">
        <f t="shared" si="0"/>
        <v>0</v>
      </c>
      <c r="N22" s="17">
        <f t="shared" si="1"/>
        <v>30000</v>
      </c>
    </row>
    <row r="23" spans="1:14" ht="13.8" thickBot="1" x14ac:dyDescent="0.3">
      <c r="A23" s="9"/>
      <c r="C23" s="24"/>
      <c r="D23" s="81"/>
      <c r="E23" s="24"/>
      <c r="F23" s="81"/>
      <c r="G23" s="24"/>
      <c r="H23" s="25"/>
      <c r="I23" s="81"/>
      <c r="J23" s="81"/>
      <c r="K23" s="24"/>
      <c r="L23" s="81"/>
      <c r="M23" s="24">
        <f t="shared" si="0"/>
        <v>0</v>
      </c>
      <c r="N23" s="25">
        <f t="shared" si="1"/>
        <v>0</v>
      </c>
    </row>
    <row r="24" spans="1:14" ht="13.8" thickBot="1" x14ac:dyDescent="0.3">
      <c r="M24" s="26">
        <f t="shared" si="0"/>
        <v>0</v>
      </c>
    </row>
    <row r="25" spans="1:14" ht="19.5" customHeight="1" thickBot="1" x14ac:dyDescent="0.3">
      <c r="A25" s="1" t="s">
        <v>15</v>
      </c>
      <c r="C25" s="37">
        <f t="shared" ref="C25:N25" si="2">SUM(C10:C23)</f>
        <v>259605</v>
      </c>
      <c r="D25" s="38">
        <f t="shared" si="2"/>
        <v>205400</v>
      </c>
      <c r="E25" s="37">
        <f t="shared" si="2"/>
        <v>6200</v>
      </c>
      <c r="F25" s="49">
        <f t="shared" si="2"/>
        <v>40000</v>
      </c>
      <c r="G25" s="37">
        <f t="shared" si="2"/>
        <v>11165</v>
      </c>
      <c r="H25" s="38">
        <f t="shared" si="2"/>
        <v>30000</v>
      </c>
      <c r="I25" s="49">
        <f t="shared" si="2"/>
        <v>10325</v>
      </c>
      <c r="J25" s="38">
        <f t="shared" si="2"/>
        <v>0</v>
      </c>
      <c r="K25" s="37">
        <f t="shared" si="2"/>
        <v>705</v>
      </c>
      <c r="L25" s="49">
        <f t="shared" si="2"/>
        <v>0</v>
      </c>
      <c r="M25" s="128">
        <f t="shared" si="0"/>
        <v>288000</v>
      </c>
      <c r="N25" s="85">
        <f t="shared" si="2"/>
        <v>275400</v>
      </c>
    </row>
    <row r="26" spans="1:14" x14ac:dyDescent="0.25">
      <c r="A26" s="9"/>
      <c r="C26" s="8"/>
      <c r="D26" s="8"/>
      <c r="E26" s="8"/>
      <c r="F26" s="8"/>
      <c r="G26" s="26"/>
      <c r="H26" s="26"/>
      <c r="I26" s="8"/>
      <c r="J26" s="8"/>
      <c r="K26" s="8"/>
      <c r="L26" s="8"/>
      <c r="M26" s="26"/>
    </row>
    <row r="27" spans="1:14" x14ac:dyDescent="0.25">
      <c r="A27" s="9"/>
      <c r="C27" s="34"/>
      <c r="D27" s="34"/>
      <c r="E27" s="34"/>
      <c r="F27" s="34"/>
      <c r="G27" s="123"/>
      <c r="H27" s="123"/>
      <c r="I27" s="8"/>
      <c r="J27" s="8"/>
      <c r="K27" s="8"/>
      <c r="L27" s="8"/>
      <c r="M27" s="26"/>
      <c r="N27" s="52"/>
    </row>
    <row r="28" spans="1:14" x14ac:dyDescent="0.25">
      <c r="A28" s="14" t="str">
        <f ca="1">CELL("filename")</f>
        <v>P:\IT MS Financial\njc\2002 Plan\[CAPITAL WORKSHEET.xls]F &amp; A</v>
      </c>
      <c r="C28" s="34"/>
      <c r="D28" s="34"/>
      <c r="E28" s="34"/>
      <c r="F28" s="34"/>
      <c r="G28" s="123"/>
      <c r="H28" s="123"/>
      <c r="I28" s="8"/>
      <c r="J28" s="8"/>
      <c r="K28" s="8"/>
      <c r="L28" s="8"/>
      <c r="M28" s="26"/>
    </row>
    <row r="29" spans="1:14" x14ac:dyDescent="0.25">
      <c r="A29" s="9" t="s">
        <v>105</v>
      </c>
      <c r="C29" s="34"/>
      <c r="D29" s="34"/>
      <c r="E29" s="34"/>
      <c r="F29" s="34"/>
      <c r="G29" s="123"/>
      <c r="H29" s="123"/>
      <c r="I29" s="8"/>
      <c r="J29" s="8"/>
      <c r="K29" s="8"/>
      <c r="L29" s="8"/>
      <c r="M29" s="26"/>
    </row>
    <row r="30" spans="1:14" x14ac:dyDescent="0.25">
      <c r="A30" s="9"/>
      <c r="C30" s="34"/>
      <c r="D30" s="34"/>
      <c r="E30" s="34"/>
      <c r="F30" s="34"/>
      <c r="G30" s="123"/>
      <c r="H30" s="123"/>
      <c r="I30" s="8"/>
      <c r="J30" s="8"/>
      <c r="K30" s="8"/>
      <c r="L30" s="8"/>
      <c r="M30" s="26"/>
    </row>
    <row r="31" spans="1:14" x14ac:dyDescent="0.25">
      <c r="A31" s="9"/>
      <c r="C31" s="8"/>
      <c r="D31" s="8"/>
      <c r="E31" s="8"/>
      <c r="F31" s="8"/>
      <c r="G31" s="26"/>
      <c r="H31" s="26"/>
      <c r="I31" s="8"/>
      <c r="J31" s="8"/>
      <c r="K31" s="8"/>
      <c r="L31" s="8"/>
      <c r="M31" s="26"/>
    </row>
    <row r="32" spans="1:14" x14ac:dyDescent="0.25">
      <c r="C32" s="8"/>
      <c r="D32" s="8"/>
      <c r="E32" s="8"/>
      <c r="F32" s="8"/>
      <c r="G32" s="26"/>
      <c r="H32" s="26"/>
      <c r="I32" s="8"/>
      <c r="J32" s="8"/>
      <c r="M32" s="26"/>
    </row>
    <row r="33" spans="3:13" x14ac:dyDescent="0.25">
      <c r="C33" s="8"/>
      <c r="D33" s="8"/>
      <c r="E33" s="8"/>
      <c r="F33" s="8"/>
      <c r="G33" s="26"/>
      <c r="H33" s="26"/>
      <c r="I33" s="8"/>
      <c r="J33" s="8"/>
      <c r="M33" s="26"/>
    </row>
    <row r="34" spans="3:13" x14ac:dyDescent="0.25">
      <c r="C34" s="8"/>
      <c r="D34" s="8"/>
      <c r="E34" s="8"/>
      <c r="F34" s="8"/>
      <c r="G34" s="26"/>
      <c r="H34" s="26"/>
      <c r="I34" s="8"/>
      <c r="J34" s="8"/>
      <c r="M34" s="26"/>
    </row>
    <row r="35" spans="3:13" x14ac:dyDescent="0.25">
      <c r="C35" s="8"/>
      <c r="D35" s="8"/>
      <c r="E35" s="8"/>
      <c r="F35" s="8"/>
      <c r="G35" s="26"/>
      <c r="H35" s="26"/>
      <c r="I35" s="8"/>
      <c r="J35" s="8"/>
      <c r="M35" s="26"/>
    </row>
    <row r="36" spans="3:13" x14ac:dyDescent="0.25">
      <c r="C36" s="8"/>
      <c r="D36" s="8"/>
      <c r="E36" s="8"/>
      <c r="F36" s="8"/>
      <c r="G36" s="26"/>
      <c r="H36" s="26"/>
      <c r="I36" s="8"/>
      <c r="J36" s="8"/>
      <c r="M36" s="26"/>
    </row>
    <row r="37" spans="3:13" x14ac:dyDescent="0.25">
      <c r="C37" s="8"/>
      <c r="D37" s="8"/>
      <c r="E37" s="8"/>
      <c r="F37" s="8"/>
      <c r="G37" s="26"/>
      <c r="H37" s="26"/>
      <c r="I37" s="8"/>
      <c r="J37" s="8"/>
      <c r="M37" s="26"/>
    </row>
    <row r="38" spans="3:13" x14ac:dyDescent="0.25">
      <c r="C38" s="8"/>
      <c r="D38" s="8"/>
      <c r="E38" s="8"/>
      <c r="F38" s="8"/>
      <c r="G38" s="26"/>
      <c r="H38" s="26"/>
      <c r="I38" s="8"/>
      <c r="J38" s="8"/>
      <c r="M38" s="26"/>
    </row>
    <row r="39" spans="3:13" x14ac:dyDescent="0.25">
      <c r="C39" s="8"/>
      <c r="D39" s="8"/>
      <c r="E39" s="8"/>
      <c r="F39" s="8"/>
      <c r="G39" s="26"/>
      <c r="H39" s="26"/>
      <c r="I39" s="8"/>
      <c r="J39" s="8"/>
      <c r="M39" s="26"/>
    </row>
    <row r="40" spans="3:13" x14ac:dyDescent="0.25">
      <c r="C40" s="8"/>
      <c r="D40" s="8"/>
      <c r="E40" s="8"/>
      <c r="F40" s="8"/>
      <c r="G40" s="26"/>
      <c r="H40" s="26"/>
      <c r="I40" s="8"/>
      <c r="J40" s="8"/>
      <c r="M40" s="26"/>
    </row>
    <row r="41" spans="3:13" x14ac:dyDescent="0.25">
      <c r="C41" s="8"/>
      <c r="D41" s="8"/>
      <c r="E41" s="8"/>
      <c r="F41" s="8"/>
      <c r="G41" s="26"/>
      <c r="H41" s="26"/>
      <c r="I41" s="8"/>
      <c r="J41" s="8"/>
      <c r="M41" s="26"/>
    </row>
    <row r="42" spans="3:13" x14ac:dyDescent="0.25">
      <c r="C42" s="8"/>
      <c r="D42" s="8"/>
      <c r="E42" s="8"/>
      <c r="F42" s="8"/>
      <c r="G42" s="26"/>
      <c r="H42" s="26"/>
      <c r="I42" s="8"/>
      <c r="J42" s="8"/>
      <c r="M42" s="26"/>
    </row>
    <row r="43" spans="3:13" x14ac:dyDescent="0.25">
      <c r="C43" s="8"/>
      <c r="D43" s="8"/>
      <c r="E43" s="8"/>
      <c r="F43" s="8"/>
      <c r="G43" s="26"/>
      <c r="H43" s="26"/>
      <c r="I43" s="8"/>
      <c r="J43" s="8"/>
      <c r="M43" s="26"/>
    </row>
    <row r="56" spans="13:13" x14ac:dyDescent="0.25">
      <c r="M56" s="63"/>
    </row>
  </sheetData>
  <mergeCells count="11">
    <mergeCell ref="C5:L5"/>
    <mergeCell ref="A1:L1"/>
    <mergeCell ref="A2:L2"/>
    <mergeCell ref="A3:L3"/>
    <mergeCell ref="M6:N6"/>
    <mergeCell ref="K6:L6"/>
    <mergeCell ref="A4:J4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zoomScale="75" workbookViewId="0">
      <selection activeCell="A28" sqref="A28"/>
    </sheetView>
  </sheetViews>
  <sheetFormatPr defaultRowHeight="13.2" x14ac:dyDescent="0.25"/>
  <cols>
    <col min="1" max="1" width="42.5546875" bestFit="1" customWidth="1"/>
    <col min="2" max="2" width="2.109375" customWidth="1"/>
    <col min="3" max="3" width="11.33203125" bestFit="1" customWidth="1"/>
    <col min="4" max="5" width="11.44140625" bestFit="1" customWidth="1"/>
    <col min="6" max="6" width="8.6640625" bestFit="1" customWidth="1"/>
    <col min="7" max="8" width="9.109375" style="28" customWidth="1"/>
    <col min="13" max="13" width="10" style="28" bestFit="1" customWidth="1"/>
    <col min="15" max="15" width="10" bestFit="1" customWidth="1"/>
    <col min="17" max="18" width="11.33203125" bestFit="1" customWidth="1"/>
    <col min="19" max="19" width="12" customWidth="1"/>
  </cols>
  <sheetData>
    <row r="1" spans="1:18" ht="15.6" x14ac:dyDescent="0.3">
      <c r="A1" s="136" t="s">
        <v>10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8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8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8" ht="16.2" thickBo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Q4" s="54"/>
      <c r="R4" s="54"/>
    </row>
    <row r="5" spans="1:18" ht="13.8" thickBot="1" x14ac:dyDescent="0.3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40"/>
      <c r="O5" s="140"/>
      <c r="P5" s="138"/>
      <c r="Q5" s="55"/>
      <c r="R5" s="108"/>
    </row>
    <row r="6" spans="1:18" ht="13.8" thickBot="1" x14ac:dyDescent="0.3">
      <c r="A6" s="12"/>
      <c r="C6" s="142" t="s">
        <v>2</v>
      </c>
      <c r="D6" s="143"/>
      <c r="E6" s="142" t="s">
        <v>3</v>
      </c>
      <c r="F6" s="143"/>
      <c r="G6" s="137" t="s">
        <v>4</v>
      </c>
      <c r="H6" s="138"/>
      <c r="I6" s="142" t="s">
        <v>5</v>
      </c>
      <c r="J6" s="143"/>
      <c r="K6" s="137" t="s">
        <v>13</v>
      </c>
      <c r="L6" s="138"/>
      <c r="M6" s="142" t="s">
        <v>22</v>
      </c>
      <c r="N6" s="143"/>
      <c r="O6" s="142" t="s">
        <v>23</v>
      </c>
      <c r="P6" s="143"/>
      <c r="Q6" s="137" t="s">
        <v>31</v>
      </c>
      <c r="R6" s="138"/>
    </row>
    <row r="7" spans="1:18" ht="13.8" thickBot="1" x14ac:dyDescent="0.3">
      <c r="A7" s="13" t="s">
        <v>12</v>
      </c>
      <c r="C7" s="93" t="s">
        <v>0</v>
      </c>
      <c r="D7" s="94" t="s">
        <v>1</v>
      </c>
      <c r="E7" s="93" t="s">
        <v>0</v>
      </c>
      <c r="F7" s="62" t="s">
        <v>1</v>
      </c>
      <c r="G7" s="6" t="s">
        <v>0</v>
      </c>
      <c r="H7" s="7" t="s">
        <v>1</v>
      </c>
      <c r="I7" s="99" t="s">
        <v>0</v>
      </c>
      <c r="J7" s="4" t="s">
        <v>1</v>
      </c>
      <c r="K7" s="5" t="s">
        <v>0</v>
      </c>
      <c r="L7" s="99" t="s">
        <v>1</v>
      </c>
      <c r="M7" s="62" t="s">
        <v>0</v>
      </c>
      <c r="N7" s="94" t="s">
        <v>1</v>
      </c>
      <c r="O7" s="5" t="s">
        <v>0</v>
      </c>
      <c r="P7" s="99" t="s">
        <v>1</v>
      </c>
      <c r="Q7" s="101" t="s">
        <v>0</v>
      </c>
      <c r="R7" s="88" t="s">
        <v>1</v>
      </c>
    </row>
    <row r="8" spans="1:18" x14ac:dyDescent="0.25">
      <c r="C8" s="2"/>
      <c r="D8" s="29"/>
      <c r="E8" s="2"/>
      <c r="F8" s="29"/>
      <c r="G8" s="2"/>
      <c r="H8" s="3"/>
      <c r="I8" s="29"/>
      <c r="J8" s="3"/>
      <c r="K8" s="2"/>
      <c r="L8" s="29"/>
      <c r="M8" s="2"/>
      <c r="N8" s="3"/>
      <c r="O8" s="29"/>
      <c r="P8" s="29"/>
      <c r="Q8" s="2"/>
      <c r="R8" s="3"/>
    </row>
    <row r="9" spans="1:18" x14ac:dyDescent="0.25">
      <c r="A9" s="15"/>
      <c r="C9" s="20"/>
      <c r="D9" s="30"/>
      <c r="E9" s="20"/>
      <c r="F9" s="30"/>
      <c r="G9" s="20"/>
      <c r="H9" s="21"/>
      <c r="I9" s="30"/>
      <c r="J9" s="21"/>
      <c r="K9" s="20"/>
      <c r="L9" s="30"/>
      <c r="M9" s="20"/>
      <c r="N9" s="21"/>
      <c r="O9" s="30"/>
      <c r="P9" s="30"/>
      <c r="Q9" s="47">
        <f>SUM(O9,M9,K9,I9,G9,E9,C9)</f>
        <v>0</v>
      </c>
      <c r="R9" s="48">
        <f>SUM(P9,N9,L9,J9,H9,F9,D9)</f>
        <v>0</v>
      </c>
    </row>
    <row r="10" spans="1:18" x14ac:dyDescent="0.25">
      <c r="A10" s="15"/>
      <c r="C10" s="32"/>
      <c r="D10" s="30"/>
      <c r="E10" s="32"/>
      <c r="F10" s="30"/>
      <c r="G10" s="32"/>
      <c r="H10" s="21"/>
      <c r="I10" s="102"/>
      <c r="J10" s="21"/>
      <c r="K10" s="32"/>
      <c r="L10" s="30"/>
      <c r="M10" s="20"/>
      <c r="N10" s="21"/>
      <c r="O10" s="30"/>
      <c r="P10" s="30"/>
      <c r="Q10" s="47">
        <f t="shared" ref="Q10:Q23" si="0">SUM(O10,M10,K10,I10,G10,E10,C10)</f>
        <v>0</v>
      </c>
      <c r="R10" s="48">
        <f t="shared" ref="R10:R23" si="1">SUM(P10,N10,L10,J10,H10,F10,D10)</f>
        <v>0</v>
      </c>
    </row>
    <row r="11" spans="1:18" x14ac:dyDescent="0.25">
      <c r="A11" s="15" t="s">
        <v>28</v>
      </c>
      <c r="C11" s="32"/>
      <c r="D11" s="30"/>
      <c r="E11" s="32"/>
      <c r="F11" s="30"/>
      <c r="G11" s="32"/>
      <c r="H11" s="21"/>
      <c r="I11" s="102"/>
      <c r="J11" s="21"/>
      <c r="K11" s="32"/>
      <c r="L11" s="30"/>
      <c r="M11" s="20">
        <f t="shared" ref="M11:M23" si="2">SUM(K11,I11,G11,E11,C11)</f>
        <v>0</v>
      </c>
      <c r="N11" s="21"/>
      <c r="O11" s="30"/>
      <c r="P11" s="30"/>
      <c r="Q11" s="47">
        <f t="shared" si="0"/>
        <v>0</v>
      </c>
      <c r="R11" s="48">
        <f t="shared" si="1"/>
        <v>0</v>
      </c>
    </row>
    <row r="12" spans="1:18" x14ac:dyDescent="0.25">
      <c r="A12" s="15" t="s">
        <v>58</v>
      </c>
      <c r="C12" s="32"/>
      <c r="D12" s="30">
        <v>600000</v>
      </c>
      <c r="E12" s="32"/>
      <c r="F12" s="30"/>
      <c r="G12" s="32"/>
      <c r="H12" s="21"/>
      <c r="I12" s="102"/>
      <c r="J12" s="21"/>
      <c r="K12" s="32"/>
      <c r="L12" s="30"/>
      <c r="M12" s="20">
        <f t="shared" si="2"/>
        <v>0</v>
      </c>
      <c r="N12" s="21"/>
      <c r="O12" s="30"/>
      <c r="P12" s="30"/>
      <c r="Q12" s="47">
        <f t="shared" si="0"/>
        <v>0</v>
      </c>
      <c r="R12" s="48">
        <f t="shared" si="1"/>
        <v>600000</v>
      </c>
    </row>
    <row r="13" spans="1:18" x14ac:dyDescent="0.25">
      <c r="A13" s="15" t="s">
        <v>59</v>
      </c>
      <c r="C13" s="32"/>
      <c r="D13" s="30">
        <v>1066142</v>
      </c>
      <c r="E13" s="32"/>
      <c r="F13" s="30"/>
      <c r="G13" s="32"/>
      <c r="H13" s="21"/>
      <c r="I13" s="102"/>
      <c r="J13" s="21"/>
      <c r="K13" s="32"/>
      <c r="L13" s="30"/>
      <c r="M13" s="20">
        <f t="shared" si="2"/>
        <v>0</v>
      </c>
      <c r="N13" s="21"/>
      <c r="O13" s="30"/>
      <c r="P13" s="30"/>
      <c r="Q13" s="47">
        <f t="shared" si="0"/>
        <v>0</v>
      </c>
      <c r="R13" s="48">
        <f t="shared" si="1"/>
        <v>1066142</v>
      </c>
    </row>
    <row r="14" spans="1:18" x14ac:dyDescent="0.25">
      <c r="A14" s="15"/>
      <c r="C14" s="32"/>
      <c r="D14" s="30"/>
      <c r="E14" s="32"/>
      <c r="F14" s="30"/>
      <c r="G14" s="32"/>
      <c r="H14" s="21"/>
      <c r="I14" s="102"/>
      <c r="J14" s="21"/>
      <c r="K14" s="32"/>
      <c r="L14" s="30"/>
      <c r="M14" s="20">
        <f t="shared" si="2"/>
        <v>0</v>
      </c>
      <c r="N14" s="21"/>
      <c r="O14" s="30"/>
      <c r="P14" s="30"/>
      <c r="Q14" s="47">
        <f t="shared" si="0"/>
        <v>0</v>
      </c>
      <c r="R14" s="48">
        <f t="shared" si="1"/>
        <v>0</v>
      </c>
    </row>
    <row r="15" spans="1:18" x14ac:dyDescent="0.25">
      <c r="A15" s="15"/>
      <c r="C15" s="32"/>
      <c r="D15" s="30"/>
      <c r="E15" s="32"/>
      <c r="F15" s="30"/>
      <c r="G15" s="32"/>
      <c r="H15" s="21"/>
      <c r="I15" s="102"/>
      <c r="J15" s="21"/>
      <c r="K15" s="32"/>
      <c r="L15" s="30"/>
      <c r="M15" s="20">
        <f t="shared" si="2"/>
        <v>0</v>
      </c>
      <c r="N15" s="21"/>
      <c r="O15" s="30"/>
      <c r="P15" s="30"/>
      <c r="Q15" s="47">
        <f t="shared" si="0"/>
        <v>0</v>
      </c>
      <c r="R15" s="48">
        <f t="shared" si="1"/>
        <v>0</v>
      </c>
    </row>
    <row r="16" spans="1:18" s="33" customFormat="1" x14ac:dyDescent="0.25">
      <c r="A16" s="69" t="s">
        <v>57</v>
      </c>
      <c r="C16" s="70"/>
      <c r="D16" s="72">
        <v>30150</v>
      </c>
      <c r="E16" s="70"/>
      <c r="F16" s="72">
        <v>30150</v>
      </c>
      <c r="G16" s="70"/>
      <c r="H16" s="71">
        <v>30150</v>
      </c>
      <c r="I16" s="113"/>
      <c r="J16" s="71"/>
      <c r="K16" s="70"/>
      <c r="L16" s="72"/>
      <c r="M16" s="20">
        <f t="shared" si="2"/>
        <v>0</v>
      </c>
      <c r="N16" s="71"/>
      <c r="O16" s="72"/>
      <c r="P16" s="72"/>
      <c r="Q16" s="106">
        <f t="shared" si="0"/>
        <v>0</v>
      </c>
      <c r="R16" s="107">
        <f t="shared" si="1"/>
        <v>90450</v>
      </c>
    </row>
    <row r="17" spans="1:19" x14ac:dyDescent="0.25">
      <c r="A17" s="15"/>
      <c r="C17" s="32"/>
      <c r="D17" s="30"/>
      <c r="E17" s="32"/>
      <c r="F17" s="30"/>
      <c r="G17" s="32"/>
      <c r="H17" s="21"/>
      <c r="I17" s="102"/>
      <c r="J17" s="21"/>
      <c r="K17" s="32"/>
      <c r="L17" s="30"/>
      <c r="M17" s="20">
        <f t="shared" si="2"/>
        <v>0</v>
      </c>
      <c r="N17" s="21"/>
      <c r="O17" s="30"/>
      <c r="P17" s="30"/>
      <c r="Q17" s="47">
        <f t="shared" si="0"/>
        <v>0</v>
      </c>
      <c r="R17" s="48">
        <f t="shared" si="1"/>
        <v>0</v>
      </c>
    </row>
    <row r="18" spans="1:19" x14ac:dyDescent="0.25">
      <c r="A18" s="15" t="s">
        <v>53</v>
      </c>
      <c r="C18" s="18"/>
      <c r="D18" s="102">
        <f>1582200</f>
        <v>1582200</v>
      </c>
      <c r="E18" s="32"/>
      <c r="F18" s="30"/>
      <c r="G18" s="32"/>
      <c r="H18" s="21"/>
      <c r="I18" s="102"/>
      <c r="J18" s="21"/>
      <c r="K18" s="32"/>
      <c r="L18" s="30"/>
      <c r="M18" s="20">
        <f t="shared" si="2"/>
        <v>0</v>
      </c>
      <c r="N18" s="21"/>
      <c r="O18" s="30"/>
      <c r="P18" s="30"/>
      <c r="Q18" s="47">
        <f t="shared" si="0"/>
        <v>0</v>
      </c>
      <c r="R18" s="48">
        <f t="shared" si="1"/>
        <v>1582200</v>
      </c>
      <c r="S18" s="52"/>
    </row>
    <row r="19" spans="1:19" x14ac:dyDescent="0.25">
      <c r="A19" s="15" t="s">
        <v>54</v>
      </c>
      <c r="C19" s="32"/>
      <c r="D19" s="102">
        <v>35000</v>
      </c>
      <c r="E19" s="32"/>
      <c r="F19" s="30"/>
      <c r="G19" s="32"/>
      <c r="H19" s="21"/>
      <c r="I19" s="102"/>
      <c r="J19" s="21"/>
      <c r="K19" s="32"/>
      <c r="L19" s="30"/>
      <c r="M19" s="20">
        <f t="shared" si="2"/>
        <v>0</v>
      </c>
      <c r="N19" s="21"/>
      <c r="O19" s="30"/>
      <c r="P19" s="30"/>
      <c r="Q19" s="47">
        <f t="shared" si="0"/>
        <v>0</v>
      </c>
      <c r="R19" s="48">
        <f t="shared" si="1"/>
        <v>35000</v>
      </c>
      <c r="S19" s="52"/>
    </row>
    <row r="20" spans="1:19" x14ac:dyDescent="0.25">
      <c r="A20" s="15" t="s">
        <v>53</v>
      </c>
      <c r="C20" s="32"/>
      <c r="D20" s="30"/>
      <c r="E20" s="32"/>
      <c r="F20" s="30"/>
      <c r="G20" s="32"/>
      <c r="H20" s="39">
        <v>43000</v>
      </c>
      <c r="I20" s="102"/>
      <c r="J20" s="21"/>
      <c r="K20" s="32"/>
      <c r="L20" s="30"/>
      <c r="M20" s="20">
        <f t="shared" si="2"/>
        <v>0</v>
      </c>
      <c r="N20" s="21"/>
      <c r="O20" s="30"/>
      <c r="P20" s="30"/>
      <c r="Q20" s="47">
        <f t="shared" si="0"/>
        <v>0</v>
      </c>
      <c r="R20" s="48">
        <f t="shared" si="1"/>
        <v>43000</v>
      </c>
      <c r="S20" s="52"/>
    </row>
    <row r="21" spans="1:19" x14ac:dyDescent="0.25">
      <c r="A21" s="9" t="s">
        <v>55</v>
      </c>
      <c r="C21" s="16"/>
      <c r="D21" s="28">
        <v>555000</v>
      </c>
      <c r="E21" s="16"/>
      <c r="F21" s="26"/>
      <c r="G21" s="16"/>
      <c r="H21" s="17"/>
      <c r="I21" s="26"/>
      <c r="J21" s="17"/>
      <c r="K21" s="16"/>
      <c r="L21" s="26"/>
      <c r="M21" s="20">
        <f t="shared" si="2"/>
        <v>0</v>
      </c>
      <c r="N21" s="17"/>
      <c r="Q21" s="47">
        <f t="shared" si="0"/>
        <v>0</v>
      </c>
      <c r="R21" s="48">
        <f t="shared" si="1"/>
        <v>555000</v>
      </c>
      <c r="S21" s="52"/>
    </row>
    <row r="22" spans="1:19" x14ac:dyDescent="0.25">
      <c r="A22" s="15" t="s">
        <v>56</v>
      </c>
      <c r="C22" s="32"/>
      <c r="D22" s="102">
        <f>8067</f>
        <v>8067</v>
      </c>
      <c r="E22" s="32"/>
      <c r="F22" s="102">
        <f>8067</f>
        <v>8067</v>
      </c>
      <c r="G22" s="32"/>
      <c r="H22" s="39">
        <f>8066</f>
        <v>8066</v>
      </c>
      <c r="I22" s="102"/>
      <c r="J22" s="21"/>
      <c r="K22" s="32"/>
      <c r="L22" s="30"/>
      <c r="M22" s="20">
        <f t="shared" si="2"/>
        <v>0</v>
      </c>
      <c r="N22" s="21"/>
      <c r="O22" s="30"/>
      <c r="P22" s="30"/>
      <c r="Q22" s="47">
        <f t="shared" si="0"/>
        <v>0</v>
      </c>
      <c r="R22" s="48">
        <f t="shared" si="1"/>
        <v>24200</v>
      </c>
      <c r="S22" s="52"/>
    </row>
    <row r="23" spans="1:19" ht="13.8" thickBot="1" x14ac:dyDescent="0.3">
      <c r="A23" s="15"/>
      <c r="C23" s="105"/>
      <c r="D23" s="31"/>
      <c r="E23" s="105"/>
      <c r="F23" s="31"/>
      <c r="G23" s="105"/>
      <c r="H23" s="23"/>
      <c r="I23" s="111"/>
      <c r="J23" s="23"/>
      <c r="K23" s="105"/>
      <c r="L23" s="31"/>
      <c r="M23" s="20">
        <f t="shared" si="2"/>
        <v>0</v>
      </c>
      <c r="N23" s="21"/>
      <c r="O23" s="30"/>
      <c r="P23" s="30"/>
      <c r="Q23" s="57">
        <f t="shared" si="0"/>
        <v>0</v>
      </c>
      <c r="R23" s="59">
        <f t="shared" si="1"/>
        <v>0</v>
      </c>
      <c r="S23" s="52"/>
    </row>
    <row r="24" spans="1:19" ht="18.75" customHeight="1" thickBot="1" x14ac:dyDescent="0.3">
      <c r="A24" s="9" t="s">
        <v>24</v>
      </c>
      <c r="C24" s="24">
        <f t="shared" ref="C24:R24" si="3">SUM(C9:C23)</f>
        <v>0</v>
      </c>
      <c r="D24" s="24">
        <f t="shared" si="3"/>
        <v>3876559</v>
      </c>
      <c r="E24" s="24">
        <f t="shared" si="3"/>
        <v>0</v>
      </c>
      <c r="F24" s="24">
        <f t="shared" si="3"/>
        <v>38217</v>
      </c>
      <c r="G24" s="40">
        <f t="shared" si="3"/>
        <v>0</v>
      </c>
      <c r="H24" s="125">
        <f t="shared" si="3"/>
        <v>81216</v>
      </c>
      <c r="I24" s="121">
        <f t="shared" si="3"/>
        <v>0</v>
      </c>
      <c r="J24" s="40">
        <f t="shared" si="3"/>
        <v>0</v>
      </c>
      <c r="K24" s="40">
        <f t="shared" si="3"/>
        <v>0</v>
      </c>
      <c r="L24" s="40">
        <f t="shared" si="3"/>
        <v>0</v>
      </c>
      <c r="M24" s="40">
        <f t="shared" si="3"/>
        <v>0</v>
      </c>
      <c r="N24" s="125">
        <f t="shared" si="3"/>
        <v>0</v>
      </c>
      <c r="O24" s="121">
        <f t="shared" si="3"/>
        <v>0</v>
      </c>
      <c r="P24" s="40">
        <f t="shared" si="3"/>
        <v>0</v>
      </c>
      <c r="Q24" s="56">
        <f t="shared" si="3"/>
        <v>0</v>
      </c>
      <c r="R24" s="59">
        <f t="shared" si="3"/>
        <v>3995992</v>
      </c>
      <c r="S24" s="52">
        <f>SUM(Q24:R24)</f>
        <v>3995992</v>
      </c>
    </row>
    <row r="25" spans="1:19" x14ac:dyDescent="0.25">
      <c r="A25" s="9"/>
      <c r="M25" s="30"/>
      <c r="N25" s="28"/>
      <c r="R25" s="35"/>
      <c r="S25" s="35"/>
    </row>
    <row r="26" spans="1:19" x14ac:dyDescent="0.25">
      <c r="C26" s="8"/>
      <c r="D26" s="8"/>
      <c r="E26" s="8"/>
      <c r="F26" s="8"/>
      <c r="G26" s="26"/>
      <c r="H26" s="26"/>
      <c r="I26" s="8"/>
      <c r="J26" s="8"/>
      <c r="K26" s="8"/>
      <c r="L26" s="8"/>
      <c r="M26" s="30"/>
      <c r="R26" s="52"/>
    </row>
    <row r="27" spans="1:19" x14ac:dyDescent="0.25">
      <c r="A27" s="14" t="str">
        <f ca="1">CELL("filename")</f>
        <v>P:\IT MS Financial\njc\2002 Plan\[CAPITAL WORKSHEET.xls]F &amp; A</v>
      </c>
      <c r="C27" s="8"/>
      <c r="D27" s="8"/>
      <c r="E27" s="8"/>
      <c r="F27" s="8"/>
      <c r="G27" s="26"/>
      <c r="H27" s="26"/>
      <c r="I27" s="8"/>
      <c r="J27" s="8"/>
      <c r="K27" s="8"/>
      <c r="L27" s="8"/>
      <c r="M27" s="30"/>
      <c r="Q27" s="52"/>
    </row>
    <row r="28" spans="1:19" x14ac:dyDescent="0.25">
      <c r="A28" t="s">
        <v>105</v>
      </c>
      <c r="C28" s="8"/>
      <c r="D28" s="8"/>
      <c r="E28" s="8"/>
      <c r="F28" s="8"/>
      <c r="G28" s="26"/>
      <c r="H28" s="26"/>
      <c r="I28" s="8"/>
      <c r="J28" s="8"/>
      <c r="K28" s="8"/>
      <c r="L28" s="8"/>
      <c r="M28" s="30"/>
    </row>
    <row r="29" spans="1:19" x14ac:dyDescent="0.25">
      <c r="A29" s="36"/>
      <c r="C29" s="35"/>
      <c r="D29" s="35"/>
      <c r="E29" s="35"/>
      <c r="F29" s="35"/>
      <c r="G29" s="122"/>
      <c r="H29" s="122"/>
      <c r="I29" s="35"/>
      <c r="J29" s="35"/>
      <c r="K29" s="35"/>
      <c r="L29" s="35"/>
      <c r="M29" s="30"/>
      <c r="N29" s="35"/>
      <c r="O29" s="35"/>
      <c r="P29" s="35"/>
      <c r="Q29" s="35"/>
    </row>
    <row r="30" spans="1:19" x14ac:dyDescent="0.25">
      <c r="C30" s="8"/>
      <c r="D30" s="8"/>
      <c r="E30" s="8"/>
      <c r="F30" s="8"/>
      <c r="G30" s="26"/>
      <c r="H30" s="26"/>
      <c r="I30" s="8"/>
      <c r="J30" s="8"/>
      <c r="K30" s="8"/>
      <c r="L30" s="8"/>
      <c r="M30" s="30"/>
    </row>
    <row r="31" spans="1:19" x14ac:dyDescent="0.25">
      <c r="C31" s="8"/>
      <c r="D31" s="8"/>
      <c r="E31" s="8"/>
      <c r="F31" s="8"/>
      <c r="G31" s="26"/>
      <c r="H31" s="26"/>
      <c r="I31" s="8"/>
      <c r="J31" s="8"/>
      <c r="K31" s="8"/>
      <c r="L31" s="8"/>
      <c r="M31" s="30"/>
    </row>
    <row r="32" spans="1:19" x14ac:dyDescent="0.25">
      <c r="A32" s="14"/>
      <c r="C32" s="8"/>
      <c r="D32" s="8"/>
      <c r="E32" s="8"/>
      <c r="F32" s="8"/>
      <c r="G32" s="26"/>
      <c r="H32" s="26"/>
      <c r="I32" s="8"/>
      <c r="J32" s="8"/>
      <c r="K32" s="8"/>
      <c r="L32" s="8"/>
      <c r="M32" s="30"/>
    </row>
    <row r="33" spans="3:13" x14ac:dyDescent="0.25">
      <c r="C33" s="8"/>
      <c r="D33" s="8"/>
      <c r="E33" s="8"/>
      <c r="F33" s="8"/>
      <c r="G33" s="26"/>
      <c r="H33" s="26"/>
      <c r="I33" s="8"/>
      <c r="J33" s="8"/>
      <c r="K33" s="8"/>
      <c r="L33" s="8"/>
      <c r="M33" s="30"/>
    </row>
    <row r="34" spans="3:13" x14ac:dyDescent="0.25">
      <c r="C34" s="8"/>
      <c r="D34" s="8"/>
      <c r="E34" s="8"/>
      <c r="F34" s="8"/>
      <c r="G34" s="26"/>
      <c r="H34" s="26"/>
      <c r="I34" s="8"/>
      <c r="J34" s="8"/>
      <c r="K34" s="8"/>
      <c r="L34" s="8"/>
      <c r="M34" s="30"/>
    </row>
    <row r="35" spans="3:13" x14ac:dyDescent="0.25">
      <c r="C35" s="8"/>
      <c r="D35" s="8"/>
      <c r="E35" s="8"/>
      <c r="F35" s="8"/>
      <c r="G35" s="26"/>
      <c r="H35" s="26"/>
      <c r="I35" s="8"/>
      <c r="J35" s="8"/>
      <c r="K35" s="8"/>
      <c r="L35" s="8"/>
      <c r="M35" s="30"/>
    </row>
    <row r="36" spans="3:13" x14ac:dyDescent="0.25">
      <c r="C36" s="8"/>
      <c r="D36" s="8"/>
      <c r="E36" s="8"/>
      <c r="F36" s="8"/>
      <c r="G36" s="26"/>
      <c r="H36" s="26"/>
      <c r="I36" s="8"/>
      <c r="J36" s="8"/>
      <c r="K36" s="8"/>
      <c r="L36" s="8"/>
      <c r="M36" s="30"/>
    </row>
    <row r="37" spans="3:13" x14ac:dyDescent="0.25">
      <c r="C37" s="8"/>
      <c r="D37" s="8"/>
      <c r="E37" s="8"/>
      <c r="F37" s="8"/>
      <c r="G37" s="26"/>
      <c r="H37" s="26"/>
      <c r="I37" s="8"/>
      <c r="J37" s="8"/>
      <c r="K37" s="8"/>
      <c r="L37" s="8"/>
      <c r="M37" s="30"/>
    </row>
    <row r="38" spans="3:13" x14ac:dyDescent="0.25">
      <c r="C38" s="8"/>
      <c r="D38" s="8"/>
      <c r="E38" s="8"/>
      <c r="F38" s="8"/>
      <c r="G38" s="26"/>
      <c r="H38" s="26"/>
      <c r="I38" s="8"/>
      <c r="J38" s="8"/>
      <c r="K38" s="8"/>
      <c r="L38" s="8"/>
      <c r="M38" s="30"/>
    </row>
    <row r="39" spans="3:13" x14ac:dyDescent="0.25">
      <c r="C39" s="8"/>
      <c r="D39" s="8"/>
      <c r="E39" s="8"/>
      <c r="F39" s="8"/>
      <c r="G39" s="26"/>
      <c r="H39" s="26"/>
      <c r="I39" s="8"/>
      <c r="J39" s="8"/>
      <c r="K39" s="8"/>
      <c r="L39" s="8"/>
      <c r="M39" s="30"/>
    </row>
    <row r="40" spans="3:13" x14ac:dyDescent="0.25">
      <c r="C40" s="8"/>
      <c r="D40" s="8"/>
      <c r="E40" s="8"/>
      <c r="F40" s="8"/>
      <c r="G40" s="26"/>
      <c r="H40" s="26"/>
      <c r="I40" s="8"/>
      <c r="J40" s="8"/>
      <c r="K40" s="8"/>
      <c r="L40" s="8"/>
      <c r="M40" s="30"/>
    </row>
    <row r="41" spans="3:13" x14ac:dyDescent="0.25">
      <c r="C41" s="8"/>
      <c r="D41" s="8"/>
      <c r="E41" s="8"/>
      <c r="F41" s="8"/>
      <c r="G41" s="26"/>
      <c r="H41" s="26"/>
      <c r="I41" s="8"/>
      <c r="J41" s="8"/>
      <c r="K41" s="8"/>
      <c r="L41" s="8"/>
      <c r="M41" s="30"/>
    </row>
    <row r="42" spans="3:13" x14ac:dyDescent="0.25">
      <c r="M42" s="30"/>
    </row>
    <row r="43" spans="3:13" x14ac:dyDescent="0.25">
      <c r="M43" s="30"/>
    </row>
    <row r="56" spans="13:13" x14ac:dyDescent="0.25">
      <c r="M56" s="63"/>
    </row>
  </sheetData>
  <mergeCells count="13">
    <mergeCell ref="E6:F6"/>
    <mergeCell ref="G6:H6"/>
    <mergeCell ref="I6:J6"/>
    <mergeCell ref="A1:L1"/>
    <mergeCell ref="A2:L2"/>
    <mergeCell ref="A3:L3"/>
    <mergeCell ref="A4:L4"/>
    <mergeCell ref="Q6:R6"/>
    <mergeCell ref="C5:P5"/>
    <mergeCell ref="K6:L6"/>
    <mergeCell ref="M6:N6"/>
    <mergeCell ref="O6:P6"/>
    <mergeCell ref="C6:D6"/>
  </mergeCells>
  <phoneticPr fontId="0" type="noConversion"/>
  <printOptions horizontalCentered="1"/>
  <pageMargins left="0.75" right="0.75" top="1" bottom="1" header="0.5" footer="0.5"/>
  <pageSetup scale="5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zoomScale="75" workbookViewId="0">
      <pane xSplit="2" ySplit="7" topLeftCell="C45" activePane="bottomRight" state="frozen"/>
      <selection activeCell="O13" sqref="O13"/>
      <selection pane="topRight" activeCell="O13" sqref="O13"/>
      <selection pane="bottomLeft" activeCell="O13" sqref="O13"/>
      <selection pane="bottomRight" activeCell="A59" sqref="A59"/>
    </sheetView>
  </sheetViews>
  <sheetFormatPr defaultRowHeight="13.2" x14ac:dyDescent="0.25"/>
  <cols>
    <col min="1" max="1" width="41.44140625" customWidth="1"/>
    <col min="2" max="2" width="2.109375" customWidth="1"/>
    <col min="3" max="3" width="13.88671875" bestFit="1" customWidth="1"/>
    <col min="4" max="4" width="13.109375" bestFit="1" customWidth="1"/>
    <col min="5" max="5" width="14.44140625" bestFit="1" customWidth="1"/>
    <col min="6" max="6" width="13.88671875" bestFit="1" customWidth="1"/>
    <col min="7" max="7" width="14.44140625" style="28" bestFit="1" customWidth="1"/>
    <col min="8" max="8" width="13.109375" style="28" bestFit="1" customWidth="1"/>
    <col min="9" max="10" width="12" bestFit="1" customWidth="1"/>
    <col min="11" max="12" width="10.44140625" bestFit="1" customWidth="1"/>
    <col min="13" max="13" width="15.5546875" style="28" customWidth="1"/>
    <col min="14" max="14" width="15.5546875" customWidth="1"/>
    <col min="15" max="15" width="13.88671875" bestFit="1" customWidth="1"/>
    <col min="16" max="17" width="9.109375" style="28" customWidth="1"/>
  </cols>
  <sheetData>
    <row r="1" spans="1:18" ht="15.6" x14ac:dyDescent="0.3">
      <c r="A1" s="136" t="s">
        <v>11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8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8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8" ht="16.2" thickBo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</row>
    <row r="5" spans="1:18" ht="13.8" thickBot="1" x14ac:dyDescent="0.3">
      <c r="C5" s="137">
        <v>2000</v>
      </c>
      <c r="D5" s="140"/>
      <c r="E5" s="140"/>
      <c r="F5" s="140"/>
      <c r="G5" s="141"/>
      <c r="H5" s="141"/>
      <c r="I5" s="140"/>
      <c r="J5" s="140"/>
      <c r="K5" s="6"/>
      <c r="L5" s="61"/>
      <c r="O5" s="112" t="s">
        <v>22</v>
      </c>
      <c r="P5" s="135"/>
      <c r="Q5" s="135"/>
    </row>
    <row r="6" spans="1:18" ht="13.8" thickBot="1" x14ac:dyDescent="0.3">
      <c r="A6" s="12"/>
      <c r="C6" s="137" t="s">
        <v>2</v>
      </c>
      <c r="D6" s="138"/>
      <c r="E6" s="140" t="s">
        <v>3</v>
      </c>
      <c r="F6" s="138"/>
      <c r="G6" s="137" t="s">
        <v>4</v>
      </c>
      <c r="H6" s="138"/>
      <c r="I6" s="137" t="s">
        <v>5</v>
      </c>
      <c r="J6" s="138"/>
      <c r="K6" s="140" t="s">
        <v>13</v>
      </c>
      <c r="L6" s="138"/>
      <c r="M6" s="140" t="s">
        <v>31</v>
      </c>
      <c r="N6" s="138"/>
      <c r="O6" s="13" t="s">
        <v>31</v>
      </c>
      <c r="P6" s="135"/>
      <c r="Q6" s="135"/>
    </row>
    <row r="7" spans="1:18" ht="13.8" thickBot="1" x14ac:dyDescent="0.3">
      <c r="A7" s="13" t="s">
        <v>12</v>
      </c>
      <c r="C7" s="101" t="s">
        <v>19</v>
      </c>
      <c r="D7" s="114" t="s">
        <v>1</v>
      </c>
      <c r="E7" s="101" t="str">
        <f>C7</f>
        <v>Legal / NonD</v>
      </c>
      <c r="F7" s="114" t="s">
        <v>1</v>
      </c>
      <c r="G7" s="101" t="str">
        <f>E7</f>
        <v>Legal / NonD</v>
      </c>
      <c r="H7" s="88" t="s">
        <v>1</v>
      </c>
      <c r="I7" s="61" t="s">
        <v>20</v>
      </c>
      <c r="J7" s="7" t="s">
        <v>1</v>
      </c>
      <c r="K7" s="6" t="s">
        <v>20</v>
      </c>
      <c r="L7" s="7" t="s">
        <v>1</v>
      </c>
      <c r="M7" s="62" t="s">
        <v>20</v>
      </c>
      <c r="N7" s="88" t="s">
        <v>1</v>
      </c>
      <c r="O7" s="112"/>
      <c r="P7" s="62"/>
      <c r="Q7" s="62"/>
    </row>
    <row r="8" spans="1:18" x14ac:dyDescent="0.25">
      <c r="C8" s="2"/>
      <c r="D8" s="29"/>
      <c r="E8" s="2"/>
      <c r="F8" s="29"/>
      <c r="G8" s="2"/>
      <c r="H8" s="3"/>
      <c r="I8" s="28"/>
      <c r="J8" s="19"/>
      <c r="K8" s="2"/>
      <c r="L8" s="3"/>
      <c r="M8" s="2"/>
      <c r="N8" s="3"/>
      <c r="O8" s="50"/>
      <c r="R8" s="28"/>
    </row>
    <row r="9" spans="1:18" x14ac:dyDescent="0.25">
      <c r="A9" s="9" t="s">
        <v>18</v>
      </c>
      <c r="C9" s="16"/>
      <c r="D9" s="26"/>
      <c r="E9" s="16"/>
      <c r="F9" s="26"/>
      <c r="G9" s="16"/>
      <c r="H9" s="17"/>
      <c r="I9" s="26"/>
      <c r="J9" s="17"/>
      <c r="K9" s="16"/>
      <c r="L9" s="17"/>
      <c r="M9" s="16"/>
      <c r="N9" s="17"/>
      <c r="O9" s="51"/>
      <c r="R9" s="28"/>
    </row>
    <row r="10" spans="1:18" x14ac:dyDescent="0.25">
      <c r="A10" s="15" t="s">
        <v>17</v>
      </c>
      <c r="C10" s="16"/>
      <c r="D10" s="26"/>
      <c r="E10" s="16"/>
      <c r="F10" s="26"/>
      <c r="G10" s="16"/>
      <c r="H10" s="17"/>
      <c r="I10" s="26"/>
      <c r="J10" s="17"/>
      <c r="K10" s="16"/>
      <c r="L10" s="17"/>
      <c r="M10" s="16"/>
      <c r="N10" s="17"/>
      <c r="O10" s="51"/>
      <c r="R10" s="28"/>
    </row>
    <row r="11" spans="1:18" x14ac:dyDescent="0.25">
      <c r="A11" s="15" t="s">
        <v>71</v>
      </c>
      <c r="C11" s="16"/>
      <c r="D11" s="26">
        <f>76500*0.4861</f>
        <v>37186.65</v>
      </c>
      <c r="E11" s="18"/>
      <c r="F11" s="26">
        <f>76500*0.1722</f>
        <v>13173.3</v>
      </c>
      <c r="G11" s="18"/>
      <c r="H11" s="17">
        <f>76500*0.3417</f>
        <v>26140.05</v>
      </c>
      <c r="I11" s="26"/>
      <c r="J11" s="17"/>
      <c r="K11" s="16"/>
      <c r="L11" s="17"/>
      <c r="M11" s="16">
        <f>SUM(K11,I11,G11,E11,C11)</f>
        <v>0</v>
      </c>
      <c r="N11" s="17">
        <f>SUM(L11,J11,H11,F11,D11)</f>
        <v>76500</v>
      </c>
      <c r="O11" s="51"/>
      <c r="R11" s="28"/>
    </row>
    <row r="12" spans="1:18" x14ac:dyDescent="0.25">
      <c r="A12" s="15" t="s">
        <v>72</v>
      </c>
      <c r="C12" s="27"/>
      <c r="D12" s="84">
        <f>18400*0.4861</f>
        <v>8944.24</v>
      </c>
      <c r="E12" s="18"/>
      <c r="F12" s="84">
        <f>18400*0.1722</f>
        <v>3168.48</v>
      </c>
      <c r="G12" s="18"/>
      <c r="H12" s="115">
        <f>18400*0.3417</f>
        <v>6287.28</v>
      </c>
      <c r="I12" s="26"/>
      <c r="J12" s="17"/>
      <c r="K12" s="16"/>
      <c r="L12" s="17"/>
      <c r="M12" s="16">
        <f t="shared" ref="M12:M55" si="0">SUM(K12,I12,G12,E12,C12)</f>
        <v>0</v>
      </c>
      <c r="N12" s="17">
        <f t="shared" ref="N12:N55" si="1">SUM(L12,J12,H12,F12,D12)</f>
        <v>18400</v>
      </c>
      <c r="O12" s="51"/>
      <c r="R12" s="28"/>
    </row>
    <row r="13" spans="1:18" x14ac:dyDescent="0.25">
      <c r="A13" s="15" t="s">
        <v>73</v>
      </c>
      <c r="C13" s="27"/>
      <c r="D13" s="84">
        <f>165300*0.4861</f>
        <v>80352.33</v>
      </c>
      <c r="E13" s="18"/>
      <c r="F13" s="84">
        <f>165300*0.1722</f>
        <v>28464.66</v>
      </c>
      <c r="G13" s="18"/>
      <c r="H13" s="115">
        <f>165300*0.3417</f>
        <v>56483.01</v>
      </c>
      <c r="I13" s="26"/>
      <c r="J13" s="17"/>
      <c r="K13" s="16"/>
      <c r="L13" s="17"/>
      <c r="M13" s="16">
        <f t="shared" si="0"/>
        <v>0</v>
      </c>
      <c r="N13" s="17">
        <f t="shared" si="1"/>
        <v>165300</v>
      </c>
      <c r="O13" s="51"/>
      <c r="R13" s="28"/>
    </row>
    <row r="14" spans="1:18" x14ac:dyDescent="0.25">
      <c r="A14" s="15" t="s">
        <v>74</v>
      </c>
      <c r="C14" s="27"/>
      <c r="D14" s="84">
        <f>91800*0.4861</f>
        <v>44623.979999999996</v>
      </c>
      <c r="E14" s="18"/>
      <c r="F14" s="84">
        <f>91800*0.1722</f>
        <v>15807.96</v>
      </c>
      <c r="G14" s="18"/>
      <c r="H14" s="115">
        <f>91800*0.3417</f>
        <v>31368.06</v>
      </c>
      <c r="I14" s="26"/>
      <c r="J14" s="17"/>
      <c r="K14" s="16"/>
      <c r="L14" s="17"/>
      <c r="M14" s="16">
        <f t="shared" si="0"/>
        <v>0</v>
      </c>
      <c r="N14" s="17">
        <f t="shared" si="1"/>
        <v>91800</v>
      </c>
      <c r="O14" s="51"/>
      <c r="R14" s="28"/>
    </row>
    <row r="15" spans="1:18" x14ac:dyDescent="0.25">
      <c r="A15" s="15" t="s">
        <v>75</v>
      </c>
      <c r="C15" s="27"/>
      <c r="D15" s="84">
        <f>289700*0.4861</f>
        <v>140823.16999999998</v>
      </c>
      <c r="E15" s="18"/>
      <c r="F15" s="84">
        <f>289700*0.1722</f>
        <v>49886.34</v>
      </c>
      <c r="G15" s="18"/>
      <c r="H15" s="115">
        <f>289700*0.3417</f>
        <v>98990.49</v>
      </c>
      <c r="I15" s="26"/>
      <c r="J15" s="17"/>
      <c r="K15" s="16"/>
      <c r="L15" s="17"/>
      <c r="M15" s="16">
        <f t="shared" si="0"/>
        <v>0</v>
      </c>
      <c r="N15" s="17">
        <f t="shared" si="1"/>
        <v>289700</v>
      </c>
      <c r="O15" s="51"/>
      <c r="R15" s="28"/>
    </row>
    <row r="16" spans="1:18" x14ac:dyDescent="0.25">
      <c r="A16" s="15" t="s">
        <v>76</v>
      </c>
      <c r="C16" s="18"/>
      <c r="D16" s="84">
        <f>42300*0.4861</f>
        <v>20562.03</v>
      </c>
      <c r="E16" s="27"/>
      <c r="F16" s="84">
        <f>42300*0.1722</f>
        <v>7284.0599999999995</v>
      </c>
      <c r="G16" s="27"/>
      <c r="H16" s="115">
        <f>42300*0.3417</f>
        <v>14453.91</v>
      </c>
      <c r="I16" s="26"/>
      <c r="J16" s="17"/>
      <c r="K16" s="16"/>
      <c r="L16" s="17"/>
      <c r="M16" s="16">
        <f t="shared" si="0"/>
        <v>0</v>
      </c>
      <c r="N16" s="17">
        <f t="shared" si="1"/>
        <v>42300</v>
      </c>
      <c r="O16" s="51"/>
      <c r="R16" s="28"/>
    </row>
    <row r="17" spans="1:18" x14ac:dyDescent="0.25">
      <c r="A17" s="15" t="s">
        <v>77</v>
      </c>
      <c r="C17" s="27"/>
      <c r="D17" s="84">
        <v>203190</v>
      </c>
      <c r="E17" s="27"/>
      <c r="F17" s="84">
        <v>71980</v>
      </c>
      <c r="G17" s="27"/>
      <c r="H17" s="17">
        <v>142831</v>
      </c>
      <c r="I17" s="26"/>
      <c r="J17" s="17"/>
      <c r="K17" s="16"/>
      <c r="L17" s="17"/>
      <c r="M17" s="16">
        <f t="shared" si="0"/>
        <v>0</v>
      </c>
      <c r="N17" s="17">
        <f t="shared" si="1"/>
        <v>418001</v>
      </c>
      <c r="O17" s="51"/>
      <c r="R17" s="28"/>
    </row>
    <row r="18" spans="1:18" x14ac:dyDescent="0.25">
      <c r="A18" s="15"/>
      <c r="C18" s="27"/>
      <c r="D18" s="84"/>
      <c r="E18" s="27"/>
      <c r="F18" s="84"/>
      <c r="G18" s="27"/>
      <c r="H18" s="17"/>
      <c r="I18" s="26"/>
      <c r="J18" s="17"/>
      <c r="K18" s="16"/>
      <c r="L18" s="17"/>
      <c r="M18" s="16">
        <f t="shared" si="0"/>
        <v>0</v>
      </c>
      <c r="N18" s="17">
        <f t="shared" si="1"/>
        <v>0</v>
      </c>
      <c r="O18" s="51"/>
      <c r="R18" s="28"/>
    </row>
    <row r="19" spans="1:18" x14ac:dyDescent="0.25">
      <c r="A19" s="15" t="s">
        <v>16</v>
      </c>
      <c r="C19" s="16"/>
      <c r="D19" s="26"/>
      <c r="E19" s="16"/>
      <c r="F19" s="26"/>
      <c r="G19" s="16"/>
      <c r="H19" s="17"/>
      <c r="I19" s="26"/>
      <c r="J19" s="17"/>
      <c r="K19" s="16"/>
      <c r="L19" s="17"/>
      <c r="M19" s="16">
        <f t="shared" si="0"/>
        <v>0</v>
      </c>
      <c r="N19" s="17">
        <f t="shared" si="1"/>
        <v>0</v>
      </c>
      <c r="O19" s="51"/>
      <c r="P19" s="26"/>
      <c r="Q19" s="26"/>
    </row>
    <row r="20" spans="1:18" x14ac:dyDescent="0.25">
      <c r="A20" s="15" t="s">
        <v>78</v>
      </c>
      <c r="C20" s="16"/>
      <c r="D20" s="26">
        <v>130000</v>
      </c>
      <c r="E20" s="16"/>
      <c r="F20" s="26">
        <v>300000</v>
      </c>
      <c r="G20" s="16"/>
      <c r="H20" s="17"/>
      <c r="I20" s="26"/>
      <c r="J20" s="17"/>
      <c r="K20" s="16"/>
      <c r="L20" s="17"/>
      <c r="M20" s="16">
        <f t="shared" si="0"/>
        <v>0</v>
      </c>
      <c r="N20" s="17">
        <f t="shared" si="1"/>
        <v>430000</v>
      </c>
      <c r="O20" s="51"/>
      <c r="P20" s="26"/>
      <c r="Q20" s="26"/>
    </row>
    <row r="21" spans="1:18" x14ac:dyDescent="0.25">
      <c r="A21" s="15" t="s">
        <v>79</v>
      </c>
      <c r="C21" s="27"/>
      <c r="D21" s="84">
        <v>2398111</v>
      </c>
      <c r="E21" s="27"/>
      <c r="F21" s="84">
        <v>1702666</v>
      </c>
      <c r="G21" s="16"/>
      <c r="H21" s="17">
        <v>1384667</v>
      </c>
      <c r="I21" s="26"/>
      <c r="J21" s="17"/>
      <c r="K21" s="16"/>
      <c r="L21" s="17"/>
      <c r="M21" s="16">
        <f t="shared" si="0"/>
        <v>0</v>
      </c>
      <c r="N21" s="17">
        <f t="shared" si="1"/>
        <v>5485444</v>
      </c>
      <c r="O21" s="51"/>
      <c r="P21" s="26"/>
      <c r="Q21" s="26"/>
    </row>
    <row r="22" spans="1:18" x14ac:dyDescent="0.25">
      <c r="A22" s="15" t="s">
        <v>80</v>
      </c>
      <c r="C22" s="18"/>
      <c r="D22" s="84">
        <v>408335</v>
      </c>
      <c r="E22" s="18"/>
      <c r="F22" s="84">
        <v>117180</v>
      </c>
      <c r="G22" s="18"/>
      <c r="H22" s="115">
        <v>211018</v>
      </c>
      <c r="I22" s="28"/>
      <c r="J22" s="17">
        <v>195142</v>
      </c>
      <c r="K22" s="18"/>
      <c r="L22" s="17">
        <v>13325</v>
      </c>
      <c r="M22" s="16">
        <f t="shared" si="0"/>
        <v>0</v>
      </c>
      <c r="N22" s="17">
        <f t="shared" si="1"/>
        <v>945000</v>
      </c>
      <c r="O22" s="51"/>
      <c r="P22" s="26"/>
      <c r="Q22" s="26"/>
    </row>
    <row r="23" spans="1:18" x14ac:dyDescent="0.25">
      <c r="A23" s="15" t="s">
        <v>81</v>
      </c>
      <c r="C23" s="27"/>
      <c r="D23" s="84">
        <v>54000</v>
      </c>
      <c r="E23" s="27"/>
      <c r="F23" s="84">
        <v>54000</v>
      </c>
      <c r="G23" s="27"/>
      <c r="H23" s="115">
        <v>324000</v>
      </c>
      <c r="I23" s="26"/>
      <c r="J23" s="17"/>
      <c r="K23" s="16"/>
      <c r="L23" s="17"/>
      <c r="M23" s="16">
        <f t="shared" si="0"/>
        <v>0</v>
      </c>
      <c r="N23" s="17">
        <f t="shared" si="1"/>
        <v>432000</v>
      </c>
      <c r="O23" s="51"/>
      <c r="P23" s="26"/>
      <c r="Q23" s="26"/>
    </row>
    <row r="24" spans="1:18" x14ac:dyDescent="0.25">
      <c r="A24" s="15" t="s">
        <v>82</v>
      </c>
      <c r="C24" s="27">
        <v>530712</v>
      </c>
      <c r="D24" s="26"/>
      <c r="E24" s="27">
        <v>155034</v>
      </c>
      <c r="F24" s="26"/>
      <c r="G24" s="27">
        <v>286254</v>
      </c>
      <c r="H24" s="17"/>
      <c r="I24" s="26"/>
      <c r="J24" s="17"/>
      <c r="K24" s="16"/>
      <c r="L24" s="17"/>
      <c r="M24" s="16">
        <f t="shared" si="0"/>
        <v>972000</v>
      </c>
      <c r="N24" s="17">
        <f t="shared" si="1"/>
        <v>0</v>
      </c>
      <c r="O24" s="51"/>
      <c r="P24" s="26"/>
      <c r="Q24" s="26"/>
    </row>
    <row r="25" spans="1:18" x14ac:dyDescent="0.25">
      <c r="A25" s="15" t="s">
        <v>83</v>
      </c>
      <c r="C25" s="27">
        <v>338771</v>
      </c>
      <c r="D25" s="26"/>
      <c r="E25" s="27">
        <v>98963</v>
      </c>
      <c r="F25" s="26"/>
      <c r="G25" s="27">
        <v>182726</v>
      </c>
      <c r="H25" s="17"/>
      <c r="I25" s="26"/>
      <c r="J25" s="17"/>
      <c r="K25" s="16"/>
      <c r="L25" s="17"/>
      <c r="M25" s="16">
        <f t="shared" si="0"/>
        <v>620460</v>
      </c>
      <c r="N25" s="17">
        <f t="shared" si="1"/>
        <v>0</v>
      </c>
      <c r="O25" s="51"/>
      <c r="P25" s="26"/>
      <c r="Q25" s="26"/>
    </row>
    <row r="26" spans="1:18" x14ac:dyDescent="0.25">
      <c r="A26" s="15" t="s">
        <v>84</v>
      </c>
      <c r="C26" s="27"/>
      <c r="D26" s="84">
        <v>288500</v>
      </c>
      <c r="E26" s="27"/>
      <c r="F26" s="84">
        <v>84279</v>
      </c>
      <c r="G26" s="27"/>
      <c r="H26" s="115">
        <v>155611</v>
      </c>
      <c r="I26" s="26"/>
      <c r="J26" s="17"/>
      <c r="K26" s="16"/>
      <c r="L26" s="17"/>
      <c r="M26" s="16">
        <f t="shared" si="0"/>
        <v>0</v>
      </c>
      <c r="N26" s="17">
        <f t="shared" si="1"/>
        <v>528390</v>
      </c>
      <c r="O26" s="51"/>
      <c r="P26" s="26"/>
      <c r="Q26" s="26"/>
    </row>
    <row r="27" spans="1:18" x14ac:dyDescent="0.25">
      <c r="A27" s="15" t="s">
        <v>85</v>
      </c>
      <c r="C27" s="16"/>
      <c r="D27" s="26">
        <v>140434</v>
      </c>
      <c r="E27" s="16"/>
      <c r="F27" s="26">
        <v>40300</v>
      </c>
      <c r="G27" s="16"/>
      <c r="H27" s="17">
        <v>72572</v>
      </c>
      <c r="I27" s="26"/>
      <c r="J27" s="17">
        <v>67112</v>
      </c>
      <c r="K27" s="16"/>
      <c r="L27" s="17">
        <v>4582</v>
      </c>
      <c r="M27" s="16">
        <f t="shared" si="0"/>
        <v>0</v>
      </c>
      <c r="N27" s="17">
        <f t="shared" si="1"/>
        <v>325000</v>
      </c>
      <c r="O27" s="51"/>
      <c r="P27" s="26"/>
      <c r="Q27" s="26"/>
    </row>
    <row r="28" spans="1:18" x14ac:dyDescent="0.25">
      <c r="A28" s="15" t="s">
        <v>86</v>
      </c>
      <c r="C28" s="16"/>
      <c r="D28" s="84">
        <v>50713</v>
      </c>
      <c r="E28" s="27"/>
      <c r="F28" s="84">
        <v>14814</v>
      </c>
      <c r="G28" s="27"/>
      <c r="H28" s="115">
        <v>27353</v>
      </c>
      <c r="I28" s="26"/>
      <c r="J28" s="17"/>
      <c r="K28" s="16"/>
      <c r="L28" s="17"/>
      <c r="M28" s="16">
        <f t="shared" si="0"/>
        <v>0</v>
      </c>
      <c r="N28" s="17">
        <f t="shared" si="1"/>
        <v>92880</v>
      </c>
      <c r="O28" s="51"/>
      <c r="P28" s="26"/>
      <c r="Q28" s="26"/>
    </row>
    <row r="29" spans="1:18" x14ac:dyDescent="0.25">
      <c r="A29" s="15" t="s">
        <v>87</v>
      </c>
      <c r="C29" s="16"/>
      <c r="D29" s="84">
        <v>60060</v>
      </c>
      <c r="E29" s="27"/>
      <c r="F29" s="84">
        <v>17545</v>
      </c>
      <c r="G29" s="27"/>
      <c r="H29" s="115">
        <v>32395</v>
      </c>
      <c r="I29" s="26"/>
      <c r="J29" s="17"/>
      <c r="K29" s="16"/>
      <c r="L29" s="17"/>
      <c r="M29" s="16">
        <f t="shared" si="0"/>
        <v>0</v>
      </c>
      <c r="N29" s="17">
        <f t="shared" si="1"/>
        <v>110000</v>
      </c>
      <c r="O29" s="51"/>
      <c r="P29" s="26"/>
      <c r="Q29" s="26"/>
    </row>
    <row r="30" spans="1:18" x14ac:dyDescent="0.25">
      <c r="A30" s="15"/>
      <c r="C30" s="18"/>
      <c r="D30" s="28"/>
      <c r="E30" s="18"/>
      <c r="F30" s="28"/>
      <c r="G30" s="18"/>
      <c r="H30" s="19"/>
      <c r="I30" s="28"/>
      <c r="J30" s="19"/>
      <c r="K30" s="18"/>
      <c r="L30" s="19"/>
      <c r="M30" s="16">
        <f t="shared" si="0"/>
        <v>0</v>
      </c>
      <c r="N30" s="17">
        <f t="shared" si="1"/>
        <v>0</v>
      </c>
      <c r="O30" s="51"/>
    </row>
    <row r="31" spans="1:18" x14ac:dyDescent="0.25">
      <c r="C31" s="18"/>
      <c r="D31" s="28"/>
      <c r="E31" s="18"/>
      <c r="F31" s="28"/>
      <c r="G31" s="18"/>
      <c r="H31" s="19"/>
      <c r="I31" s="28"/>
      <c r="J31" s="19"/>
      <c r="K31" s="18"/>
      <c r="L31" s="19"/>
      <c r="M31" s="16">
        <f t="shared" si="0"/>
        <v>0</v>
      </c>
      <c r="N31" s="17">
        <f t="shared" si="1"/>
        <v>0</v>
      </c>
      <c r="O31" s="51"/>
    </row>
    <row r="32" spans="1:18" x14ac:dyDescent="0.25">
      <c r="A32" s="15" t="s">
        <v>88</v>
      </c>
      <c r="C32" s="18"/>
      <c r="D32" s="26">
        <f>2074000*0.4245</f>
        <v>880413</v>
      </c>
      <c r="E32" s="18"/>
      <c r="F32" s="26">
        <f>2074000*0.1722</f>
        <v>357142.8</v>
      </c>
      <c r="G32" s="18"/>
      <c r="H32" s="17">
        <f>2074000*0.3417</f>
        <v>708685.8</v>
      </c>
      <c r="I32" s="28"/>
      <c r="J32" s="17">
        <f>2074000*0.05</f>
        <v>103700</v>
      </c>
      <c r="K32" s="18"/>
      <c r="L32" s="17">
        <f>2074000*0.0116</f>
        <v>24058.399999999998</v>
      </c>
      <c r="M32" s="16">
        <f t="shared" si="0"/>
        <v>0</v>
      </c>
      <c r="N32" s="17">
        <f t="shared" si="1"/>
        <v>2074000</v>
      </c>
      <c r="O32" s="51"/>
      <c r="P32" s="26"/>
      <c r="Q32" s="26"/>
      <c r="R32" s="8"/>
    </row>
    <row r="33" spans="1:18" x14ac:dyDescent="0.25">
      <c r="C33" s="16"/>
      <c r="D33" s="26"/>
      <c r="E33" s="16"/>
      <c r="F33" s="26"/>
      <c r="G33" s="16"/>
      <c r="H33" s="17"/>
      <c r="I33" s="26"/>
      <c r="J33" s="17"/>
      <c r="K33" s="16"/>
      <c r="L33" s="17"/>
      <c r="M33" s="16">
        <f t="shared" si="0"/>
        <v>0</v>
      </c>
      <c r="N33" s="17">
        <f t="shared" si="1"/>
        <v>0</v>
      </c>
      <c r="O33" s="51"/>
      <c r="P33" s="26"/>
      <c r="Q33" s="26"/>
      <c r="R33" s="8"/>
    </row>
    <row r="34" spans="1:18" x14ac:dyDescent="0.25">
      <c r="A34" s="15" t="s">
        <v>89</v>
      </c>
      <c r="C34" s="16"/>
      <c r="D34" s="26"/>
      <c r="E34" s="16">
        <v>65000</v>
      </c>
      <c r="F34" s="26"/>
      <c r="G34" s="16"/>
      <c r="H34" s="17"/>
      <c r="I34" s="26"/>
      <c r="J34" s="17"/>
      <c r="K34" s="16"/>
      <c r="L34" s="17"/>
      <c r="M34" s="16">
        <f t="shared" si="0"/>
        <v>65000</v>
      </c>
      <c r="N34" s="17">
        <f t="shared" si="1"/>
        <v>0</v>
      </c>
      <c r="O34" s="51"/>
    </row>
    <row r="35" spans="1:18" x14ac:dyDescent="0.25">
      <c r="A35" s="15" t="s">
        <v>90</v>
      </c>
      <c r="C35" s="16">
        <v>650000</v>
      </c>
      <c r="D35" s="26"/>
      <c r="E35" s="16"/>
      <c r="F35" s="26"/>
      <c r="G35" s="16"/>
      <c r="H35" s="17"/>
      <c r="I35" s="26"/>
      <c r="J35" s="17"/>
      <c r="K35" s="16"/>
      <c r="L35" s="17"/>
      <c r="M35" s="16">
        <f t="shared" si="0"/>
        <v>650000</v>
      </c>
      <c r="N35" s="17">
        <f t="shared" si="1"/>
        <v>0</v>
      </c>
      <c r="O35" s="51"/>
      <c r="P35" s="26"/>
      <c r="Q35" s="26"/>
    </row>
    <row r="36" spans="1:18" x14ac:dyDescent="0.25">
      <c r="A36" s="15" t="s">
        <v>91</v>
      </c>
      <c r="C36" s="18"/>
      <c r="D36" s="26">
        <v>205000</v>
      </c>
      <c r="E36" s="16"/>
      <c r="F36" s="26"/>
      <c r="G36" s="16"/>
      <c r="H36" s="17"/>
      <c r="I36" s="26"/>
      <c r="J36" s="17"/>
      <c r="K36" s="16"/>
      <c r="L36" s="17"/>
      <c r="M36" s="16">
        <f t="shared" si="0"/>
        <v>0</v>
      </c>
      <c r="N36" s="17">
        <f t="shared" si="1"/>
        <v>205000</v>
      </c>
      <c r="O36" s="51"/>
      <c r="P36" s="26"/>
      <c r="Q36" s="26"/>
    </row>
    <row r="37" spans="1:18" x14ac:dyDescent="0.25">
      <c r="A37" s="15" t="s">
        <v>92</v>
      </c>
      <c r="C37" s="18"/>
      <c r="D37" s="26">
        <v>198900</v>
      </c>
      <c r="E37" s="16"/>
      <c r="F37" s="26"/>
      <c r="G37" s="16"/>
      <c r="H37" s="17"/>
      <c r="I37" s="26"/>
      <c r="J37" s="17"/>
      <c r="K37" s="16"/>
      <c r="L37" s="17"/>
      <c r="M37" s="16">
        <f t="shared" si="0"/>
        <v>0</v>
      </c>
      <c r="N37" s="17">
        <f t="shared" si="1"/>
        <v>198900</v>
      </c>
      <c r="O37" s="51"/>
      <c r="P37" s="26"/>
      <c r="Q37" s="26"/>
    </row>
    <row r="38" spans="1:18" x14ac:dyDescent="0.25">
      <c r="A38" s="15" t="s">
        <v>93</v>
      </c>
      <c r="C38" s="18"/>
      <c r="D38" s="26">
        <v>175000</v>
      </c>
      <c r="E38" s="16"/>
      <c r="F38" s="26"/>
      <c r="G38" s="16"/>
      <c r="H38" s="17"/>
      <c r="I38" s="26"/>
      <c r="J38" s="17"/>
      <c r="K38" s="16"/>
      <c r="L38" s="17"/>
      <c r="M38" s="16">
        <f t="shared" si="0"/>
        <v>0</v>
      </c>
      <c r="N38" s="17">
        <f t="shared" si="1"/>
        <v>175000</v>
      </c>
      <c r="O38" s="51"/>
      <c r="P38" s="26"/>
      <c r="Q38" s="26"/>
    </row>
    <row r="39" spans="1:18" x14ac:dyDescent="0.25">
      <c r="A39" s="15" t="s">
        <v>95</v>
      </c>
      <c r="C39" s="18"/>
      <c r="D39" s="26"/>
      <c r="E39" s="16"/>
      <c r="F39" s="26"/>
      <c r="G39" s="16">
        <v>142500</v>
      </c>
      <c r="H39" s="17"/>
      <c r="I39" s="26"/>
      <c r="J39" s="17"/>
      <c r="K39" s="16"/>
      <c r="L39" s="17"/>
      <c r="M39" s="16">
        <f t="shared" si="0"/>
        <v>142500</v>
      </c>
      <c r="N39" s="17">
        <f t="shared" si="1"/>
        <v>0</v>
      </c>
      <c r="O39" s="51"/>
      <c r="P39" s="26"/>
      <c r="Q39" s="26"/>
    </row>
    <row r="40" spans="1:18" x14ac:dyDescent="0.25">
      <c r="A40" s="15"/>
      <c r="C40" s="16"/>
      <c r="D40" s="26"/>
      <c r="E40" s="16"/>
      <c r="F40" s="26"/>
      <c r="G40" s="16"/>
      <c r="H40" s="17"/>
      <c r="I40" s="26"/>
      <c r="J40" s="17"/>
      <c r="K40" s="16"/>
      <c r="L40" s="17"/>
      <c r="M40" s="16">
        <f t="shared" si="0"/>
        <v>0</v>
      </c>
      <c r="N40" s="17">
        <f t="shared" si="1"/>
        <v>0</v>
      </c>
      <c r="O40" s="51"/>
      <c r="P40" s="26"/>
      <c r="Q40" s="26"/>
    </row>
    <row r="41" spans="1:18" x14ac:dyDescent="0.25">
      <c r="A41" s="15" t="s">
        <v>94</v>
      </c>
      <c r="C41" s="16"/>
      <c r="D41" s="26"/>
      <c r="E41" s="18"/>
      <c r="F41" s="26">
        <f>20000</f>
        <v>20000</v>
      </c>
      <c r="G41" s="16"/>
      <c r="H41" s="17"/>
      <c r="I41" s="26"/>
      <c r="J41" s="17"/>
      <c r="K41" s="16"/>
      <c r="L41" s="17"/>
      <c r="M41" s="16">
        <f t="shared" si="0"/>
        <v>0</v>
      </c>
      <c r="N41" s="17">
        <f t="shared" si="1"/>
        <v>20000</v>
      </c>
      <c r="O41" s="51"/>
      <c r="P41" s="26"/>
      <c r="Q41" s="26"/>
    </row>
    <row r="42" spans="1:18" x14ac:dyDescent="0.25">
      <c r="A42" s="92" t="s">
        <v>94</v>
      </c>
      <c r="C42" s="18"/>
      <c r="D42" s="26">
        <f>70000</f>
        <v>70000</v>
      </c>
      <c r="E42" s="16"/>
      <c r="F42" s="26"/>
      <c r="G42" s="16"/>
      <c r="H42" s="17"/>
      <c r="I42" s="26"/>
      <c r="J42" s="17"/>
      <c r="K42" s="16"/>
      <c r="L42" s="17"/>
      <c r="M42" s="16">
        <f t="shared" si="0"/>
        <v>0</v>
      </c>
      <c r="N42" s="17">
        <f t="shared" si="1"/>
        <v>70000</v>
      </c>
      <c r="O42" s="51"/>
      <c r="P42" s="26"/>
      <c r="Q42" s="26"/>
    </row>
    <row r="43" spans="1:18" ht="13.8" thickBot="1" x14ac:dyDescent="0.3">
      <c r="A43" s="86" t="s">
        <v>94</v>
      </c>
      <c r="B43" s="90"/>
      <c r="C43" s="24"/>
      <c r="D43" s="81"/>
      <c r="E43" s="24"/>
      <c r="F43" s="81"/>
      <c r="G43" s="91"/>
      <c r="H43" s="25">
        <f>25000</f>
        <v>25000</v>
      </c>
      <c r="I43" s="81"/>
      <c r="J43" s="25"/>
      <c r="K43" s="24"/>
      <c r="L43" s="25"/>
      <c r="M43" s="24">
        <f t="shared" si="0"/>
        <v>0</v>
      </c>
      <c r="N43" s="25">
        <f t="shared" si="1"/>
        <v>25000</v>
      </c>
      <c r="O43" s="53"/>
      <c r="P43" s="26"/>
      <c r="Q43" s="26"/>
    </row>
    <row r="44" spans="1:18" x14ac:dyDescent="0.25">
      <c r="A44" s="15"/>
      <c r="C44" s="16"/>
      <c r="D44" s="17"/>
      <c r="E44" s="131"/>
      <c r="F44" s="132"/>
      <c r="G44" s="2"/>
      <c r="H44" s="132"/>
      <c r="I44" s="26"/>
      <c r="J44" s="17"/>
      <c r="K44" s="26"/>
      <c r="L44" s="26"/>
      <c r="M44" s="26">
        <f t="shared" si="0"/>
        <v>0</v>
      </c>
      <c r="N44" s="17">
        <f t="shared" si="1"/>
        <v>0</v>
      </c>
      <c r="O44" s="51"/>
      <c r="P44" s="26"/>
      <c r="Q44" s="26"/>
    </row>
    <row r="45" spans="1:18" x14ac:dyDescent="0.25">
      <c r="A45" s="11" t="s">
        <v>22</v>
      </c>
      <c r="C45" s="16"/>
      <c r="D45" s="17"/>
      <c r="E45" s="16"/>
      <c r="F45" s="17"/>
      <c r="G45" s="18"/>
      <c r="H45" s="17"/>
      <c r="I45" s="26"/>
      <c r="J45" s="17"/>
      <c r="K45" s="26"/>
      <c r="L45" s="26"/>
      <c r="M45" s="26">
        <f t="shared" si="0"/>
        <v>0</v>
      </c>
      <c r="N45" s="17">
        <f t="shared" si="1"/>
        <v>0</v>
      </c>
      <c r="O45" s="51"/>
      <c r="P45" s="26"/>
      <c r="Q45" s="26"/>
    </row>
    <row r="46" spans="1:18" x14ac:dyDescent="0.25">
      <c r="A46" s="15"/>
      <c r="C46" s="16"/>
      <c r="D46" s="17"/>
      <c r="E46" s="16"/>
      <c r="F46" s="17"/>
      <c r="G46" s="18"/>
      <c r="H46" s="17"/>
      <c r="I46" s="26"/>
      <c r="J46" s="17"/>
      <c r="K46" s="26"/>
      <c r="L46" s="26"/>
      <c r="M46" s="26">
        <f t="shared" si="0"/>
        <v>0</v>
      </c>
      <c r="N46" s="17">
        <f t="shared" si="1"/>
        <v>0</v>
      </c>
      <c r="O46" s="51"/>
      <c r="P46" s="26"/>
      <c r="Q46" s="26"/>
    </row>
    <row r="47" spans="1:18" x14ac:dyDescent="0.25">
      <c r="A47" s="15" t="s">
        <v>96</v>
      </c>
      <c r="C47" s="16"/>
      <c r="D47" s="17"/>
      <c r="E47" s="16"/>
      <c r="F47" s="17"/>
      <c r="G47" s="18"/>
      <c r="H47" s="17"/>
      <c r="I47" s="26"/>
      <c r="J47" s="17"/>
      <c r="K47" s="26"/>
      <c r="L47" s="26"/>
      <c r="M47" s="26">
        <f t="shared" si="0"/>
        <v>0</v>
      </c>
      <c r="N47" s="17">
        <f t="shared" si="1"/>
        <v>0</v>
      </c>
      <c r="O47" s="51">
        <v>10500</v>
      </c>
      <c r="P47" s="26"/>
      <c r="Q47" s="26"/>
    </row>
    <row r="48" spans="1:18" x14ac:dyDescent="0.25">
      <c r="A48" s="15" t="s">
        <v>97</v>
      </c>
      <c r="C48" s="16"/>
      <c r="D48" s="17"/>
      <c r="E48" s="16"/>
      <c r="F48" s="17"/>
      <c r="G48" s="16"/>
      <c r="H48" s="17"/>
      <c r="I48" s="26"/>
      <c r="J48" s="17"/>
      <c r="K48" s="26"/>
      <c r="L48" s="26"/>
      <c r="M48" s="26">
        <f t="shared" si="0"/>
        <v>0</v>
      </c>
      <c r="N48" s="17">
        <f t="shared" si="1"/>
        <v>0</v>
      </c>
      <c r="O48" s="51">
        <v>30000</v>
      </c>
      <c r="P48" s="26"/>
      <c r="Q48" s="26"/>
    </row>
    <row r="49" spans="1:17" x14ac:dyDescent="0.25">
      <c r="A49" s="15" t="s">
        <v>98</v>
      </c>
      <c r="C49" s="16"/>
      <c r="D49" s="17"/>
      <c r="E49" s="16"/>
      <c r="F49" s="17"/>
      <c r="G49" s="16"/>
      <c r="H49" s="17"/>
      <c r="I49" s="26"/>
      <c r="J49" s="17"/>
      <c r="K49" s="26">
        <f>SUM(I49,G49,E49,C49,A49)</f>
        <v>0</v>
      </c>
      <c r="L49" s="26"/>
      <c r="M49" s="26">
        <f t="shared" si="0"/>
        <v>0</v>
      </c>
      <c r="N49" s="17">
        <f t="shared" si="1"/>
        <v>0</v>
      </c>
      <c r="O49" s="51">
        <v>10500</v>
      </c>
      <c r="P49" s="26"/>
      <c r="Q49" s="26"/>
    </row>
    <row r="50" spans="1:17" x14ac:dyDescent="0.25">
      <c r="A50" s="15" t="s">
        <v>99</v>
      </c>
      <c r="C50" s="16"/>
      <c r="D50" s="17"/>
      <c r="E50" s="16"/>
      <c r="F50" s="17"/>
      <c r="G50" s="16"/>
      <c r="H50" s="17"/>
      <c r="I50" s="26"/>
      <c r="J50" s="17"/>
      <c r="K50" s="26"/>
      <c r="L50" s="26"/>
      <c r="M50" s="26">
        <f t="shared" si="0"/>
        <v>0</v>
      </c>
      <c r="N50" s="17">
        <f t="shared" si="1"/>
        <v>0</v>
      </c>
      <c r="O50" s="51">
        <v>202000</v>
      </c>
      <c r="P50" s="26"/>
      <c r="Q50" s="26"/>
    </row>
    <row r="51" spans="1:17" x14ac:dyDescent="0.25">
      <c r="A51" s="15" t="s">
        <v>100</v>
      </c>
      <c r="C51" s="16"/>
      <c r="D51" s="17"/>
      <c r="E51" s="16"/>
      <c r="F51" s="17"/>
      <c r="G51" s="16"/>
      <c r="H51" s="17"/>
      <c r="I51" s="26"/>
      <c r="J51" s="17"/>
      <c r="K51" s="26"/>
      <c r="L51" s="26"/>
      <c r="M51" s="26">
        <f t="shared" si="0"/>
        <v>0</v>
      </c>
      <c r="N51" s="17">
        <f t="shared" si="1"/>
        <v>0</v>
      </c>
      <c r="O51" s="51">
        <v>15500</v>
      </c>
      <c r="P51" s="26"/>
      <c r="Q51" s="26"/>
    </row>
    <row r="52" spans="1:17" x14ac:dyDescent="0.25">
      <c r="A52" s="15" t="s">
        <v>101</v>
      </c>
      <c r="C52" s="16"/>
      <c r="D52" s="17"/>
      <c r="E52" s="16"/>
      <c r="F52" s="17"/>
      <c r="G52" s="16"/>
      <c r="H52" s="17"/>
      <c r="I52" s="26"/>
      <c r="J52" s="17"/>
      <c r="K52" s="26"/>
      <c r="L52" s="26"/>
      <c r="M52" s="26">
        <f t="shared" si="0"/>
        <v>0</v>
      </c>
      <c r="N52" s="17">
        <f t="shared" si="1"/>
        <v>0</v>
      </c>
      <c r="O52" s="51">
        <v>10448419</v>
      </c>
      <c r="P52" s="26"/>
      <c r="Q52" s="26"/>
    </row>
    <row r="53" spans="1:17" x14ac:dyDescent="0.25">
      <c r="A53" s="15" t="s">
        <v>102</v>
      </c>
      <c r="C53" s="16"/>
      <c r="D53" s="17"/>
      <c r="E53" s="16"/>
      <c r="F53" s="17"/>
      <c r="G53" s="16"/>
      <c r="H53" s="17"/>
      <c r="I53" s="26"/>
      <c r="J53" s="17"/>
      <c r="K53" s="26"/>
      <c r="L53" s="26"/>
      <c r="M53" s="26">
        <f t="shared" si="0"/>
        <v>0</v>
      </c>
      <c r="N53" s="17">
        <f t="shared" si="1"/>
        <v>0</v>
      </c>
      <c r="O53" s="51">
        <v>18129359</v>
      </c>
      <c r="P53" s="26"/>
      <c r="Q53" s="26"/>
    </row>
    <row r="54" spans="1:17" x14ac:dyDescent="0.25">
      <c r="A54" s="15" t="s">
        <v>103</v>
      </c>
      <c r="C54" s="16"/>
      <c r="D54" s="17"/>
      <c r="E54" s="16"/>
      <c r="F54" s="17"/>
      <c r="G54" s="16"/>
      <c r="H54" s="17"/>
      <c r="I54" s="26"/>
      <c r="J54" s="17"/>
      <c r="K54" s="26"/>
      <c r="L54" s="26"/>
      <c r="M54" s="26">
        <f t="shared" si="0"/>
        <v>0</v>
      </c>
      <c r="N54" s="17">
        <f t="shared" si="1"/>
        <v>0</v>
      </c>
      <c r="O54" s="51">
        <v>268891</v>
      </c>
      <c r="P54" s="26"/>
      <c r="Q54" s="26"/>
    </row>
    <row r="55" spans="1:17" ht="13.8" thickBot="1" x14ac:dyDescent="0.3">
      <c r="C55" s="91"/>
      <c r="D55" s="82"/>
      <c r="E55" s="91"/>
      <c r="F55" s="82"/>
      <c r="G55" s="91"/>
      <c r="H55" s="82"/>
      <c r="I55" s="54"/>
      <c r="J55" s="19"/>
      <c r="K55" s="54"/>
      <c r="L55" s="28"/>
      <c r="M55" s="26">
        <f t="shared" si="0"/>
        <v>0</v>
      </c>
      <c r="N55" s="17">
        <f t="shared" si="1"/>
        <v>0</v>
      </c>
      <c r="O55" s="53"/>
    </row>
    <row r="56" spans="1:17" s="9" customFormat="1" ht="21" customHeight="1" thickBot="1" x14ac:dyDescent="0.3">
      <c r="A56" s="15" t="s">
        <v>25</v>
      </c>
      <c r="C56" s="83">
        <f>SUM(C11:C55)</f>
        <v>1519483</v>
      </c>
      <c r="D56" s="83">
        <f>SUM(D11:D55)</f>
        <v>5595148.4000000004</v>
      </c>
      <c r="E56" s="83">
        <f t="shared" ref="E56:O56" si="2">SUM(E11:E55)</f>
        <v>318997</v>
      </c>
      <c r="F56" s="83">
        <f t="shared" si="2"/>
        <v>2897691.5999999996</v>
      </c>
      <c r="G56" s="83">
        <f t="shared" si="2"/>
        <v>611480</v>
      </c>
      <c r="H56" s="83">
        <f t="shared" si="2"/>
        <v>3317855.5999999996</v>
      </c>
      <c r="I56" s="83">
        <f t="shared" si="2"/>
        <v>0</v>
      </c>
      <c r="J56" s="83">
        <f t="shared" si="2"/>
        <v>365954</v>
      </c>
      <c r="K56" s="83">
        <f t="shared" si="2"/>
        <v>0</v>
      </c>
      <c r="L56" s="83">
        <f t="shared" si="2"/>
        <v>41965.399999999994</v>
      </c>
      <c r="M56" s="83">
        <f>SUM(M11:M55)</f>
        <v>2449960</v>
      </c>
      <c r="N56" s="83">
        <f>SUM(N11:N55)</f>
        <v>12218615</v>
      </c>
      <c r="O56" s="83">
        <f t="shared" si="2"/>
        <v>29115169</v>
      </c>
      <c r="P56" s="58"/>
      <c r="Q56" s="58"/>
    </row>
    <row r="57" spans="1:17" x14ac:dyDescent="0.25">
      <c r="J57" s="28"/>
      <c r="K57" s="28"/>
      <c r="L57" s="28"/>
    </row>
    <row r="58" spans="1:17" x14ac:dyDescent="0.25">
      <c r="A58" s="14" t="str">
        <f ca="1">CELL("filename")</f>
        <v>P:\IT MS Financial\njc\2002 Plan\[CAPITAL WORKSHEET.xls]F &amp; A</v>
      </c>
      <c r="J58" s="28"/>
      <c r="K58" s="28"/>
      <c r="L58" s="28"/>
    </row>
    <row r="59" spans="1:17" x14ac:dyDescent="0.25">
      <c r="A59" t="s">
        <v>105</v>
      </c>
      <c r="J59" s="28"/>
      <c r="K59" s="28"/>
      <c r="L59" s="28"/>
      <c r="M59" s="63"/>
      <c r="N59" s="52"/>
    </row>
    <row r="60" spans="1:17" x14ac:dyDescent="0.25">
      <c r="J60" s="28"/>
      <c r="K60" s="28"/>
      <c r="L60" s="28"/>
    </row>
    <row r="61" spans="1:17" x14ac:dyDescent="0.25">
      <c r="J61" s="28"/>
      <c r="K61" s="28"/>
      <c r="L61" s="28"/>
    </row>
    <row r="62" spans="1:17" x14ac:dyDescent="0.25">
      <c r="J62" s="28"/>
      <c r="K62" s="28"/>
      <c r="L62" s="28"/>
    </row>
    <row r="63" spans="1:17" x14ac:dyDescent="0.25">
      <c r="J63" s="28"/>
      <c r="K63" s="28"/>
      <c r="L63" s="28"/>
    </row>
    <row r="64" spans="1:17" x14ac:dyDescent="0.25">
      <c r="J64" s="28"/>
      <c r="K64" s="28"/>
      <c r="L64" s="28"/>
    </row>
    <row r="65" spans="10:12" x14ac:dyDescent="0.25">
      <c r="J65" s="28"/>
      <c r="K65" s="28"/>
      <c r="L65" s="28"/>
    </row>
    <row r="66" spans="10:12" x14ac:dyDescent="0.25">
      <c r="J66" s="28"/>
      <c r="K66" s="28"/>
      <c r="L66" s="28"/>
    </row>
    <row r="67" spans="10:12" x14ac:dyDescent="0.25">
      <c r="J67" s="28"/>
      <c r="K67" s="28"/>
      <c r="L67" s="28"/>
    </row>
    <row r="68" spans="10:12" x14ac:dyDescent="0.25">
      <c r="J68" s="28"/>
      <c r="K68" s="28"/>
      <c r="L68" s="28"/>
    </row>
    <row r="69" spans="10:12" x14ac:dyDescent="0.25">
      <c r="J69" s="28"/>
      <c r="K69" s="28"/>
      <c r="L69" s="28"/>
    </row>
    <row r="70" spans="10:12" x14ac:dyDescent="0.25">
      <c r="J70" s="28"/>
      <c r="K70" s="28"/>
      <c r="L70" s="28"/>
    </row>
    <row r="71" spans="10:12" x14ac:dyDescent="0.25">
      <c r="J71" s="28"/>
      <c r="K71" s="28"/>
      <c r="L71" s="28"/>
    </row>
    <row r="72" spans="10:12" x14ac:dyDescent="0.25">
      <c r="J72" s="28"/>
      <c r="K72" s="28"/>
      <c r="L72" s="28"/>
    </row>
    <row r="73" spans="10:12" x14ac:dyDescent="0.25">
      <c r="J73" s="28"/>
      <c r="K73" s="28"/>
      <c r="L73" s="28"/>
    </row>
    <row r="74" spans="10:12" x14ac:dyDescent="0.25">
      <c r="J74" s="28"/>
      <c r="K74" s="28"/>
      <c r="L74" s="28"/>
    </row>
    <row r="75" spans="10:12" x14ac:dyDescent="0.25">
      <c r="J75" s="28"/>
      <c r="K75" s="28"/>
      <c r="L75" s="28"/>
    </row>
    <row r="76" spans="10:12" x14ac:dyDescent="0.25">
      <c r="J76" s="28"/>
      <c r="K76" s="28"/>
      <c r="L76" s="28"/>
    </row>
    <row r="77" spans="10:12" x14ac:dyDescent="0.25">
      <c r="J77" s="28"/>
      <c r="K77" s="28"/>
      <c r="L77" s="28"/>
    </row>
    <row r="78" spans="10:12" x14ac:dyDescent="0.25">
      <c r="J78" s="28"/>
      <c r="K78" s="28"/>
      <c r="L78" s="28"/>
    </row>
    <row r="79" spans="10:12" x14ac:dyDescent="0.25">
      <c r="J79" s="28"/>
      <c r="K79" s="28"/>
      <c r="L79" s="28"/>
    </row>
    <row r="80" spans="10:12" x14ac:dyDescent="0.25">
      <c r="J80" s="28"/>
      <c r="K80" s="28"/>
      <c r="L80" s="28"/>
    </row>
    <row r="81" spans="10:12" x14ac:dyDescent="0.25">
      <c r="J81" s="28"/>
      <c r="K81" s="28"/>
      <c r="L81" s="28"/>
    </row>
    <row r="82" spans="10:12" x14ac:dyDescent="0.25">
      <c r="J82" s="28"/>
      <c r="K82" s="28"/>
      <c r="L82" s="28"/>
    </row>
    <row r="83" spans="10:12" x14ac:dyDescent="0.25">
      <c r="J83" s="28"/>
      <c r="K83" s="28"/>
      <c r="L83" s="28"/>
    </row>
    <row r="84" spans="10:12" x14ac:dyDescent="0.25">
      <c r="J84" s="28"/>
      <c r="K84" s="28"/>
      <c r="L84" s="28"/>
    </row>
    <row r="85" spans="10:12" x14ac:dyDescent="0.25">
      <c r="J85" s="28"/>
      <c r="K85" s="28"/>
      <c r="L85" s="28"/>
    </row>
    <row r="86" spans="10:12" x14ac:dyDescent="0.25">
      <c r="J86" s="28"/>
      <c r="K86" s="28"/>
      <c r="L86" s="28"/>
    </row>
    <row r="87" spans="10:12" x14ac:dyDescent="0.25">
      <c r="J87" s="28"/>
      <c r="K87" s="28"/>
      <c r="L87" s="28"/>
    </row>
    <row r="88" spans="10:12" x14ac:dyDescent="0.25">
      <c r="J88" s="28"/>
      <c r="K88" s="28"/>
      <c r="L88" s="28"/>
    </row>
    <row r="89" spans="10:12" x14ac:dyDescent="0.25">
      <c r="J89" s="28"/>
      <c r="K89" s="28"/>
      <c r="L89" s="28"/>
    </row>
    <row r="90" spans="10:12" x14ac:dyDescent="0.25">
      <c r="J90" s="28"/>
      <c r="K90" s="28"/>
      <c r="L90" s="28"/>
    </row>
    <row r="91" spans="10:12" x14ac:dyDescent="0.25">
      <c r="J91" s="28"/>
      <c r="K91" s="28"/>
      <c r="L91" s="28"/>
    </row>
    <row r="92" spans="10:12" x14ac:dyDescent="0.25">
      <c r="J92" s="28"/>
      <c r="K92" s="28"/>
      <c r="L92" s="28"/>
    </row>
    <row r="93" spans="10:12" x14ac:dyDescent="0.25">
      <c r="J93" s="28"/>
      <c r="K93" s="28"/>
      <c r="L93" s="28"/>
    </row>
    <row r="94" spans="10:12" x14ac:dyDescent="0.25">
      <c r="J94" s="28"/>
      <c r="K94" s="28"/>
      <c r="L94" s="28"/>
    </row>
    <row r="95" spans="10:12" x14ac:dyDescent="0.25">
      <c r="J95" s="28"/>
      <c r="K95" s="28"/>
      <c r="L95" s="28"/>
    </row>
    <row r="96" spans="10:12" x14ac:dyDescent="0.25">
      <c r="J96" s="28"/>
      <c r="K96" s="28"/>
      <c r="L96" s="28"/>
    </row>
    <row r="97" spans="10:12" x14ac:dyDescent="0.25">
      <c r="J97" s="28"/>
      <c r="K97" s="28"/>
      <c r="L97" s="28"/>
    </row>
    <row r="98" spans="10:12" x14ac:dyDescent="0.25">
      <c r="J98" s="28"/>
      <c r="K98" s="28"/>
      <c r="L98" s="28"/>
    </row>
    <row r="99" spans="10:12" x14ac:dyDescent="0.25">
      <c r="J99" s="28"/>
      <c r="K99" s="28"/>
      <c r="L99" s="28"/>
    </row>
    <row r="100" spans="10:12" x14ac:dyDescent="0.25">
      <c r="J100" s="28"/>
      <c r="K100" s="28"/>
      <c r="L100" s="28"/>
    </row>
    <row r="101" spans="10:12" x14ac:dyDescent="0.25">
      <c r="J101" s="28"/>
      <c r="K101" s="28"/>
      <c r="L101" s="28"/>
    </row>
    <row r="102" spans="10:12" x14ac:dyDescent="0.25">
      <c r="J102" s="28"/>
      <c r="K102" s="28"/>
      <c r="L102" s="28"/>
    </row>
    <row r="103" spans="10:12" x14ac:dyDescent="0.25">
      <c r="J103" s="28"/>
      <c r="K103" s="28"/>
      <c r="L103" s="28"/>
    </row>
    <row r="104" spans="10:12" x14ac:dyDescent="0.25">
      <c r="J104" s="28"/>
      <c r="K104" s="28"/>
      <c r="L104" s="28"/>
    </row>
    <row r="105" spans="10:12" x14ac:dyDescent="0.25">
      <c r="J105" s="28"/>
      <c r="K105" s="28"/>
      <c r="L105" s="28"/>
    </row>
    <row r="106" spans="10:12" x14ac:dyDescent="0.25">
      <c r="J106" s="28"/>
      <c r="K106" s="28"/>
      <c r="L106" s="28"/>
    </row>
    <row r="107" spans="10:12" x14ac:dyDescent="0.25">
      <c r="J107" s="28"/>
      <c r="K107" s="28"/>
      <c r="L107" s="28"/>
    </row>
    <row r="108" spans="10:12" x14ac:dyDescent="0.25">
      <c r="J108" s="28"/>
      <c r="K108" s="28"/>
      <c r="L108" s="28"/>
    </row>
    <row r="109" spans="10:12" x14ac:dyDescent="0.25">
      <c r="J109" s="28"/>
      <c r="K109" s="28"/>
      <c r="L109" s="28"/>
    </row>
  </sheetData>
  <mergeCells count="13">
    <mergeCell ref="I6:J6"/>
    <mergeCell ref="M6:N6"/>
    <mergeCell ref="C5:J5"/>
    <mergeCell ref="A1:N1"/>
    <mergeCell ref="A2:N2"/>
    <mergeCell ref="A3:N3"/>
    <mergeCell ref="A4:N4"/>
    <mergeCell ref="P5:Q5"/>
    <mergeCell ref="K6:L6"/>
    <mergeCell ref="P6:Q6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topLeftCell="A13" zoomScale="75" workbookViewId="0">
      <selection activeCell="A36" sqref="A36"/>
    </sheetView>
  </sheetViews>
  <sheetFormatPr defaultRowHeight="13.2" x14ac:dyDescent="0.25"/>
  <cols>
    <col min="1" max="1" width="32.33203125" bestFit="1" customWidth="1"/>
    <col min="2" max="2" width="2.109375" customWidth="1"/>
    <col min="3" max="3" width="11.6640625" bestFit="1" customWidth="1"/>
    <col min="4" max="4" width="12.109375" customWidth="1"/>
    <col min="5" max="5" width="11.44140625" bestFit="1" customWidth="1"/>
    <col min="6" max="6" width="9.6640625" bestFit="1" customWidth="1"/>
    <col min="7" max="7" width="12.33203125" style="28" bestFit="1" customWidth="1"/>
    <col min="8" max="8" width="10.44140625" style="28" customWidth="1"/>
    <col min="9" max="9" width="10.44140625" bestFit="1" customWidth="1"/>
    <col min="10" max="10" width="10.33203125" customWidth="1"/>
    <col min="13" max="13" width="15.33203125" style="28" customWidth="1"/>
    <col min="14" max="14" width="11.5546875" bestFit="1" customWidth="1"/>
    <col min="15" max="15" width="12.33203125" bestFit="1" customWidth="1"/>
  </cols>
  <sheetData>
    <row r="1" spans="1:16" ht="15.6" x14ac:dyDescent="0.3">
      <c r="A1" s="136" t="s">
        <v>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6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6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6" ht="16.2" thickBo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6" ht="13.8" thickBot="1" x14ac:dyDescent="0.3">
      <c r="C5" s="137">
        <v>2002</v>
      </c>
      <c r="D5" s="144"/>
      <c r="E5" s="144"/>
      <c r="F5" s="144"/>
      <c r="G5" s="144"/>
      <c r="H5" s="144"/>
      <c r="I5" s="144"/>
      <c r="J5" s="144"/>
      <c r="K5" s="144"/>
      <c r="L5" s="144"/>
      <c r="M5" s="118"/>
      <c r="N5" s="145"/>
      <c r="O5" s="146"/>
    </row>
    <row r="6" spans="1:16" ht="13.8" thickBot="1" x14ac:dyDescent="0.3">
      <c r="A6" s="12"/>
      <c r="C6" s="137" t="s">
        <v>2</v>
      </c>
      <c r="D6" s="138"/>
      <c r="E6" s="147" t="s">
        <v>3</v>
      </c>
      <c r="F6" s="143"/>
      <c r="G6" s="137" t="s">
        <v>4</v>
      </c>
      <c r="H6" s="138"/>
      <c r="I6" s="142" t="s">
        <v>5</v>
      </c>
      <c r="J6" s="143"/>
      <c r="K6" s="142" t="s">
        <v>13</v>
      </c>
      <c r="L6" s="143"/>
      <c r="M6" s="137" t="s">
        <v>31</v>
      </c>
      <c r="N6" s="140"/>
      <c r="O6" s="13" t="s">
        <v>22</v>
      </c>
    </row>
    <row r="7" spans="1:16" ht="13.8" thickBot="1" x14ac:dyDescent="0.3">
      <c r="A7" s="13" t="s">
        <v>12</v>
      </c>
      <c r="C7" s="101" t="s">
        <v>0</v>
      </c>
      <c r="D7" s="88" t="s">
        <v>1</v>
      </c>
      <c r="E7" s="62" t="s">
        <v>0</v>
      </c>
      <c r="F7" s="62" t="s">
        <v>1</v>
      </c>
      <c r="G7" s="101" t="s">
        <v>0</v>
      </c>
      <c r="H7" s="88" t="s">
        <v>1</v>
      </c>
      <c r="I7" s="62" t="s">
        <v>0</v>
      </c>
      <c r="J7" s="94" t="s">
        <v>1</v>
      </c>
      <c r="K7" s="93" t="s">
        <v>0</v>
      </c>
      <c r="L7" s="62" t="s">
        <v>1</v>
      </c>
      <c r="M7" s="62" t="s">
        <v>0</v>
      </c>
      <c r="N7" s="62" t="s">
        <v>1</v>
      </c>
      <c r="O7" s="13"/>
    </row>
    <row r="8" spans="1:16" x14ac:dyDescent="0.25">
      <c r="C8" s="2"/>
      <c r="D8" s="29"/>
      <c r="E8" s="2"/>
      <c r="F8" s="29"/>
      <c r="G8" s="2"/>
      <c r="H8" s="3"/>
      <c r="I8" s="29"/>
      <c r="J8" s="29"/>
      <c r="K8" s="2"/>
      <c r="L8" s="29"/>
      <c r="M8" s="2"/>
      <c r="N8" s="3"/>
      <c r="O8" s="3"/>
    </row>
    <row r="9" spans="1:16" x14ac:dyDescent="0.25">
      <c r="A9" s="9" t="s">
        <v>60</v>
      </c>
      <c r="C9" s="20"/>
      <c r="D9" s="30"/>
      <c r="E9" s="20"/>
      <c r="F9" s="30"/>
      <c r="G9" s="18"/>
      <c r="H9" s="21">
        <f>50000*0.75</f>
        <v>37500</v>
      </c>
      <c r="I9" s="30"/>
      <c r="J9" s="30">
        <v>9500</v>
      </c>
      <c r="K9" s="20"/>
      <c r="L9" s="30">
        <f>50000*0.06</f>
        <v>3000</v>
      </c>
      <c r="M9" s="47">
        <f>SUM(K9,I9,G9,E9,C9)</f>
        <v>0</v>
      </c>
      <c r="N9" s="48">
        <f>SUM(L9,J9,H9,F9,D9)</f>
        <v>50000</v>
      </c>
      <c r="O9" s="21">
        <v>0</v>
      </c>
    </row>
    <row r="10" spans="1:16" x14ac:dyDescent="0.25">
      <c r="A10" s="9"/>
      <c r="C10" s="20"/>
      <c r="D10" s="30"/>
      <c r="E10" s="20"/>
      <c r="F10" s="30"/>
      <c r="G10" s="18"/>
      <c r="H10" s="21"/>
      <c r="I10" s="30"/>
      <c r="J10" s="30"/>
      <c r="K10" s="20"/>
      <c r="L10" s="30"/>
      <c r="M10" s="47">
        <f t="shared" ref="M10:M25" si="0">SUM(K10,I10,G10,E10,C10)</f>
        <v>0</v>
      </c>
      <c r="N10" s="48">
        <f t="shared" ref="N10:N28" si="1">SUM(L10,J10,H10,F10,D10)</f>
        <v>0</v>
      </c>
      <c r="O10" s="21"/>
    </row>
    <row r="11" spans="1:16" x14ac:dyDescent="0.25">
      <c r="A11" s="9" t="s">
        <v>42</v>
      </c>
      <c r="C11" s="20"/>
      <c r="D11" s="30"/>
      <c r="E11" s="18"/>
      <c r="F11" s="30">
        <f>20000</f>
        <v>20000</v>
      </c>
      <c r="G11" s="18"/>
      <c r="H11" s="21"/>
      <c r="I11" s="30"/>
      <c r="J11" s="30"/>
      <c r="K11" s="20"/>
      <c r="L11" s="30"/>
      <c r="M11" s="47">
        <f t="shared" si="0"/>
        <v>0</v>
      </c>
      <c r="N11" s="48">
        <f t="shared" si="1"/>
        <v>20000</v>
      </c>
      <c r="O11" s="21"/>
    </row>
    <row r="12" spans="1:16" x14ac:dyDescent="0.25">
      <c r="A12" s="9" t="s">
        <v>42</v>
      </c>
      <c r="C12" s="18"/>
      <c r="D12" s="30">
        <f>80000</f>
        <v>80000</v>
      </c>
      <c r="E12" s="20"/>
      <c r="F12" s="30"/>
      <c r="G12" s="18"/>
      <c r="H12" s="21"/>
      <c r="I12" s="30"/>
      <c r="J12" s="30"/>
      <c r="K12" s="20"/>
      <c r="L12" s="30"/>
      <c r="M12" s="47">
        <f t="shared" si="0"/>
        <v>0</v>
      </c>
      <c r="N12" s="48">
        <f t="shared" si="1"/>
        <v>80000</v>
      </c>
      <c r="O12" s="21"/>
    </row>
    <row r="13" spans="1:16" ht="12.75" customHeight="1" x14ac:dyDescent="0.25">
      <c r="A13" s="9" t="s">
        <v>42</v>
      </c>
      <c r="C13" s="20"/>
      <c r="D13" s="30"/>
      <c r="E13" s="20"/>
      <c r="F13" s="30"/>
      <c r="G13" s="18"/>
      <c r="H13" s="17">
        <f>35000</f>
        <v>35000</v>
      </c>
      <c r="I13" s="30"/>
      <c r="J13" s="30"/>
      <c r="K13" s="20"/>
      <c r="L13" s="30"/>
      <c r="M13" s="47">
        <f t="shared" si="0"/>
        <v>0</v>
      </c>
      <c r="N13" s="48">
        <f t="shared" si="1"/>
        <v>35000</v>
      </c>
      <c r="O13" s="21"/>
    </row>
    <row r="14" spans="1:16" ht="12.75" customHeight="1" x14ac:dyDescent="0.25">
      <c r="A14" s="9" t="s">
        <v>42</v>
      </c>
      <c r="C14" s="18"/>
      <c r="D14" s="30">
        <f>200000</f>
        <v>200000</v>
      </c>
      <c r="E14" s="20"/>
      <c r="F14" s="30"/>
      <c r="G14" s="16"/>
      <c r="H14" s="21"/>
      <c r="I14" s="30"/>
      <c r="J14" s="30"/>
      <c r="K14" s="20"/>
      <c r="L14" s="30"/>
      <c r="M14" s="47">
        <f t="shared" si="0"/>
        <v>0</v>
      </c>
      <c r="N14" s="48">
        <f t="shared" si="1"/>
        <v>200000</v>
      </c>
      <c r="O14" s="21"/>
    </row>
    <row r="15" spans="1:16" ht="9" customHeight="1" x14ac:dyDescent="0.25">
      <c r="A15" s="9"/>
      <c r="C15" s="20"/>
      <c r="D15" s="30"/>
      <c r="E15" s="20"/>
      <c r="F15" s="30"/>
      <c r="G15" s="16"/>
      <c r="H15" s="21"/>
      <c r="I15" s="30"/>
      <c r="J15" s="30"/>
      <c r="K15" s="20"/>
      <c r="L15" s="30"/>
      <c r="M15" s="47">
        <f t="shared" si="0"/>
        <v>0</v>
      </c>
      <c r="N15" s="48">
        <f t="shared" si="1"/>
        <v>0</v>
      </c>
      <c r="O15" s="21"/>
      <c r="P15" s="8"/>
    </row>
    <row r="16" spans="1:16" x14ac:dyDescent="0.25">
      <c r="A16" s="9" t="s">
        <v>61</v>
      </c>
      <c r="C16" s="20"/>
      <c r="D16" s="30"/>
      <c r="E16" s="20"/>
      <c r="F16" s="30"/>
      <c r="G16" s="16">
        <v>362600</v>
      </c>
      <c r="H16" s="21"/>
      <c r="I16" s="30"/>
      <c r="J16" s="30"/>
      <c r="K16" s="20"/>
      <c r="L16" s="30"/>
      <c r="M16" s="47">
        <f t="shared" si="0"/>
        <v>362600</v>
      </c>
      <c r="N16" s="48">
        <f t="shared" si="1"/>
        <v>0</v>
      </c>
      <c r="O16" s="21">
        <v>114475</v>
      </c>
      <c r="P16" s="8"/>
    </row>
    <row r="17" spans="1:16" x14ac:dyDescent="0.25">
      <c r="A17" s="9" t="s">
        <v>62</v>
      </c>
      <c r="C17" s="20">
        <v>295500</v>
      </c>
      <c r="D17" s="30"/>
      <c r="E17" s="20">
        <v>201050</v>
      </c>
      <c r="F17" s="30"/>
      <c r="G17" s="16"/>
      <c r="H17" s="21"/>
      <c r="I17" s="30"/>
      <c r="J17" s="30"/>
      <c r="K17" s="20"/>
      <c r="L17" s="30"/>
      <c r="M17" s="47">
        <f t="shared" si="0"/>
        <v>496550</v>
      </c>
      <c r="N17" s="48">
        <f t="shared" si="1"/>
        <v>0</v>
      </c>
      <c r="O17" s="21">
        <v>238300</v>
      </c>
      <c r="P17" s="8"/>
    </row>
    <row r="18" spans="1:16" x14ac:dyDescent="0.25">
      <c r="A18" s="9" t="s">
        <v>63</v>
      </c>
      <c r="C18" s="20">
        <v>697750</v>
      </c>
      <c r="D18" s="30"/>
      <c r="E18" s="20"/>
      <c r="F18" s="30"/>
      <c r="G18" s="16"/>
      <c r="H18" s="21"/>
      <c r="I18" s="30">
        <v>126800</v>
      </c>
      <c r="J18" s="30"/>
      <c r="K18" s="20">
        <v>25575</v>
      </c>
      <c r="L18" s="30"/>
      <c r="M18" s="47">
        <f t="shared" si="0"/>
        <v>850125</v>
      </c>
      <c r="N18" s="48">
        <f t="shared" si="1"/>
        <v>0</v>
      </c>
      <c r="O18" s="21">
        <v>36300</v>
      </c>
      <c r="P18" s="8"/>
    </row>
    <row r="19" spans="1:16" x14ac:dyDescent="0.25">
      <c r="A19" s="9" t="s">
        <v>64</v>
      </c>
      <c r="C19" s="18"/>
      <c r="D19" s="30">
        <f>49000</f>
        <v>49000</v>
      </c>
      <c r="E19" s="18"/>
      <c r="F19" s="30">
        <f>50950</f>
        <v>50950</v>
      </c>
      <c r="G19" s="18"/>
      <c r="H19" s="17">
        <f>49364</f>
        <v>49364</v>
      </c>
      <c r="I19" s="30"/>
      <c r="J19" s="30"/>
      <c r="K19" s="20"/>
      <c r="L19" s="30"/>
      <c r="M19" s="47">
        <f t="shared" si="0"/>
        <v>0</v>
      </c>
      <c r="N19" s="48">
        <f t="shared" si="1"/>
        <v>149314</v>
      </c>
      <c r="O19" s="21"/>
      <c r="P19" s="8"/>
    </row>
    <row r="20" spans="1:16" x14ac:dyDescent="0.25">
      <c r="A20" s="11"/>
      <c r="C20" s="20"/>
      <c r="D20" s="30"/>
      <c r="E20" s="20"/>
      <c r="F20" s="30"/>
      <c r="G20" s="20"/>
      <c r="H20" s="21"/>
      <c r="I20" s="30"/>
      <c r="J20" s="30"/>
      <c r="K20" s="20"/>
      <c r="L20" s="30"/>
      <c r="M20" s="47">
        <f t="shared" si="0"/>
        <v>0</v>
      </c>
      <c r="N20" s="48">
        <f t="shared" si="1"/>
        <v>0</v>
      </c>
      <c r="O20" s="21"/>
      <c r="P20" s="8"/>
    </row>
    <row r="21" spans="1:16" x14ac:dyDescent="0.25">
      <c r="A21" s="9" t="s">
        <v>16</v>
      </c>
      <c r="C21" s="20"/>
      <c r="D21" s="30"/>
      <c r="E21" s="20"/>
      <c r="F21" s="30"/>
      <c r="G21" s="20"/>
      <c r="H21" s="21"/>
      <c r="I21" s="30"/>
      <c r="J21" s="30"/>
      <c r="K21" s="20"/>
      <c r="L21" s="30"/>
      <c r="M21" s="47">
        <f t="shared" si="0"/>
        <v>0</v>
      </c>
      <c r="N21" s="48">
        <f t="shared" si="1"/>
        <v>0</v>
      </c>
      <c r="O21" s="21"/>
      <c r="P21" s="8"/>
    </row>
    <row r="22" spans="1:16" x14ac:dyDescent="0.25">
      <c r="A22" s="9" t="s">
        <v>65</v>
      </c>
      <c r="C22" s="20"/>
      <c r="D22" s="30">
        <f>302600*0.65</f>
        <v>196690</v>
      </c>
      <c r="E22" s="20"/>
      <c r="F22" s="30">
        <f>302600*0.1</f>
        <v>30260</v>
      </c>
      <c r="G22" s="20"/>
      <c r="H22" s="21">
        <f>302600*0.19</f>
        <v>57494</v>
      </c>
      <c r="I22" s="30"/>
      <c r="J22" s="30">
        <f>302600*0.05</f>
        <v>15130</v>
      </c>
      <c r="K22" s="20"/>
      <c r="L22" s="30">
        <f>302600*0.01</f>
        <v>3026</v>
      </c>
      <c r="M22" s="47">
        <f t="shared" si="0"/>
        <v>0</v>
      </c>
      <c r="N22" s="48">
        <f t="shared" si="1"/>
        <v>302600</v>
      </c>
      <c r="O22" s="21"/>
    </row>
    <row r="23" spans="1:16" x14ac:dyDescent="0.25">
      <c r="A23" s="9" t="s">
        <v>66</v>
      </c>
      <c r="C23" s="43"/>
      <c r="D23" s="45">
        <f>60000*0.49</f>
        <v>29400</v>
      </c>
      <c r="E23" s="43"/>
      <c r="F23" s="45">
        <f>60000*0.07</f>
        <v>4200</v>
      </c>
      <c r="G23" s="43"/>
      <c r="H23" s="44">
        <f>60000*0.14</f>
        <v>8400</v>
      </c>
      <c r="I23" s="45"/>
      <c r="J23" s="45">
        <f>60000*0.04</f>
        <v>2400</v>
      </c>
      <c r="K23" s="20"/>
      <c r="L23" s="30">
        <f>60000*0.01</f>
        <v>600</v>
      </c>
      <c r="M23" s="47">
        <f t="shared" si="0"/>
        <v>0</v>
      </c>
      <c r="N23" s="48">
        <f t="shared" si="1"/>
        <v>45000</v>
      </c>
      <c r="O23" s="21">
        <f>60000*0.25</f>
        <v>15000</v>
      </c>
    </row>
    <row r="24" spans="1:16" x14ac:dyDescent="0.25">
      <c r="A24" s="9" t="s">
        <v>67</v>
      </c>
      <c r="C24" s="43"/>
      <c r="D24" s="45">
        <f>332000*0.49</f>
        <v>162680</v>
      </c>
      <c r="E24" s="43"/>
      <c r="F24" s="45">
        <f>332000*0.07</f>
        <v>23240.000000000004</v>
      </c>
      <c r="G24" s="43"/>
      <c r="H24" s="44">
        <f>332000*0.14</f>
        <v>46480.000000000007</v>
      </c>
      <c r="I24" s="45"/>
      <c r="J24" s="45">
        <f>332000*0.04</f>
        <v>13280</v>
      </c>
      <c r="K24" s="20"/>
      <c r="L24" s="30">
        <f>332000*0.01</f>
        <v>3320</v>
      </c>
      <c r="M24" s="47">
        <f t="shared" si="0"/>
        <v>0</v>
      </c>
      <c r="N24" s="48">
        <f t="shared" si="1"/>
        <v>249000</v>
      </c>
      <c r="O24" s="21">
        <f>332000*0.25</f>
        <v>83000</v>
      </c>
    </row>
    <row r="25" spans="1:16" x14ac:dyDescent="0.25">
      <c r="A25" s="9" t="s">
        <v>68</v>
      </c>
      <c r="C25" s="43"/>
      <c r="D25" s="45">
        <f>275000*0.69</f>
        <v>189749.99999999997</v>
      </c>
      <c r="E25" s="43"/>
      <c r="F25" s="45">
        <f>275000*0.11</f>
        <v>30250</v>
      </c>
      <c r="G25" s="43"/>
      <c r="H25" s="44">
        <f>275000*0.2</f>
        <v>55000</v>
      </c>
      <c r="I25" s="45"/>
      <c r="J25" s="45"/>
      <c r="K25" s="20"/>
      <c r="L25" s="30"/>
      <c r="M25" s="47">
        <f t="shared" si="0"/>
        <v>0</v>
      </c>
      <c r="N25" s="48">
        <f t="shared" si="1"/>
        <v>275000</v>
      </c>
      <c r="O25" s="21"/>
    </row>
    <row r="26" spans="1:16" x14ac:dyDescent="0.25">
      <c r="A26" s="9" t="s">
        <v>69</v>
      </c>
      <c r="C26" s="43"/>
      <c r="D26" s="45">
        <f>218000*0.65</f>
        <v>141700</v>
      </c>
      <c r="E26" s="43"/>
      <c r="F26" s="45">
        <f>218000*0.1</f>
        <v>21800</v>
      </c>
      <c r="G26" s="43"/>
      <c r="H26" s="44">
        <f>218000*0.19</f>
        <v>41420</v>
      </c>
      <c r="I26" s="45"/>
      <c r="J26" s="45">
        <f>218000*0.05</f>
        <v>10900</v>
      </c>
      <c r="K26" s="20"/>
      <c r="L26" s="30">
        <f>218000*0.01</f>
        <v>2180</v>
      </c>
      <c r="M26" s="47"/>
      <c r="N26" s="48">
        <f t="shared" si="1"/>
        <v>218000</v>
      </c>
      <c r="O26" s="21"/>
    </row>
    <row r="27" spans="1:16" x14ac:dyDescent="0.25">
      <c r="A27" s="9" t="s">
        <v>70</v>
      </c>
      <c r="C27" s="18"/>
      <c r="D27" s="98">
        <f>1270000*0.65</f>
        <v>825500</v>
      </c>
      <c r="E27" s="18"/>
      <c r="F27" s="98">
        <f>1270000*0.1</f>
        <v>127000</v>
      </c>
      <c r="G27" s="18"/>
      <c r="H27" s="120">
        <f>1270000*0.19</f>
        <v>241300</v>
      </c>
      <c r="I27" s="28"/>
      <c r="J27" s="98">
        <f>1270000*0.05</f>
        <v>63500</v>
      </c>
      <c r="K27" s="18"/>
      <c r="L27" s="102">
        <f>1270000*0.01</f>
        <v>12700</v>
      </c>
      <c r="M27" s="47"/>
      <c r="N27" s="48">
        <f t="shared" si="1"/>
        <v>1270000</v>
      </c>
      <c r="O27" s="21"/>
    </row>
    <row r="28" spans="1:16" ht="13.8" thickBot="1" x14ac:dyDescent="0.3">
      <c r="A28" s="104"/>
      <c r="B28" s="54"/>
      <c r="C28" s="91"/>
      <c r="D28" s="100"/>
      <c r="E28" s="91"/>
      <c r="F28" s="100"/>
      <c r="G28" s="91"/>
      <c r="H28" s="119"/>
      <c r="I28" s="54"/>
      <c r="J28" s="100"/>
      <c r="K28" s="91"/>
      <c r="L28" s="111"/>
      <c r="M28" s="57"/>
      <c r="N28" s="59">
        <f t="shared" si="1"/>
        <v>0</v>
      </c>
      <c r="O28" s="23"/>
    </row>
    <row r="29" spans="1:16" x14ac:dyDescent="0.25">
      <c r="A29" s="11" t="s">
        <v>22</v>
      </c>
      <c r="C29" s="18"/>
      <c r="D29" s="98"/>
      <c r="E29" s="18"/>
      <c r="F29" s="98"/>
      <c r="G29" s="2"/>
      <c r="H29" s="133"/>
      <c r="I29" s="2"/>
      <c r="J29" s="133"/>
      <c r="K29" s="2"/>
      <c r="L29" s="134"/>
      <c r="M29" s="63"/>
      <c r="N29" s="48"/>
      <c r="O29" s="117"/>
    </row>
    <row r="30" spans="1:16" x14ac:dyDescent="0.25">
      <c r="A30" s="9" t="s">
        <v>104</v>
      </c>
      <c r="C30" s="18"/>
      <c r="D30" s="98"/>
      <c r="E30" s="18"/>
      <c r="F30" s="98"/>
      <c r="G30" s="18"/>
      <c r="H30" s="120"/>
      <c r="I30" s="18"/>
      <c r="J30" s="120"/>
      <c r="K30" s="18"/>
      <c r="L30" s="39"/>
      <c r="M30" s="63"/>
      <c r="N30" s="48"/>
      <c r="O30" s="117">
        <v>10000</v>
      </c>
    </row>
    <row r="31" spans="1:16" ht="13.8" thickBot="1" x14ac:dyDescent="0.3">
      <c r="A31" s="9"/>
      <c r="C31" s="91"/>
      <c r="D31" s="100"/>
      <c r="E31" s="91"/>
      <c r="F31" s="100"/>
      <c r="G31" s="91"/>
      <c r="H31" s="119"/>
      <c r="I31" s="91"/>
      <c r="J31" s="119"/>
      <c r="K31" s="91"/>
      <c r="L31" s="103"/>
      <c r="M31" s="63"/>
      <c r="N31" s="59"/>
      <c r="O31" s="117"/>
    </row>
    <row r="32" spans="1:16" ht="21.75" customHeight="1" thickBot="1" x14ac:dyDescent="0.3">
      <c r="A32" s="1" t="s">
        <v>26</v>
      </c>
      <c r="C32" s="97">
        <f t="shared" ref="C32:L32" si="2">SUM(C9:C27)</f>
        <v>993250</v>
      </c>
      <c r="D32" s="97">
        <f t="shared" si="2"/>
        <v>1874720</v>
      </c>
      <c r="E32" s="97">
        <f t="shared" si="2"/>
        <v>201050</v>
      </c>
      <c r="F32" s="22">
        <f t="shared" si="2"/>
        <v>307700</v>
      </c>
      <c r="G32" s="46">
        <f t="shared" si="2"/>
        <v>362600</v>
      </c>
      <c r="H32" s="124">
        <f t="shared" si="2"/>
        <v>571958</v>
      </c>
      <c r="I32" s="23">
        <f t="shared" si="2"/>
        <v>126800</v>
      </c>
      <c r="J32" s="97">
        <f t="shared" si="2"/>
        <v>114710</v>
      </c>
      <c r="K32" s="97">
        <f t="shared" si="2"/>
        <v>25575</v>
      </c>
      <c r="L32" s="22">
        <f t="shared" si="2"/>
        <v>24826</v>
      </c>
      <c r="M32" s="130">
        <f>SUM(M9:M31)</f>
        <v>1709275</v>
      </c>
      <c r="N32" s="116">
        <f>SUM(N9:N31)</f>
        <v>2893914</v>
      </c>
      <c r="O32" s="42">
        <f>SUM(O8:O30)</f>
        <v>497075</v>
      </c>
    </row>
    <row r="33" spans="1:13" x14ac:dyDescent="0.25">
      <c r="C33" s="8"/>
      <c r="D33" s="8"/>
      <c r="E33" s="8"/>
      <c r="F33" s="8"/>
      <c r="G33" s="26"/>
      <c r="H33" s="26"/>
      <c r="I33" s="8"/>
      <c r="J33" s="8"/>
      <c r="M33" s="63"/>
    </row>
    <row r="34" spans="1:13" x14ac:dyDescent="0.25">
      <c r="C34" s="8"/>
      <c r="D34" s="8"/>
      <c r="E34" s="8"/>
      <c r="F34" s="8"/>
      <c r="G34" s="26"/>
      <c r="H34" s="26"/>
      <c r="I34" s="8"/>
      <c r="J34" s="8"/>
      <c r="K34" s="8"/>
      <c r="L34" s="8"/>
      <c r="M34" s="63"/>
    </row>
    <row r="35" spans="1:13" x14ac:dyDescent="0.25">
      <c r="A35" s="14" t="str">
        <f ca="1">CELL("filename")</f>
        <v>P:\IT MS Financial\njc\2002 Plan\[CAPITAL WORKSHEET.xls]F &amp; A</v>
      </c>
      <c r="B35" s="33"/>
      <c r="C35" s="34"/>
      <c r="D35" s="8"/>
      <c r="E35" s="8"/>
      <c r="F35" s="8"/>
      <c r="G35" s="26"/>
      <c r="H35" s="26"/>
      <c r="I35" s="8"/>
      <c r="J35" s="8"/>
      <c r="K35" s="8"/>
      <c r="L35" s="8"/>
      <c r="M35" s="63"/>
    </row>
    <row r="36" spans="1:13" x14ac:dyDescent="0.25">
      <c r="A36" s="33" t="s">
        <v>105</v>
      </c>
      <c r="B36" s="33"/>
      <c r="C36" s="34"/>
      <c r="D36" s="8"/>
      <c r="E36" s="8"/>
      <c r="F36" s="8"/>
      <c r="G36" s="26"/>
      <c r="H36" s="26"/>
      <c r="I36" s="8"/>
      <c r="J36" s="8"/>
      <c r="K36" s="8"/>
      <c r="L36" s="8"/>
      <c r="M36" s="63"/>
    </row>
    <row r="37" spans="1:13" x14ac:dyDescent="0.25">
      <c r="A37" s="33"/>
      <c r="B37" s="33"/>
      <c r="C37" s="34"/>
      <c r="D37" s="8"/>
      <c r="E37" s="8"/>
      <c r="F37" s="8"/>
      <c r="G37" s="26"/>
      <c r="H37" s="26"/>
      <c r="I37" s="8"/>
      <c r="J37" s="8"/>
      <c r="K37" s="8"/>
      <c r="L37" s="8"/>
      <c r="M37" s="63"/>
    </row>
    <row r="38" spans="1:13" x14ac:dyDescent="0.25">
      <c r="C38" s="8"/>
      <c r="D38" s="8"/>
      <c r="E38" s="8"/>
      <c r="F38" s="8"/>
      <c r="G38" s="26"/>
      <c r="H38" s="26"/>
      <c r="I38" s="8"/>
      <c r="J38" s="8"/>
      <c r="K38" s="8"/>
      <c r="L38" s="8"/>
      <c r="M38" s="63"/>
    </row>
    <row r="39" spans="1:13" x14ac:dyDescent="0.25">
      <c r="C39" s="8"/>
      <c r="D39" s="8"/>
      <c r="E39" s="8"/>
      <c r="F39" s="8"/>
      <c r="G39" s="26"/>
      <c r="H39" s="26"/>
      <c r="I39" s="8"/>
      <c r="J39" s="8"/>
      <c r="K39" s="8"/>
      <c r="L39" s="8"/>
      <c r="M39" s="63"/>
    </row>
    <row r="40" spans="1:13" x14ac:dyDescent="0.25">
      <c r="C40" s="8"/>
      <c r="D40" s="8"/>
      <c r="E40" s="8"/>
      <c r="F40" s="8"/>
      <c r="G40" s="26"/>
      <c r="H40" s="26"/>
      <c r="I40" s="8"/>
      <c r="J40" s="8"/>
      <c r="K40" s="8"/>
      <c r="L40" s="8"/>
      <c r="M40" s="63"/>
    </row>
    <row r="41" spans="1:13" x14ac:dyDescent="0.25">
      <c r="C41" s="8"/>
      <c r="D41" s="8"/>
      <c r="E41" s="8"/>
      <c r="F41" s="8"/>
      <c r="G41" s="26"/>
      <c r="H41" s="26"/>
      <c r="I41" s="8"/>
      <c r="J41" s="8"/>
      <c r="K41" s="8"/>
      <c r="L41" s="8"/>
      <c r="M41" s="63"/>
    </row>
    <row r="42" spans="1:13" x14ac:dyDescent="0.25">
      <c r="C42" s="8"/>
      <c r="D42" s="8"/>
      <c r="E42" s="8"/>
      <c r="F42" s="8"/>
      <c r="G42" s="26"/>
      <c r="H42" s="26"/>
      <c r="I42" s="8"/>
      <c r="J42" s="8"/>
      <c r="K42" s="8"/>
      <c r="L42" s="8"/>
      <c r="M42" s="63"/>
    </row>
    <row r="43" spans="1:13" x14ac:dyDescent="0.25">
      <c r="C43" s="8"/>
      <c r="D43" s="8"/>
      <c r="E43" s="8"/>
      <c r="F43" s="8"/>
      <c r="G43" s="26"/>
      <c r="H43" s="26"/>
      <c r="I43" s="8"/>
      <c r="J43" s="8"/>
      <c r="K43" s="8"/>
      <c r="L43" s="8"/>
      <c r="M43" s="63"/>
    </row>
    <row r="44" spans="1:13" x14ac:dyDescent="0.25">
      <c r="C44" s="8"/>
      <c r="D44" s="8"/>
      <c r="E44" s="8"/>
      <c r="F44" s="8"/>
      <c r="G44" s="26"/>
      <c r="H44" s="26"/>
      <c r="I44" s="8"/>
      <c r="J44" s="8"/>
      <c r="K44" s="8"/>
      <c r="L44" s="8"/>
    </row>
    <row r="45" spans="1:13" x14ac:dyDescent="0.25">
      <c r="C45" s="8"/>
      <c r="D45" s="8"/>
      <c r="E45" s="8"/>
      <c r="F45" s="8"/>
      <c r="G45" s="26"/>
      <c r="H45" s="26"/>
      <c r="I45" s="8"/>
      <c r="J45" s="8"/>
      <c r="K45" s="8"/>
      <c r="L45" s="8"/>
    </row>
    <row r="46" spans="1:13" x14ac:dyDescent="0.25">
      <c r="C46" s="8"/>
      <c r="D46" s="8"/>
      <c r="E46" s="8"/>
      <c r="F46" s="8"/>
      <c r="G46" s="26"/>
      <c r="H46" s="26"/>
      <c r="I46" s="8"/>
      <c r="J46" s="8"/>
      <c r="K46" s="8"/>
      <c r="L46" s="8"/>
    </row>
    <row r="47" spans="1:13" x14ac:dyDescent="0.25">
      <c r="C47" s="8"/>
      <c r="D47" s="8"/>
      <c r="E47" s="8"/>
      <c r="F47" s="8"/>
      <c r="G47" s="26"/>
      <c r="H47" s="26"/>
      <c r="I47" s="8"/>
      <c r="J47" s="8"/>
      <c r="K47" s="8"/>
      <c r="L47" s="8"/>
    </row>
    <row r="48" spans="1:13" x14ac:dyDescent="0.25">
      <c r="C48" s="8"/>
      <c r="D48" s="8"/>
      <c r="E48" s="8"/>
      <c r="F48" s="8"/>
      <c r="G48" s="26"/>
      <c r="H48" s="26"/>
      <c r="I48" s="8"/>
      <c r="J48" s="8"/>
      <c r="K48" s="8"/>
      <c r="L48" s="8"/>
    </row>
    <row r="49" spans="3:13" x14ac:dyDescent="0.25">
      <c r="C49" s="8"/>
      <c r="D49" s="8"/>
      <c r="E49" s="8"/>
      <c r="F49" s="8"/>
      <c r="G49" s="26"/>
      <c r="H49" s="26"/>
      <c r="I49" s="8"/>
      <c r="J49" s="8"/>
      <c r="K49" s="8"/>
      <c r="L49" s="8"/>
    </row>
    <row r="50" spans="3:13" x14ac:dyDescent="0.25">
      <c r="C50" s="8"/>
      <c r="D50" s="8"/>
      <c r="E50" s="8"/>
      <c r="F50" s="8"/>
      <c r="G50" s="26"/>
      <c r="H50" s="26"/>
      <c r="I50" s="8"/>
      <c r="J50" s="8"/>
      <c r="K50" s="8"/>
      <c r="L50" s="8"/>
    </row>
    <row r="56" spans="3:13" x14ac:dyDescent="0.25">
      <c r="M56" s="63"/>
    </row>
  </sheetData>
  <mergeCells count="12">
    <mergeCell ref="M6:N6"/>
    <mergeCell ref="K6:L6"/>
    <mergeCell ref="C6:D6"/>
    <mergeCell ref="E6:F6"/>
    <mergeCell ref="G6:H6"/>
    <mergeCell ref="I6:J6"/>
    <mergeCell ref="C5:L5"/>
    <mergeCell ref="N5:O5"/>
    <mergeCell ref="A1:L1"/>
    <mergeCell ref="A2:L2"/>
    <mergeCell ref="A3:L3"/>
    <mergeCell ref="A4:L4"/>
  </mergeCells>
  <phoneticPr fontId="0" type="noConversion"/>
  <printOptions horizontalCentered="1"/>
  <pageMargins left="0.75" right="0.7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5" workbookViewId="0">
      <selection activeCell="A16" sqref="A16"/>
    </sheetView>
  </sheetViews>
  <sheetFormatPr defaultRowHeight="13.2" x14ac:dyDescent="0.25"/>
  <cols>
    <col min="1" max="1" width="31" customWidth="1"/>
    <col min="2" max="2" width="2.109375" customWidth="1"/>
    <col min="3" max="3" width="10.88671875" bestFit="1" customWidth="1"/>
    <col min="4" max="4" width="10" customWidth="1"/>
    <col min="5" max="5" width="10" bestFit="1" customWidth="1"/>
    <col min="6" max="6" width="7.5546875" bestFit="1" customWidth="1"/>
    <col min="7" max="8" width="9.109375" style="28" customWidth="1"/>
    <col min="9" max="9" width="10.44140625" bestFit="1" customWidth="1"/>
    <col min="11" max="11" width="10" bestFit="1" customWidth="1"/>
    <col min="12" max="12" width="7.5546875" bestFit="1" customWidth="1"/>
    <col min="13" max="13" width="10.88671875" style="28" bestFit="1" customWidth="1"/>
    <col min="14" max="14" width="10" customWidth="1"/>
  </cols>
  <sheetData>
    <row r="1" spans="1:15" ht="15.6" x14ac:dyDescent="0.3">
      <c r="A1" s="136" t="s">
        <v>21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5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5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1:15" ht="16.2" thickBo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8" thickBot="1" x14ac:dyDescent="0.3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8" thickBot="1" x14ac:dyDescent="0.3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8" thickBot="1" x14ac:dyDescent="0.3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6" t="s">
        <v>0</v>
      </c>
      <c r="L7" s="61" t="s">
        <v>1</v>
      </c>
      <c r="M7" s="6" t="s">
        <v>0</v>
      </c>
      <c r="N7" s="7" t="s">
        <v>1</v>
      </c>
    </row>
    <row r="8" spans="1:15" x14ac:dyDescent="0.25">
      <c r="C8" s="18"/>
      <c r="D8" s="19"/>
      <c r="E8" s="18"/>
      <c r="F8" s="28"/>
      <c r="G8" s="2"/>
      <c r="H8" s="3"/>
      <c r="I8" s="28"/>
      <c r="J8" s="19"/>
      <c r="K8" s="18"/>
      <c r="L8" s="28"/>
      <c r="M8" s="2"/>
      <c r="N8" s="3"/>
      <c r="O8" s="28"/>
    </row>
    <row r="9" spans="1:15" x14ac:dyDescent="0.25">
      <c r="A9" s="9"/>
      <c r="C9" s="20"/>
      <c r="D9" s="21"/>
      <c r="E9" s="20"/>
      <c r="F9" s="30"/>
      <c r="G9" s="20"/>
      <c r="H9" s="21"/>
      <c r="I9" s="30"/>
      <c r="J9" s="21"/>
      <c r="K9" s="20"/>
      <c r="L9" s="30"/>
      <c r="M9" s="20"/>
      <c r="N9" s="21"/>
      <c r="O9" s="28"/>
    </row>
    <row r="10" spans="1:15" x14ac:dyDescent="0.25">
      <c r="A10" s="9"/>
      <c r="C10" s="20"/>
      <c r="D10" s="21"/>
      <c r="E10" s="20"/>
      <c r="F10" s="30"/>
      <c r="G10" s="20"/>
      <c r="H10" s="21"/>
      <c r="I10" s="30"/>
      <c r="J10" s="21"/>
      <c r="K10" s="20"/>
      <c r="L10" s="30"/>
      <c r="M10" s="43">
        <f t="shared" ref="M10:N12" si="0">C10+E10+G10+I10+K10</f>
        <v>0</v>
      </c>
      <c r="N10" s="44">
        <f t="shared" si="0"/>
        <v>0</v>
      </c>
      <c r="O10" s="28"/>
    </row>
    <row r="11" spans="1:15" x14ac:dyDescent="0.25">
      <c r="A11" s="9" t="s">
        <v>48</v>
      </c>
      <c r="C11" s="20"/>
      <c r="D11" s="21">
        <f>10000</f>
        <v>10000</v>
      </c>
      <c r="E11" s="20"/>
      <c r="F11" s="30"/>
      <c r="G11" s="20"/>
      <c r="H11" s="21"/>
      <c r="I11" s="30"/>
      <c r="J11" s="21"/>
      <c r="K11" s="20"/>
      <c r="L11" s="30"/>
      <c r="M11" s="43">
        <f>SUM(K11,I11,G11,E11,C11)</f>
        <v>0</v>
      </c>
      <c r="N11" s="44">
        <f>SUM(L11,J11,H11,F11,D11)</f>
        <v>10000</v>
      </c>
      <c r="O11" s="28"/>
    </row>
    <row r="12" spans="1:15" ht="13.8" thickBot="1" x14ac:dyDescent="0.3">
      <c r="A12" s="11"/>
      <c r="C12" s="22"/>
      <c r="D12" s="23"/>
      <c r="E12" s="22"/>
      <c r="F12" s="31"/>
      <c r="G12" s="22"/>
      <c r="H12" s="23"/>
      <c r="I12" s="31"/>
      <c r="J12" s="23"/>
      <c r="K12" s="22"/>
      <c r="L12" s="31"/>
      <c r="M12" s="109">
        <f t="shared" ref="M12:M25" si="1">SUM(K12,I12,G12,E12,C12)</f>
        <v>0</v>
      </c>
      <c r="N12" s="110">
        <f t="shared" si="0"/>
        <v>0</v>
      </c>
      <c r="O12" s="28"/>
    </row>
    <row r="13" spans="1:15" ht="13.8" thickBot="1" x14ac:dyDescent="0.3">
      <c r="A13" s="1" t="s">
        <v>27</v>
      </c>
      <c r="C13" s="41">
        <f>SUM(C9:C12)</f>
        <v>0</v>
      </c>
      <c r="D13" s="41">
        <f t="shared" ref="D13:N13" si="2">SUM(D9:D12)</f>
        <v>10000</v>
      </c>
      <c r="E13" s="41">
        <f t="shared" si="2"/>
        <v>0</v>
      </c>
      <c r="F13" s="89">
        <f t="shared" si="2"/>
        <v>0</v>
      </c>
      <c r="G13" s="41">
        <f t="shared" si="2"/>
        <v>0</v>
      </c>
      <c r="H13" s="41">
        <f t="shared" si="2"/>
        <v>0</v>
      </c>
      <c r="I13" s="85">
        <f t="shared" si="2"/>
        <v>0</v>
      </c>
      <c r="J13" s="41">
        <f t="shared" si="2"/>
        <v>0</v>
      </c>
      <c r="K13" s="41">
        <f t="shared" si="2"/>
        <v>0</v>
      </c>
      <c r="L13" s="89">
        <f t="shared" si="2"/>
        <v>0</v>
      </c>
      <c r="M13" s="129">
        <f t="shared" si="1"/>
        <v>0</v>
      </c>
      <c r="N13" s="41">
        <f t="shared" si="2"/>
        <v>10000</v>
      </c>
      <c r="O13" s="28"/>
    </row>
    <row r="14" spans="1:15" x14ac:dyDescent="0.25">
      <c r="A14" s="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45">
        <f t="shared" si="1"/>
        <v>0</v>
      </c>
      <c r="N14" s="30"/>
      <c r="O14" s="28"/>
    </row>
    <row r="15" spans="1:15" x14ac:dyDescent="0.25">
      <c r="A15" s="14" t="str">
        <f ca="1">CELL("filename")</f>
        <v>P:\IT MS Financial\njc\2002 Plan\[CAPITAL WORKSHEET.xls]F &amp; A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45">
        <f t="shared" si="1"/>
        <v>0</v>
      </c>
      <c r="N15" s="30"/>
      <c r="O15" s="28"/>
    </row>
    <row r="16" spans="1:15" x14ac:dyDescent="0.25">
      <c r="A16" s="9" t="s">
        <v>105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45">
        <f t="shared" si="1"/>
        <v>0</v>
      </c>
      <c r="N16" s="30"/>
      <c r="O16" s="28"/>
    </row>
    <row r="17" spans="3:19" x14ac:dyDescent="0.25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45">
        <f t="shared" si="1"/>
        <v>0</v>
      </c>
      <c r="N17" s="30"/>
      <c r="O17" s="28"/>
    </row>
    <row r="18" spans="3:19" x14ac:dyDescent="0.25"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45">
        <f t="shared" si="1"/>
        <v>0</v>
      </c>
      <c r="N18" s="30"/>
      <c r="O18" s="28"/>
    </row>
    <row r="19" spans="3:19" x14ac:dyDescent="0.25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45">
        <f t="shared" si="1"/>
        <v>0</v>
      </c>
      <c r="N19" s="30"/>
      <c r="O19" s="28"/>
    </row>
    <row r="20" spans="3:19" x14ac:dyDescent="0.25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45">
        <f t="shared" si="1"/>
        <v>0</v>
      </c>
      <c r="N20" s="30"/>
      <c r="O20" s="28"/>
    </row>
    <row r="21" spans="3:19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45">
        <f t="shared" si="1"/>
        <v>0</v>
      </c>
      <c r="N21" s="30"/>
      <c r="O21" s="28"/>
    </row>
    <row r="22" spans="3:19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45">
        <f t="shared" si="1"/>
        <v>0</v>
      </c>
      <c r="N22" s="30"/>
      <c r="O22" s="28"/>
      <c r="P22" s="28"/>
      <c r="Q22" s="28"/>
      <c r="R22" s="28"/>
      <c r="S22" s="28"/>
    </row>
    <row r="23" spans="3:19" x14ac:dyDescent="0.25">
      <c r="C23" s="10"/>
      <c r="D23" s="10"/>
      <c r="E23" s="10"/>
      <c r="F23" s="10"/>
      <c r="G23" s="30"/>
      <c r="H23" s="30"/>
      <c r="I23" s="10"/>
      <c r="J23" s="10"/>
      <c r="M23" s="45">
        <f t="shared" si="1"/>
        <v>0</v>
      </c>
      <c r="N23" s="28"/>
    </row>
    <row r="24" spans="3:19" x14ac:dyDescent="0.25">
      <c r="C24" s="10"/>
      <c r="D24" s="10"/>
      <c r="E24" s="10"/>
      <c r="F24" s="10"/>
      <c r="G24" s="30"/>
      <c r="H24" s="30"/>
      <c r="I24" s="10"/>
      <c r="J24" s="10"/>
      <c r="K24" s="10"/>
      <c r="L24" s="10"/>
      <c r="M24" s="45">
        <f t="shared" si="1"/>
        <v>0</v>
      </c>
      <c r="N24" s="28"/>
    </row>
    <row r="25" spans="3:19" x14ac:dyDescent="0.25">
      <c r="C25" s="10"/>
      <c r="D25" s="10"/>
      <c r="E25" s="10"/>
      <c r="F25" s="10"/>
      <c r="G25" s="30"/>
      <c r="H25" s="30"/>
      <c r="I25" s="10"/>
      <c r="J25" s="10"/>
      <c r="K25" s="10"/>
      <c r="L25" s="10"/>
      <c r="M25" s="45">
        <f t="shared" si="1"/>
        <v>0</v>
      </c>
      <c r="N25" s="28"/>
    </row>
    <row r="26" spans="3:19" x14ac:dyDescent="0.25">
      <c r="C26" s="10"/>
      <c r="D26" s="10"/>
      <c r="E26" s="10"/>
      <c r="F26" s="10"/>
      <c r="G26" s="30"/>
      <c r="H26" s="30"/>
      <c r="I26" s="10"/>
      <c r="J26" s="10"/>
      <c r="K26" s="10"/>
      <c r="L26" s="10"/>
      <c r="M26" s="45"/>
    </row>
    <row r="27" spans="3:19" x14ac:dyDescent="0.25">
      <c r="C27" s="10"/>
      <c r="D27" s="10"/>
      <c r="E27" s="10"/>
      <c r="F27" s="10"/>
      <c r="G27" s="30"/>
      <c r="H27" s="30"/>
      <c r="I27" s="10"/>
      <c r="J27" s="10"/>
      <c r="K27" s="10"/>
      <c r="L27" s="10"/>
      <c r="M27" s="45"/>
    </row>
    <row r="28" spans="3:19" x14ac:dyDescent="0.25">
      <c r="C28" s="10"/>
      <c r="D28" s="10"/>
      <c r="E28" s="10"/>
      <c r="F28" s="10"/>
      <c r="G28" s="30"/>
      <c r="H28" s="30"/>
      <c r="I28" s="10"/>
      <c r="J28" s="10"/>
      <c r="K28" s="10"/>
      <c r="L28" s="10"/>
      <c r="M28" s="45"/>
    </row>
    <row r="29" spans="3:19" x14ac:dyDescent="0.25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45"/>
    </row>
    <row r="30" spans="3:19" x14ac:dyDescent="0.25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45"/>
    </row>
    <row r="31" spans="3:19" x14ac:dyDescent="0.25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45"/>
    </row>
    <row r="32" spans="3:19" x14ac:dyDescent="0.25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45"/>
    </row>
    <row r="33" spans="3:13" x14ac:dyDescent="0.25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45"/>
    </row>
    <row r="34" spans="3:13" x14ac:dyDescent="0.25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45"/>
    </row>
    <row r="35" spans="3:13" x14ac:dyDescent="0.25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45"/>
    </row>
    <row r="36" spans="3:13" x14ac:dyDescent="0.25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45"/>
    </row>
    <row r="37" spans="3:13" x14ac:dyDescent="0.25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45"/>
    </row>
    <row r="38" spans="3:13" x14ac:dyDescent="0.25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45"/>
    </row>
    <row r="39" spans="3:13" x14ac:dyDescent="0.25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45"/>
    </row>
    <row r="40" spans="3:13" x14ac:dyDescent="0.25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45"/>
    </row>
    <row r="41" spans="3:13" x14ac:dyDescent="0.25">
      <c r="M41" s="45"/>
    </row>
    <row r="42" spans="3:13" x14ac:dyDescent="0.25">
      <c r="M42" s="45"/>
    </row>
    <row r="43" spans="3:13" x14ac:dyDescent="0.25">
      <c r="M43" s="45"/>
    </row>
    <row r="56" spans="13:13" x14ac:dyDescent="0.25">
      <c r="M56" s="127"/>
    </row>
  </sheetData>
  <mergeCells count="11">
    <mergeCell ref="I6:J6"/>
    <mergeCell ref="A4:L4"/>
    <mergeCell ref="A1:N1"/>
    <mergeCell ref="A2:N2"/>
    <mergeCell ref="A3:N3"/>
    <mergeCell ref="K6:L6"/>
    <mergeCell ref="M6:N6"/>
    <mergeCell ref="C5:N5"/>
    <mergeCell ref="C6:D6"/>
    <mergeCell ref="E6:F6"/>
    <mergeCell ref="G6:H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75" workbookViewId="0">
      <pane xSplit="2" ySplit="7" topLeftCell="C8" activePane="bottomRight" state="frozen"/>
      <selection activeCell="O13" sqref="O13"/>
      <selection pane="topRight" activeCell="O13" sqref="O13"/>
      <selection pane="bottomLeft" activeCell="O13" sqref="O13"/>
      <selection pane="bottomRight" activeCell="A25" sqref="A25"/>
    </sheetView>
  </sheetViews>
  <sheetFormatPr defaultRowHeight="13.2" x14ac:dyDescent="0.25"/>
  <cols>
    <col min="1" max="1" width="31" customWidth="1"/>
    <col min="2" max="2" width="2.109375" customWidth="1"/>
    <col min="3" max="3" width="10.88671875" bestFit="1" customWidth="1"/>
    <col min="4" max="4" width="11.109375" bestFit="1" customWidth="1"/>
    <col min="5" max="5" width="10" bestFit="1" customWidth="1"/>
    <col min="6" max="6" width="10.88671875" bestFit="1" customWidth="1"/>
    <col min="7" max="7" width="10.88671875" style="28" bestFit="1" customWidth="1"/>
    <col min="8" max="8" width="10.44140625" style="28" bestFit="1" customWidth="1"/>
    <col min="9" max="9" width="10.44140625" bestFit="1" customWidth="1"/>
    <col min="11" max="11" width="10" bestFit="1" customWidth="1"/>
    <col min="12" max="12" width="7.5546875" bestFit="1" customWidth="1"/>
    <col min="13" max="13" width="10.88671875" style="28" bestFit="1" customWidth="1"/>
    <col min="14" max="14" width="11.5546875" bestFit="1" customWidth="1"/>
  </cols>
  <sheetData>
    <row r="1" spans="1:15" ht="15.6" x14ac:dyDescent="0.3">
      <c r="A1" s="136" t="s">
        <v>29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5" ht="15.6" x14ac:dyDescent="0.3">
      <c r="A2" s="136" t="s">
        <v>6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5" ht="15.6" x14ac:dyDescent="0.3">
      <c r="A3" s="136" t="s">
        <v>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5" ht="16.2" thickBot="1" x14ac:dyDescent="0.3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5" ht="13.8" thickBot="1" x14ac:dyDescent="0.3">
      <c r="C5" s="137">
        <v>2002</v>
      </c>
      <c r="D5" s="140"/>
      <c r="E5" s="140"/>
      <c r="F5" s="140"/>
      <c r="G5" s="141"/>
      <c r="H5" s="141"/>
      <c r="I5" s="140"/>
      <c r="J5" s="140"/>
      <c r="K5" s="140"/>
      <c r="L5" s="140"/>
      <c r="M5" s="140"/>
      <c r="N5" s="138"/>
    </row>
    <row r="6" spans="1:15" ht="13.8" thickBot="1" x14ac:dyDescent="0.3">
      <c r="A6" s="12"/>
      <c r="C6" s="137" t="s">
        <v>2</v>
      </c>
      <c r="D6" s="138"/>
      <c r="E6" s="137" t="s">
        <v>3</v>
      </c>
      <c r="F6" s="138"/>
      <c r="G6" s="137" t="s">
        <v>4</v>
      </c>
      <c r="H6" s="138"/>
      <c r="I6" s="137" t="s">
        <v>5</v>
      </c>
      <c r="J6" s="138"/>
      <c r="K6" s="137" t="s">
        <v>13</v>
      </c>
      <c r="L6" s="138"/>
      <c r="M6" s="137" t="s">
        <v>31</v>
      </c>
      <c r="N6" s="138"/>
    </row>
    <row r="7" spans="1:15" ht="13.8" thickBot="1" x14ac:dyDescent="0.3">
      <c r="A7" s="13" t="s">
        <v>12</v>
      </c>
      <c r="C7" s="6" t="s">
        <v>0</v>
      </c>
      <c r="D7" s="7" t="s">
        <v>1</v>
      </c>
      <c r="E7" s="6" t="s">
        <v>0</v>
      </c>
      <c r="F7" s="61" t="s">
        <v>1</v>
      </c>
      <c r="G7" s="101" t="s">
        <v>0</v>
      </c>
      <c r="H7" s="88" t="s">
        <v>1</v>
      </c>
      <c r="I7" s="61" t="s">
        <v>0</v>
      </c>
      <c r="J7" s="7" t="s">
        <v>1</v>
      </c>
      <c r="K7" s="101" t="s">
        <v>0</v>
      </c>
      <c r="L7" s="114" t="s">
        <v>1</v>
      </c>
      <c r="M7" s="6" t="s">
        <v>0</v>
      </c>
      <c r="N7" s="7" t="s">
        <v>1</v>
      </c>
    </row>
    <row r="8" spans="1:15" x14ac:dyDescent="0.25">
      <c r="C8" s="18"/>
      <c r="D8" s="19"/>
      <c r="E8" s="18"/>
      <c r="F8" s="28"/>
      <c r="G8" s="2"/>
      <c r="H8" s="3"/>
      <c r="I8" s="28"/>
      <c r="J8" s="28"/>
      <c r="K8" s="2"/>
      <c r="L8" s="29"/>
      <c r="M8" s="2"/>
      <c r="N8" s="3"/>
      <c r="O8" s="28"/>
    </row>
    <row r="9" spans="1:15" x14ac:dyDescent="0.25">
      <c r="A9" s="9" t="s">
        <v>49</v>
      </c>
      <c r="C9" s="20"/>
      <c r="D9" s="21"/>
      <c r="E9" s="18"/>
      <c r="F9" s="30">
        <f>5000</f>
        <v>5000</v>
      </c>
      <c r="G9" s="20">
        <v>0</v>
      </c>
      <c r="H9" s="21"/>
      <c r="I9" s="30">
        <v>0</v>
      </c>
      <c r="J9" s="30"/>
      <c r="K9" s="20">
        <v>0</v>
      </c>
      <c r="L9" s="30"/>
      <c r="M9" s="20">
        <f>SUM(K9,I9,G9,E9,C9)</f>
        <v>0</v>
      </c>
      <c r="N9" s="21">
        <f>SUM(L9,J9,H9,F9,D9)</f>
        <v>5000</v>
      </c>
      <c r="O9" s="28"/>
    </row>
    <row r="10" spans="1:15" x14ac:dyDescent="0.25">
      <c r="A10" s="9" t="s">
        <v>49</v>
      </c>
      <c r="C10" s="18"/>
      <c r="D10" s="21">
        <f>5000</f>
        <v>5000</v>
      </c>
      <c r="E10" s="20"/>
      <c r="F10" s="30"/>
      <c r="G10" s="20"/>
      <c r="H10" s="21"/>
      <c r="I10" s="30"/>
      <c r="J10" s="30"/>
      <c r="K10" s="20"/>
      <c r="L10" s="30"/>
      <c r="M10" s="20">
        <f t="shared" ref="M10:M17" si="0">SUM(K10,I10,G10,E10,C10)</f>
        <v>0</v>
      </c>
      <c r="N10" s="21">
        <f t="shared" ref="N10:N17" si="1">SUM(L10,J10,H10,F10,D10)</f>
        <v>5000</v>
      </c>
      <c r="O10" s="28"/>
    </row>
    <row r="11" spans="1:15" x14ac:dyDescent="0.25">
      <c r="A11" s="9" t="s">
        <v>49</v>
      </c>
      <c r="C11" s="18"/>
      <c r="D11" s="21">
        <f>25000</f>
        <v>25000</v>
      </c>
      <c r="E11" s="20"/>
      <c r="F11" s="30"/>
      <c r="G11" s="20"/>
      <c r="H11" s="21"/>
      <c r="I11" s="30"/>
      <c r="J11" s="30"/>
      <c r="K11" s="20"/>
      <c r="L11" s="30"/>
      <c r="M11" s="20">
        <f t="shared" si="0"/>
        <v>0</v>
      </c>
      <c r="N11" s="21">
        <f t="shared" si="1"/>
        <v>25000</v>
      </c>
      <c r="O11" s="28"/>
    </row>
    <row r="12" spans="1:15" x14ac:dyDescent="0.25">
      <c r="A12" s="9"/>
      <c r="C12" s="20"/>
      <c r="D12" s="21"/>
      <c r="E12" s="20"/>
      <c r="F12" s="30"/>
      <c r="G12" s="20"/>
      <c r="H12" s="21"/>
      <c r="I12" s="30"/>
      <c r="J12" s="30"/>
      <c r="K12" s="20"/>
      <c r="L12" s="30"/>
      <c r="M12" s="20">
        <f t="shared" si="0"/>
        <v>0</v>
      </c>
      <c r="N12" s="21">
        <f t="shared" si="1"/>
        <v>0</v>
      </c>
      <c r="O12" s="28"/>
    </row>
    <row r="13" spans="1:15" x14ac:dyDescent="0.25">
      <c r="A13" s="9" t="s">
        <v>49</v>
      </c>
      <c r="C13" s="18"/>
      <c r="D13" s="21">
        <f>15000</f>
        <v>15000</v>
      </c>
      <c r="E13" s="20"/>
      <c r="F13" s="30"/>
      <c r="G13" s="20"/>
      <c r="H13" s="21"/>
      <c r="I13" s="30"/>
      <c r="J13" s="30"/>
      <c r="K13" s="20"/>
      <c r="L13" s="30"/>
      <c r="M13" s="20">
        <f t="shared" si="0"/>
        <v>0</v>
      </c>
      <c r="N13" s="21">
        <f t="shared" si="1"/>
        <v>15000</v>
      </c>
      <c r="O13" s="28"/>
    </row>
    <row r="14" spans="1:15" x14ac:dyDescent="0.25">
      <c r="A14" s="9" t="s">
        <v>49</v>
      </c>
      <c r="C14" s="20"/>
      <c r="D14" s="21"/>
      <c r="E14" s="20"/>
      <c r="F14" s="30"/>
      <c r="G14" s="18"/>
      <c r="H14" s="21">
        <f>40000</f>
        <v>40000</v>
      </c>
      <c r="I14" s="30"/>
      <c r="J14" s="30"/>
      <c r="K14" s="20"/>
      <c r="L14" s="30"/>
      <c r="M14" s="20">
        <f t="shared" si="0"/>
        <v>0</v>
      </c>
      <c r="N14" s="21">
        <f t="shared" si="1"/>
        <v>40000</v>
      </c>
      <c r="O14" s="28"/>
    </row>
    <row r="15" spans="1:15" x14ac:dyDescent="0.25">
      <c r="A15" s="9" t="s">
        <v>50</v>
      </c>
      <c r="C15" s="16"/>
      <c r="D15" s="17">
        <f>54000*0.546</f>
        <v>29484.000000000004</v>
      </c>
      <c r="E15" s="16"/>
      <c r="F15" s="26">
        <f>54000*0.1595</f>
        <v>8613</v>
      </c>
      <c r="G15" s="16"/>
      <c r="H15" s="17">
        <f>54000*0.2945</f>
        <v>15903</v>
      </c>
      <c r="I15" s="26"/>
      <c r="J15" s="26"/>
      <c r="K15" s="16"/>
      <c r="L15" s="26"/>
      <c r="M15" s="20">
        <f t="shared" si="0"/>
        <v>0</v>
      </c>
      <c r="N15" s="21">
        <f t="shared" si="1"/>
        <v>54000</v>
      </c>
    </row>
    <row r="16" spans="1:15" x14ac:dyDescent="0.25">
      <c r="A16" s="9" t="s">
        <v>51</v>
      </c>
      <c r="C16" s="18"/>
      <c r="D16" s="21">
        <f>50000/3</f>
        <v>16666.666666666668</v>
      </c>
      <c r="E16" s="20"/>
      <c r="F16" s="30">
        <f>50000/3</f>
        <v>16666.666666666668</v>
      </c>
      <c r="G16" s="20"/>
      <c r="H16" s="21">
        <f>50000/3</f>
        <v>16666.666666666668</v>
      </c>
      <c r="I16" s="30"/>
      <c r="J16" s="30"/>
      <c r="K16" s="20"/>
      <c r="L16" s="30"/>
      <c r="M16" s="20">
        <f t="shared" si="0"/>
        <v>0</v>
      </c>
      <c r="N16" s="21">
        <f t="shared" si="1"/>
        <v>50000</v>
      </c>
      <c r="O16" s="28"/>
    </row>
    <row r="17" spans="1:19" ht="13.8" thickBot="1" x14ac:dyDescent="0.3">
      <c r="A17" s="9" t="s">
        <v>52</v>
      </c>
      <c r="C17" s="105">
        <v>0</v>
      </c>
      <c r="D17" s="103">
        <v>216000</v>
      </c>
      <c r="E17" s="105">
        <v>0</v>
      </c>
      <c r="F17" s="111">
        <v>0</v>
      </c>
      <c r="G17" s="105">
        <v>0</v>
      </c>
      <c r="H17" s="103">
        <v>0</v>
      </c>
      <c r="I17" s="111">
        <v>0</v>
      </c>
      <c r="J17" s="111">
        <v>0</v>
      </c>
      <c r="K17" s="105">
        <v>0</v>
      </c>
      <c r="L17" s="111">
        <v>0</v>
      </c>
      <c r="M17" s="22">
        <f t="shared" si="0"/>
        <v>0</v>
      </c>
      <c r="N17" s="23">
        <f t="shared" si="1"/>
        <v>216000</v>
      </c>
    </row>
    <row r="18" spans="1:19" ht="13.8" thickBot="1" x14ac:dyDescent="0.3">
      <c r="A18" s="9" t="s">
        <v>30</v>
      </c>
      <c r="C18" s="41">
        <f t="shared" ref="C18:L18" si="2">SUM(C9:C17)</f>
        <v>0</v>
      </c>
      <c r="D18" s="41">
        <f t="shared" si="2"/>
        <v>307150.66666666669</v>
      </c>
      <c r="E18" s="41">
        <f t="shared" si="2"/>
        <v>0</v>
      </c>
      <c r="F18" s="89">
        <f>SUM(F9:F17)</f>
        <v>30279.666666666668</v>
      </c>
      <c r="G18" s="87">
        <f t="shared" si="2"/>
        <v>0</v>
      </c>
      <c r="H18" s="87">
        <f t="shared" si="2"/>
        <v>72569.666666666672</v>
      </c>
      <c r="I18" s="85">
        <f t="shared" si="2"/>
        <v>0</v>
      </c>
      <c r="J18" s="41">
        <f t="shared" si="2"/>
        <v>0</v>
      </c>
      <c r="K18" s="87">
        <f t="shared" si="2"/>
        <v>0</v>
      </c>
      <c r="L18" s="126">
        <f t="shared" si="2"/>
        <v>0</v>
      </c>
      <c r="M18" s="126">
        <f>SUM(M9:M17)</f>
        <v>0</v>
      </c>
      <c r="N18" s="41">
        <f>SUM(N9:N17)</f>
        <v>410000</v>
      </c>
      <c r="O18" s="28"/>
    </row>
    <row r="19" spans="1:19" x14ac:dyDescent="0.25">
      <c r="A19" s="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8"/>
    </row>
    <row r="20" spans="1:19" x14ac:dyDescent="0.25">
      <c r="A20" s="14" t="str">
        <f ca="1">CELL("filename")</f>
        <v>P:\IT MS Financial\njc\2002 Plan\[CAPITAL WORKSHEET.xls]F &amp; A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28"/>
    </row>
    <row r="21" spans="1:19" x14ac:dyDescent="0.25">
      <c r="A21" s="9" t="s">
        <v>105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28"/>
    </row>
    <row r="22" spans="1:19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8"/>
    </row>
    <row r="23" spans="1:19" x14ac:dyDescent="0.25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</row>
    <row r="24" spans="1:19" x14ac:dyDescent="0.25"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28"/>
    </row>
    <row r="25" spans="1:19" x14ac:dyDescent="0.25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8"/>
    </row>
    <row r="26" spans="1:19" x14ac:dyDescent="0.2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8"/>
    </row>
    <row r="27" spans="1:19" x14ac:dyDescent="0.2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8"/>
      <c r="P27" s="28"/>
      <c r="Q27" s="28"/>
      <c r="R27" s="28"/>
      <c r="S27" s="28"/>
    </row>
    <row r="28" spans="1:19" x14ac:dyDescent="0.25">
      <c r="C28" s="10"/>
      <c r="D28" s="10"/>
      <c r="E28" s="10"/>
      <c r="F28" s="10"/>
      <c r="G28" s="30"/>
      <c r="H28" s="30"/>
      <c r="I28" s="10"/>
      <c r="J28" s="10"/>
      <c r="M28" s="30"/>
    </row>
    <row r="29" spans="1:19" x14ac:dyDescent="0.25">
      <c r="C29" s="10"/>
      <c r="D29" s="10"/>
      <c r="E29" s="10"/>
      <c r="F29" s="10"/>
      <c r="G29" s="30"/>
      <c r="H29" s="30"/>
      <c r="I29" s="10"/>
      <c r="J29" s="10"/>
      <c r="K29" s="10"/>
      <c r="L29" s="10"/>
      <c r="M29" s="30"/>
    </row>
    <row r="30" spans="1:19" x14ac:dyDescent="0.25">
      <c r="C30" s="10"/>
      <c r="D30" s="10"/>
      <c r="E30" s="10"/>
      <c r="F30" s="10"/>
      <c r="G30" s="30"/>
      <c r="H30" s="30"/>
      <c r="I30" s="10"/>
      <c r="J30" s="10"/>
      <c r="K30" s="10"/>
      <c r="L30" s="10"/>
      <c r="M30" s="30"/>
    </row>
    <row r="31" spans="1:19" x14ac:dyDescent="0.25">
      <c r="C31" s="10"/>
      <c r="D31" s="10"/>
      <c r="E31" s="10"/>
      <c r="F31" s="10"/>
      <c r="G31" s="30"/>
      <c r="H31" s="30"/>
      <c r="I31" s="10"/>
      <c r="J31" s="10"/>
      <c r="K31" s="10"/>
      <c r="L31" s="10"/>
      <c r="M31" s="30"/>
    </row>
    <row r="32" spans="1:19" x14ac:dyDescent="0.25">
      <c r="C32" s="10"/>
      <c r="D32" s="10"/>
      <c r="E32" s="10"/>
      <c r="F32" s="10"/>
      <c r="G32" s="30"/>
      <c r="H32" s="30"/>
      <c r="I32" s="10"/>
      <c r="J32" s="10"/>
      <c r="K32" s="10"/>
      <c r="L32" s="10"/>
      <c r="M32" s="30"/>
    </row>
    <row r="33" spans="3:13" x14ac:dyDescent="0.25">
      <c r="C33" s="10"/>
      <c r="D33" s="10"/>
      <c r="E33" s="10"/>
      <c r="F33" s="10"/>
      <c r="G33" s="30"/>
      <c r="H33" s="30"/>
      <c r="I33" s="10"/>
      <c r="J33" s="10"/>
      <c r="K33" s="10"/>
      <c r="L33" s="10"/>
      <c r="M33" s="30"/>
    </row>
    <row r="34" spans="3:13" x14ac:dyDescent="0.25">
      <c r="C34" s="10"/>
      <c r="D34" s="10"/>
      <c r="E34" s="10"/>
      <c r="F34" s="10"/>
      <c r="G34" s="30"/>
      <c r="H34" s="30"/>
      <c r="I34" s="10"/>
      <c r="J34" s="10"/>
      <c r="K34" s="10"/>
      <c r="L34" s="10"/>
      <c r="M34" s="30"/>
    </row>
    <row r="35" spans="3:13" x14ac:dyDescent="0.25">
      <c r="C35" s="10"/>
      <c r="D35" s="10"/>
      <c r="E35" s="10"/>
      <c r="F35" s="10"/>
      <c r="G35" s="30"/>
      <c r="H35" s="30"/>
      <c r="I35" s="10"/>
      <c r="J35" s="10"/>
      <c r="K35" s="10"/>
      <c r="L35" s="10"/>
      <c r="M35" s="30"/>
    </row>
    <row r="36" spans="3:13" x14ac:dyDescent="0.25">
      <c r="C36" s="10"/>
      <c r="D36" s="10"/>
      <c r="E36" s="10"/>
      <c r="F36" s="10"/>
      <c r="G36" s="30"/>
      <c r="H36" s="30"/>
      <c r="I36" s="10"/>
      <c r="J36" s="10"/>
      <c r="K36" s="10"/>
      <c r="L36" s="10"/>
      <c r="M36" s="30"/>
    </row>
    <row r="37" spans="3:13" x14ac:dyDescent="0.25">
      <c r="C37" s="10"/>
      <c r="D37" s="10"/>
      <c r="E37" s="10"/>
      <c r="F37" s="10"/>
      <c r="G37" s="30"/>
      <c r="H37" s="30"/>
      <c r="I37" s="10"/>
      <c r="J37" s="10"/>
      <c r="K37" s="10"/>
      <c r="L37" s="10"/>
      <c r="M37" s="30"/>
    </row>
    <row r="38" spans="3:13" x14ac:dyDescent="0.25">
      <c r="C38" s="10"/>
      <c r="D38" s="10"/>
      <c r="E38" s="10"/>
      <c r="F38" s="10"/>
      <c r="G38" s="30"/>
      <c r="H38" s="30"/>
      <c r="I38" s="10"/>
      <c r="J38" s="10"/>
      <c r="K38" s="10"/>
      <c r="L38" s="10"/>
      <c r="M38" s="30"/>
    </row>
    <row r="39" spans="3:13" x14ac:dyDescent="0.25">
      <c r="C39" s="10"/>
      <c r="D39" s="10"/>
      <c r="E39" s="10"/>
      <c r="F39" s="10"/>
      <c r="G39" s="30"/>
      <c r="H39" s="30"/>
      <c r="I39" s="10"/>
      <c r="J39" s="10"/>
      <c r="K39" s="10"/>
      <c r="L39" s="10"/>
      <c r="M39" s="30"/>
    </row>
    <row r="40" spans="3:13" x14ac:dyDescent="0.25">
      <c r="C40" s="10"/>
      <c r="D40" s="10"/>
      <c r="E40" s="10"/>
      <c r="F40" s="10"/>
      <c r="G40" s="30"/>
      <c r="H40" s="30"/>
      <c r="I40" s="10"/>
      <c r="J40" s="10"/>
      <c r="K40" s="10"/>
      <c r="L40" s="10"/>
      <c r="M40" s="30"/>
    </row>
    <row r="41" spans="3:13" x14ac:dyDescent="0.25">
      <c r="C41" s="10"/>
      <c r="D41" s="10"/>
      <c r="E41" s="10"/>
      <c r="F41" s="10"/>
      <c r="G41" s="30"/>
      <c r="H41" s="30"/>
      <c r="I41" s="10"/>
      <c r="J41" s="10"/>
      <c r="K41" s="10"/>
      <c r="L41" s="10"/>
      <c r="M41" s="30"/>
    </row>
    <row r="42" spans="3:13" x14ac:dyDescent="0.25">
      <c r="C42" s="10"/>
      <c r="D42" s="10"/>
      <c r="E42" s="10"/>
      <c r="F42" s="10"/>
      <c r="G42" s="30"/>
      <c r="H42" s="30"/>
      <c r="I42" s="10"/>
      <c r="J42" s="10"/>
      <c r="K42" s="10"/>
      <c r="L42" s="10"/>
      <c r="M42" s="30"/>
    </row>
    <row r="43" spans="3:13" x14ac:dyDescent="0.25">
      <c r="C43" s="10"/>
      <c r="D43" s="10"/>
      <c r="E43" s="10"/>
      <c r="F43" s="10"/>
      <c r="G43" s="30"/>
      <c r="H43" s="30"/>
      <c r="I43" s="10"/>
      <c r="J43" s="10"/>
      <c r="K43" s="10"/>
      <c r="L43" s="10"/>
      <c r="M43" s="30"/>
    </row>
    <row r="44" spans="3:13" x14ac:dyDescent="0.25">
      <c r="C44" s="10"/>
      <c r="D44" s="10"/>
      <c r="E44" s="10"/>
      <c r="F44" s="10"/>
      <c r="G44" s="30"/>
      <c r="H44" s="30"/>
      <c r="I44" s="10"/>
      <c r="J44" s="10"/>
      <c r="K44" s="10"/>
      <c r="L44" s="10"/>
    </row>
    <row r="45" spans="3:13" x14ac:dyDescent="0.25">
      <c r="C45" s="10"/>
      <c r="D45" s="10"/>
      <c r="E45" s="10"/>
      <c r="F45" s="10"/>
      <c r="G45" s="30"/>
      <c r="H45" s="30"/>
      <c r="I45" s="10"/>
      <c r="J45" s="10"/>
      <c r="K45" s="10"/>
      <c r="L45" s="10"/>
    </row>
    <row r="56" spans="13:13" x14ac:dyDescent="0.25">
      <c r="M56" s="63"/>
    </row>
  </sheetData>
  <mergeCells count="11">
    <mergeCell ref="A1:L1"/>
    <mergeCell ref="A2:L2"/>
    <mergeCell ref="A3:L3"/>
    <mergeCell ref="A4:L4"/>
    <mergeCell ref="K6:L6"/>
    <mergeCell ref="M6:N6"/>
    <mergeCell ref="C5:N5"/>
    <mergeCell ref="C6:D6"/>
    <mergeCell ref="E6:F6"/>
    <mergeCell ref="G6:H6"/>
    <mergeCell ref="I6:J6"/>
  </mergeCells>
  <phoneticPr fontId="0" type="noConversion"/>
  <printOptions horizontalCentered="1"/>
  <pageMargins left="0.75" right="0.75" top="1" bottom="1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IT Corp</vt:lpstr>
      <vt:lpstr>Marketing</vt:lpstr>
      <vt:lpstr>IT</vt:lpstr>
      <vt:lpstr>Gas Logistics</vt:lpstr>
      <vt:lpstr>OPs</vt:lpstr>
      <vt:lpstr>HR</vt:lpstr>
      <vt:lpstr>F &amp; A</vt:lpstr>
      <vt:lpstr>HR!Print_Area</vt:lpstr>
      <vt:lpstr>'IT Corp'!Print_Area</vt:lpstr>
      <vt:lpstr>Marketing!Print_Area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ncarpen</dc:creator>
  <cp:lastModifiedBy>Havlíček Jan</cp:lastModifiedBy>
  <cp:lastPrinted>2001-08-27T15:37:07Z</cp:lastPrinted>
  <dcterms:created xsi:type="dcterms:W3CDTF">2001-08-22T17:58:29Z</dcterms:created>
  <dcterms:modified xsi:type="dcterms:W3CDTF">2023-09-10T14:59:00Z</dcterms:modified>
</cp:coreProperties>
</file>