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NNG" sheetId="1" r:id="rId1"/>
    <sheet name="FGT" sheetId="5" r:id="rId2"/>
    <sheet name="TW" sheetId="4" r:id="rId3"/>
    <sheet name="NBP" sheetId="2" r:id="rId4"/>
    <sheet name="MD" sheetId="3" r:id="rId5"/>
  </sheets>
  <definedNames>
    <definedName name="_xlnm.Print_Area" localSheetId="0">NNG!#REF!</definedName>
    <definedName name="_xlnm.Print_Titles" localSheetId="0">NNG!$1:$3</definedName>
  </definedNames>
  <calcPr calcId="92512" fullCalcOnLoad="1"/>
</workbook>
</file>

<file path=xl/calcChain.xml><?xml version="1.0" encoding="utf-8"?>
<calcChain xmlns="http://schemas.openxmlformats.org/spreadsheetml/2006/main">
  <c r="R1" i="5" l="1"/>
  <c r="G6" i="5"/>
  <c r="H6" i="5"/>
  <c r="I6" i="5"/>
  <c r="J6" i="5"/>
  <c r="K6" i="5"/>
  <c r="L6" i="5"/>
  <c r="S6" i="5"/>
  <c r="N7" i="5"/>
  <c r="O7" i="5"/>
  <c r="P7" i="5"/>
  <c r="S7" i="5"/>
  <c r="S8" i="5"/>
  <c r="G9" i="5"/>
  <c r="H9" i="5"/>
  <c r="S9" i="5"/>
  <c r="H10" i="5"/>
  <c r="I10" i="5"/>
  <c r="S10" i="5"/>
  <c r="H11" i="5"/>
  <c r="I11" i="5"/>
  <c r="J11" i="5"/>
  <c r="K11" i="5"/>
  <c r="S11" i="5"/>
  <c r="H12" i="5"/>
  <c r="I12" i="5"/>
  <c r="J12" i="5"/>
  <c r="K12" i="5"/>
  <c r="L12" i="5"/>
  <c r="M12" i="5"/>
  <c r="N12" i="5"/>
  <c r="O12" i="5"/>
  <c r="S12" i="5"/>
  <c r="N13" i="5"/>
  <c r="O13" i="5"/>
  <c r="P13" i="5"/>
  <c r="S13" i="5"/>
  <c r="H14" i="5"/>
  <c r="I14" i="5"/>
  <c r="J14" i="5"/>
  <c r="K14" i="5"/>
  <c r="L14" i="5"/>
  <c r="S14" i="5"/>
  <c r="G15" i="5"/>
  <c r="H15" i="5"/>
  <c r="I15" i="5"/>
  <c r="J15" i="5"/>
  <c r="K15" i="5"/>
  <c r="L15" i="5"/>
  <c r="S15" i="5"/>
  <c r="J16" i="5"/>
  <c r="K16" i="5"/>
  <c r="L16" i="5"/>
  <c r="M16" i="5"/>
  <c r="N16" i="5"/>
  <c r="O16" i="5"/>
  <c r="P16" i="5"/>
  <c r="Q16" i="5"/>
  <c r="S16" i="5"/>
  <c r="M17" i="5"/>
  <c r="N17" i="5"/>
  <c r="O17" i="5"/>
  <c r="P17" i="5"/>
  <c r="Q17" i="5"/>
  <c r="S17" i="5"/>
  <c r="I18" i="5"/>
  <c r="J18" i="5"/>
  <c r="K18" i="5"/>
  <c r="L18" i="5"/>
  <c r="S18" i="5"/>
  <c r="J19" i="5"/>
  <c r="K19" i="5"/>
  <c r="L19" i="5"/>
  <c r="S19" i="5"/>
  <c r="L20" i="5"/>
  <c r="M20" i="5"/>
  <c r="N20" i="5"/>
  <c r="S20" i="5"/>
  <c r="H21" i="5"/>
  <c r="I21" i="5"/>
  <c r="J21" i="5"/>
  <c r="S21" i="5"/>
  <c r="G22" i="5"/>
  <c r="H22" i="5"/>
  <c r="I22" i="5"/>
  <c r="J22" i="5"/>
  <c r="K22" i="5"/>
  <c r="S22" i="5"/>
  <c r="I23" i="5"/>
  <c r="J23" i="5"/>
  <c r="K23" i="5"/>
  <c r="L23" i="5"/>
  <c r="M23" i="5"/>
  <c r="S23" i="5"/>
  <c r="H24" i="5"/>
  <c r="I24" i="5"/>
  <c r="J24" i="5"/>
  <c r="K24" i="5"/>
  <c r="L24" i="5"/>
  <c r="S24" i="5"/>
  <c r="E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H29" i="5"/>
  <c r="I29" i="5"/>
  <c r="S29" i="5"/>
  <c r="J30" i="5"/>
  <c r="K30" i="5"/>
  <c r="L30" i="5"/>
  <c r="S30" i="5"/>
  <c r="G31" i="5"/>
  <c r="H31" i="5"/>
  <c r="S31" i="5"/>
  <c r="E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I35" i="5"/>
  <c r="J35" i="5"/>
  <c r="K35" i="5"/>
  <c r="L35" i="5"/>
  <c r="S35" i="5"/>
  <c r="G36" i="5"/>
  <c r="H36" i="5"/>
  <c r="I36" i="5"/>
  <c r="J36" i="5"/>
  <c r="S36" i="5"/>
  <c r="G37" i="5"/>
  <c r="H37" i="5"/>
  <c r="I37" i="5"/>
  <c r="J37" i="5"/>
  <c r="S37" i="5"/>
  <c r="K38" i="5"/>
  <c r="L38" i="5"/>
  <c r="M38" i="5"/>
  <c r="N38" i="5"/>
  <c r="O38" i="5"/>
  <c r="S38" i="5"/>
  <c r="G39" i="5"/>
  <c r="H39" i="5"/>
  <c r="I39" i="5"/>
  <c r="J39" i="5"/>
  <c r="K39" i="5"/>
  <c r="L39" i="5"/>
  <c r="S39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I41" i="5"/>
  <c r="J41" i="5"/>
  <c r="K41" i="5"/>
  <c r="L41" i="5"/>
  <c r="S41" i="5"/>
  <c r="I42" i="5"/>
  <c r="J42" i="5"/>
  <c r="K42" i="5"/>
  <c r="L42" i="5"/>
  <c r="M42" i="5"/>
  <c r="N42" i="5"/>
  <c r="O42" i="5"/>
  <c r="P42" i="5"/>
  <c r="Q42" i="5"/>
  <c r="S42" i="5"/>
  <c r="I43" i="5"/>
  <c r="J43" i="5"/>
  <c r="K43" i="5"/>
  <c r="S43" i="5"/>
  <c r="G44" i="5"/>
  <c r="H44" i="5"/>
  <c r="I44" i="5"/>
  <c r="J44" i="5"/>
  <c r="S44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E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I49" i="5"/>
  <c r="J49" i="5"/>
  <c r="K49" i="5"/>
  <c r="L49" i="5"/>
  <c r="S49" i="5"/>
  <c r="H50" i="5"/>
  <c r="I50" i="5"/>
  <c r="J50" i="5"/>
  <c r="S50" i="5"/>
  <c r="E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S54" i="5"/>
  <c r="G55" i="5"/>
  <c r="H55" i="5"/>
  <c r="I55" i="5"/>
  <c r="S55" i="5"/>
  <c r="S56" i="5"/>
  <c r="E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O1" i="3"/>
  <c r="G6" i="3"/>
  <c r="H6" i="3"/>
  <c r="I6" i="3"/>
  <c r="J6" i="3"/>
  <c r="S6" i="3"/>
  <c r="I7" i="3"/>
  <c r="J7" i="3"/>
  <c r="K7" i="3"/>
  <c r="L7" i="3"/>
  <c r="S7" i="3"/>
  <c r="G8" i="3"/>
  <c r="H8" i="3"/>
  <c r="I8" i="3"/>
  <c r="J8" i="3"/>
  <c r="S8" i="3"/>
  <c r="K9" i="3"/>
  <c r="L9" i="3"/>
  <c r="M9" i="3"/>
  <c r="N9" i="3"/>
  <c r="O9" i="3"/>
  <c r="S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H11" i="3"/>
  <c r="I11" i="3"/>
  <c r="S11" i="3"/>
  <c r="E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I15" i="3"/>
  <c r="J15" i="3"/>
  <c r="K15" i="3"/>
  <c r="L15" i="3"/>
  <c r="S15" i="3"/>
  <c r="E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H19" i="3"/>
  <c r="I19" i="3"/>
  <c r="J19" i="3"/>
  <c r="K19" i="3"/>
  <c r="L19" i="3"/>
  <c r="S19" i="3"/>
  <c r="I20" i="3"/>
  <c r="J20" i="3"/>
  <c r="K20" i="3"/>
  <c r="L20" i="3"/>
  <c r="S20" i="3"/>
  <c r="E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R1" i="2"/>
  <c r="I7" i="2"/>
  <c r="J7" i="2"/>
  <c r="K7" i="2"/>
  <c r="L7" i="2"/>
  <c r="S7" i="2"/>
  <c r="G8" i="2"/>
  <c r="H8" i="2"/>
  <c r="I8" i="2"/>
  <c r="J8" i="2"/>
  <c r="S8" i="2"/>
  <c r="G9" i="2"/>
  <c r="H9" i="2"/>
  <c r="I9" i="2"/>
  <c r="J9" i="2"/>
  <c r="S9" i="2"/>
  <c r="K10" i="2"/>
  <c r="L10" i="2"/>
  <c r="M10" i="2"/>
  <c r="N10" i="2"/>
  <c r="O10" i="2"/>
  <c r="S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I12" i="2"/>
  <c r="J12" i="2"/>
  <c r="K12" i="2"/>
  <c r="L12" i="2"/>
  <c r="M12" i="2"/>
  <c r="N12" i="2"/>
  <c r="S12" i="2"/>
  <c r="E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I16" i="2"/>
  <c r="J16" i="2"/>
  <c r="K16" i="2"/>
  <c r="L16" i="2"/>
  <c r="S16" i="2"/>
  <c r="E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H20" i="2"/>
  <c r="I20" i="2"/>
  <c r="J20" i="2"/>
  <c r="K20" i="2"/>
  <c r="L20" i="2"/>
  <c r="S20" i="2"/>
  <c r="I21" i="2"/>
  <c r="J21" i="2"/>
  <c r="K21" i="2"/>
  <c r="L21" i="2"/>
  <c r="S21" i="2"/>
  <c r="E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R1" i="1"/>
  <c r="G6" i="1"/>
  <c r="H6" i="1"/>
  <c r="I6" i="1"/>
  <c r="J6" i="1"/>
  <c r="S6" i="1"/>
  <c r="G7" i="1"/>
  <c r="H7" i="1"/>
  <c r="I7" i="1"/>
  <c r="J7" i="1"/>
  <c r="S7" i="1"/>
  <c r="K8" i="1"/>
  <c r="L8" i="1"/>
  <c r="M8" i="1"/>
  <c r="N8" i="1"/>
  <c r="O8" i="1"/>
  <c r="S8" i="1"/>
  <c r="G9" i="1"/>
  <c r="H9" i="1"/>
  <c r="I9" i="1"/>
  <c r="J9" i="1"/>
  <c r="K9" i="1"/>
  <c r="L9" i="1"/>
  <c r="S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S11" i="1"/>
  <c r="I12" i="1"/>
  <c r="J12" i="1"/>
  <c r="K12" i="1"/>
  <c r="L12" i="1"/>
  <c r="M12" i="1"/>
  <c r="N12" i="1"/>
  <c r="O12" i="1"/>
  <c r="P12" i="1"/>
  <c r="S12" i="1"/>
  <c r="I13" i="1"/>
  <c r="J13" i="1"/>
  <c r="K13" i="1"/>
  <c r="L13" i="1"/>
  <c r="M13" i="1"/>
  <c r="N13" i="1"/>
  <c r="O13" i="1"/>
  <c r="P13" i="1"/>
  <c r="S13" i="1"/>
  <c r="I14" i="1"/>
  <c r="J14" i="1"/>
  <c r="K14" i="1"/>
  <c r="L14" i="1"/>
  <c r="M14" i="1"/>
  <c r="N14" i="1"/>
  <c r="O14" i="1"/>
  <c r="P14" i="1"/>
  <c r="S14" i="1"/>
  <c r="I15" i="1"/>
  <c r="J15" i="1"/>
  <c r="K15" i="1"/>
  <c r="L15" i="1"/>
  <c r="M15" i="1"/>
  <c r="N15" i="1"/>
  <c r="O15" i="1"/>
  <c r="S15" i="1"/>
  <c r="G16" i="1"/>
  <c r="H16" i="1"/>
  <c r="I16" i="1"/>
  <c r="J16" i="1"/>
  <c r="S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E18" i="1"/>
  <c r="S18" i="1"/>
  <c r="S22" i="1"/>
  <c r="S23" i="1"/>
  <c r="S24" i="1"/>
  <c r="J25" i="1"/>
  <c r="K25" i="1"/>
  <c r="L25" i="1"/>
  <c r="S25" i="1"/>
  <c r="G26" i="1"/>
  <c r="H26" i="1"/>
  <c r="S26" i="1"/>
  <c r="E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I30" i="1"/>
  <c r="J30" i="1"/>
  <c r="K30" i="1"/>
  <c r="L30" i="1"/>
  <c r="S30" i="1"/>
  <c r="I31" i="1"/>
  <c r="J31" i="1"/>
  <c r="K31" i="1"/>
  <c r="L31" i="1"/>
  <c r="S31" i="1"/>
  <c r="H32" i="1"/>
  <c r="I32" i="1"/>
  <c r="J32" i="1"/>
  <c r="K32" i="1"/>
  <c r="L32" i="1"/>
  <c r="S32" i="1"/>
  <c r="H33" i="1"/>
  <c r="I33" i="1"/>
  <c r="J33" i="1"/>
  <c r="K33" i="1"/>
  <c r="L33" i="1"/>
  <c r="S33" i="1"/>
  <c r="I34" i="1"/>
  <c r="J34" i="1"/>
  <c r="K34" i="1"/>
  <c r="L34" i="1"/>
  <c r="M34" i="1"/>
  <c r="N34" i="1"/>
  <c r="O34" i="1"/>
  <c r="S34" i="1"/>
  <c r="E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N38" i="1"/>
  <c r="O38" i="1"/>
  <c r="P38" i="1"/>
  <c r="S38" i="1"/>
  <c r="S39" i="1"/>
  <c r="S40" i="1"/>
  <c r="H41" i="1"/>
  <c r="I41" i="1"/>
  <c r="S41" i="1"/>
  <c r="H42" i="1"/>
  <c r="I42" i="1"/>
  <c r="J42" i="1"/>
  <c r="K42" i="1"/>
  <c r="S42" i="1"/>
  <c r="N43" i="1"/>
  <c r="O43" i="1"/>
  <c r="P43" i="1"/>
  <c r="S43" i="1"/>
  <c r="H44" i="1"/>
  <c r="I44" i="1"/>
  <c r="J44" i="1"/>
  <c r="K44" i="1"/>
  <c r="L44" i="1"/>
  <c r="M44" i="1"/>
  <c r="N44" i="1"/>
  <c r="O44" i="1"/>
  <c r="S44" i="1"/>
  <c r="G45" i="1"/>
  <c r="H45" i="1"/>
  <c r="I45" i="1"/>
  <c r="J45" i="1"/>
  <c r="S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H47" i="1"/>
  <c r="I47" i="1"/>
  <c r="J47" i="1"/>
  <c r="K47" i="1"/>
  <c r="L47" i="1"/>
  <c r="S47" i="1"/>
  <c r="G48" i="1"/>
  <c r="H48" i="1"/>
  <c r="I48" i="1"/>
  <c r="J48" i="1"/>
  <c r="K48" i="1"/>
  <c r="L48" i="1"/>
  <c r="S48" i="1"/>
  <c r="J49" i="1"/>
  <c r="K49" i="1"/>
  <c r="L49" i="1"/>
  <c r="M49" i="1"/>
  <c r="N49" i="1"/>
  <c r="O49" i="1"/>
  <c r="P49" i="1"/>
  <c r="Q49" i="1"/>
  <c r="S49" i="1"/>
  <c r="M50" i="1"/>
  <c r="N50" i="1"/>
  <c r="O50" i="1"/>
  <c r="P50" i="1"/>
  <c r="Q50" i="1"/>
  <c r="S50" i="1"/>
  <c r="I51" i="1"/>
  <c r="J51" i="1"/>
  <c r="K51" i="1"/>
  <c r="L51" i="1"/>
  <c r="S51" i="1"/>
  <c r="J52" i="1"/>
  <c r="K52" i="1"/>
  <c r="L52" i="1"/>
  <c r="S52" i="1"/>
  <c r="L53" i="1"/>
  <c r="M53" i="1"/>
  <c r="N53" i="1"/>
  <c r="O53" i="1"/>
  <c r="S53" i="1"/>
  <c r="L54" i="1"/>
  <c r="M54" i="1"/>
  <c r="N54" i="1"/>
  <c r="O54" i="1"/>
  <c r="S54" i="1"/>
  <c r="H55" i="1"/>
  <c r="I55" i="1"/>
  <c r="J55" i="1"/>
  <c r="K55" i="1"/>
  <c r="L55" i="1"/>
  <c r="S55" i="1"/>
  <c r="G56" i="1"/>
  <c r="H56" i="1"/>
  <c r="I56" i="1"/>
  <c r="J56" i="1"/>
  <c r="K56" i="1"/>
  <c r="L56" i="1"/>
  <c r="S56" i="1"/>
  <c r="G57" i="1"/>
  <c r="H57" i="1"/>
  <c r="I57" i="1"/>
  <c r="J57" i="1"/>
  <c r="K57" i="1"/>
  <c r="L57" i="1"/>
  <c r="S57" i="1"/>
  <c r="H58" i="1"/>
  <c r="I58" i="1"/>
  <c r="J58" i="1"/>
  <c r="K58" i="1"/>
  <c r="L58" i="1"/>
  <c r="S58" i="1"/>
  <c r="I59" i="1"/>
  <c r="J59" i="1"/>
  <c r="K59" i="1"/>
  <c r="L59" i="1"/>
  <c r="M59" i="1"/>
  <c r="S59" i="1"/>
  <c r="E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S63" i="1"/>
  <c r="E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I67" i="1"/>
  <c r="J67" i="1"/>
  <c r="K67" i="1"/>
  <c r="L67" i="1"/>
  <c r="M67" i="1"/>
  <c r="N67" i="1"/>
  <c r="O67" i="1"/>
  <c r="P67" i="1"/>
  <c r="S67" i="1"/>
  <c r="G68" i="1"/>
  <c r="H68" i="1"/>
  <c r="I68" i="1"/>
  <c r="J68" i="1"/>
  <c r="K68" i="1"/>
  <c r="L68" i="1"/>
  <c r="M68" i="1"/>
  <c r="S68" i="1"/>
  <c r="S69" i="1"/>
  <c r="H70" i="1"/>
  <c r="I70" i="1"/>
  <c r="J70" i="1"/>
  <c r="K70" i="1"/>
  <c r="L70" i="1"/>
  <c r="M70" i="1"/>
  <c r="N70" i="1"/>
  <c r="O70" i="1"/>
  <c r="P70" i="1"/>
  <c r="Q70" i="1"/>
  <c r="R70" i="1"/>
  <c r="S70" i="1"/>
  <c r="J71" i="1"/>
  <c r="K71" i="1"/>
  <c r="L71" i="1"/>
  <c r="S71" i="1"/>
  <c r="G72" i="1"/>
  <c r="H72" i="1"/>
  <c r="I72" i="1"/>
  <c r="S72" i="1"/>
  <c r="S74" i="1"/>
  <c r="E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R1" i="4"/>
  <c r="S6" i="4"/>
  <c r="G7" i="4"/>
  <c r="H7" i="4"/>
  <c r="S7" i="4"/>
  <c r="J8" i="4"/>
  <c r="K8" i="4"/>
  <c r="L8" i="4"/>
  <c r="S8" i="4"/>
  <c r="E9" i="4"/>
  <c r="G9" i="4"/>
  <c r="H9" i="4"/>
  <c r="I9" i="4"/>
  <c r="J9" i="4"/>
  <c r="K9" i="4"/>
  <c r="L9" i="4"/>
  <c r="M9" i="4"/>
  <c r="N9" i="4"/>
  <c r="O9" i="4"/>
  <c r="P9" i="4"/>
  <c r="Q9" i="4"/>
  <c r="R9" i="4"/>
  <c r="S9" i="4"/>
  <c r="N12" i="4"/>
  <c r="O12" i="4"/>
  <c r="P12" i="4"/>
  <c r="S12" i="4"/>
  <c r="S13" i="4"/>
  <c r="G14" i="4"/>
  <c r="H14" i="4"/>
  <c r="S14" i="4"/>
  <c r="H15" i="4"/>
  <c r="I15" i="4"/>
  <c r="S15" i="4"/>
  <c r="H16" i="4"/>
  <c r="I16" i="4"/>
  <c r="J16" i="4"/>
  <c r="K16" i="4"/>
  <c r="S16" i="4"/>
  <c r="N17" i="4"/>
  <c r="O17" i="4"/>
  <c r="P17" i="4"/>
  <c r="S17" i="4"/>
  <c r="H18" i="4"/>
  <c r="I18" i="4"/>
  <c r="J18" i="4"/>
  <c r="K18" i="4"/>
  <c r="L18" i="4"/>
  <c r="M18" i="4"/>
  <c r="N18" i="4"/>
  <c r="O18" i="4"/>
  <c r="S18" i="4"/>
  <c r="H19" i="4"/>
  <c r="I19" i="4"/>
  <c r="J19" i="4"/>
  <c r="K19" i="4"/>
  <c r="L19" i="4"/>
  <c r="S19" i="4"/>
  <c r="G20" i="4"/>
  <c r="H20" i="4"/>
  <c r="I20" i="4"/>
  <c r="J20" i="4"/>
  <c r="K20" i="4"/>
  <c r="L20" i="4"/>
  <c r="S20" i="4"/>
  <c r="J21" i="4"/>
  <c r="K21" i="4"/>
  <c r="L21" i="4"/>
  <c r="M21" i="4"/>
  <c r="N21" i="4"/>
  <c r="O21" i="4"/>
  <c r="P21" i="4"/>
  <c r="Q21" i="4"/>
  <c r="S21" i="4"/>
  <c r="M22" i="4"/>
  <c r="N22" i="4"/>
  <c r="O22" i="4"/>
  <c r="P22" i="4"/>
  <c r="Q22" i="4"/>
  <c r="S22" i="4"/>
  <c r="I23" i="4"/>
  <c r="J23" i="4"/>
  <c r="K23" i="4"/>
  <c r="L23" i="4"/>
  <c r="S23" i="4"/>
  <c r="J24" i="4"/>
  <c r="K24" i="4"/>
  <c r="L24" i="4"/>
  <c r="S24" i="4"/>
  <c r="L25" i="4"/>
  <c r="M25" i="4"/>
  <c r="N25" i="4"/>
  <c r="O25" i="4"/>
  <c r="S25" i="4"/>
  <c r="S26" i="4"/>
  <c r="K27" i="4"/>
  <c r="L27" i="4"/>
  <c r="M27" i="4"/>
  <c r="N27" i="4"/>
  <c r="O27" i="4"/>
  <c r="S27" i="4"/>
  <c r="G28" i="4"/>
  <c r="H28" i="4"/>
  <c r="I28" i="4"/>
  <c r="J28" i="4"/>
  <c r="K28" i="4"/>
  <c r="L28" i="4"/>
  <c r="M28" i="4"/>
  <c r="N28" i="4"/>
  <c r="O28" i="4"/>
  <c r="S28" i="4"/>
  <c r="G29" i="4"/>
  <c r="H29" i="4"/>
  <c r="S29" i="4"/>
  <c r="I30" i="4"/>
  <c r="J30" i="4"/>
  <c r="K30" i="4"/>
  <c r="L30" i="4"/>
  <c r="M30" i="4"/>
  <c r="S30" i="4"/>
  <c r="E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I34" i="4"/>
  <c r="J34" i="4"/>
  <c r="K34" i="4"/>
  <c r="L34" i="4"/>
  <c r="S34" i="4"/>
  <c r="H35" i="4"/>
  <c r="I35" i="4"/>
  <c r="J35" i="4"/>
  <c r="S35" i="4"/>
  <c r="E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G39" i="4"/>
  <c r="H39" i="4"/>
  <c r="I39" i="4"/>
  <c r="J39" i="4"/>
  <c r="S39" i="4"/>
  <c r="G40" i="4"/>
  <c r="H40" i="4"/>
  <c r="I40" i="4"/>
  <c r="J40" i="4"/>
  <c r="S40" i="4"/>
  <c r="K41" i="4"/>
  <c r="L41" i="4"/>
  <c r="M41" i="4"/>
  <c r="N41" i="4"/>
  <c r="O41" i="4"/>
  <c r="S41" i="4"/>
  <c r="G42" i="4"/>
  <c r="H42" i="4"/>
  <c r="I42" i="4"/>
  <c r="J42" i="4"/>
  <c r="K42" i="4"/>
  <c r="L42" i="4"/>
  <c r="S42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G44" i="4"/>
  <c r="H44" i="4"/>
  <c r="I44" i="4"/>
  <c r="J44" i="4"/>
  <c r="S44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S46" i="4"/>
  <c r="I47" i="4"/>
  <c r="J47" i="4"/>
  <c r="K47" i="4"/>
  <c r="L47" i="4"/>
  <c r="M47" i="4"/>
  <c r="N47" i="4"/>
  <c r="S47" i="4"/>
  <c r="K48" i="4"/>
  <c r="L48" i="4"/>
  <c r="M48" i="4"/>
  <c r="S48" i="4"/>
  <c r="E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</calcChain>
</file>

<file path=xl/sharedStrings.xml><?xml version="1.0" encoding="utf-8"?>
<sst xmlns="http://schemas.openxmlformats.org/spreadsheetml/2006/main" count="408" uniqueCount="114">
  <si>
    <t>company</t>
  </si>
  <si>
    <t>project #</t>
  </si>
  <si>
    <t>total $'s</t>
  </si>
  <si>
    <t>inservice</t>
  </si>
  <si>
    <t>project name</t>
  </si>
  <si>
    <t xml:space="preserve">Blanket </t>
  </si>
  <si>
    <t>Gas Logistics</t>
  </si>
  <si>
    <t>Marketing</t>
  </si>
  <si>
    <t>F&amp;A</t>
  </si>
  <si>
    <t>Operations</t>
  </si>
  <si>
    <t>function</t>
  </si>
  <si>
    <t>GL</t>
  </si>
  <si>
    <t>Total Marketing</t>
  </si>
  <si>
    <t>Total Gas Logistics</t>
  </si>
  <si>
    <t>NNG</t>
  </si>
  <si>
    <t>FGT</t>
  </si>
  <si>
    <t>TW</t>
  </si>
  <si>
    <t>Ops</t>
  </si>
  <si>
    <t>NBP</t>
  </si>
  <si>
    <t>OPS</t>
  </si>
  <si>
    <t>MD</t>
  </si>
  <si>
    <t>Class Loc</t>
  </si>
  <si>
    <t>Dot</t>
  </si>
  <si>
    <t>ops</t>
  </si>
  <si>
    <t>sale fac</t>
  </si>
  <si>
    <t>mat list</t>
  </si>
  <si>
    <t>pipe data</t>
  </si>
  <si>
    <t>ops depts</t>
  </si>
  <si>
    <t>ops-field</t>
  </si>
  <si>
    <t>ops-field sw</t>
  </si>
  <si>
    <t>ops-field n</t>
  </si>
  <si>
    <t>ops-field Se</t>
  </si>
  <si>
    <t>ops-field se</t>
  </si>
  <si>
    <t>ops-field Sw</t>
  </si>
  <si>
    <t>comp</t>
  </si>
  <si>
    <t>Elect Tarrif Fil</t>
  </si>
  <si>
    <t>Rates</t>
  </si>
  <si>
    <t>NNG Form 567</t>
  </si>
  <si>
    <t>NNG Rate Case</t>
  </si>
  <si>
    <t>Comm RPT</t>
  </si>
  <si>
    <t>COMM</t>
  </si>
  <si>
    <t>NNG Auto Storage BK</t>
  </si>
  <si>
    <t>Omaha Infra Upgrade</t>
  </si>
  <si>
    <t>Blanket - depts</t>
  </si>
  <si>
    <t>Blanket - Field</t>
  </si>
  <si>
    <t>ops-field N</t>
  </si>
  <si>
    <t>Blanket - Dept</t>
  </si>
  <si>
    <t>BUC</t>
  </si>
  <si>
    <t>Blanket-dept</t>
  </si>
  <si>
    <t>PGAS Reporting</t>
  </si>
  <si>
    <t>blanket depts</t>
  </si>
  <si>
    <t>BUCs</t>
  </si>
  <si>
    <t>blanket-depts</t>
  </si>
  <si>
    <t>Blanket depts</t>
  </si>
  <si>
    <t>HR</t>
  </si>
  <si>
    <t>Total HR</t>
  </si>
  <si>
    <t>Shared UPS</t>
  </si>
  <si>
    <t>GC</t>
  </si>
  <si>
    <t>Shared Desktop Refresh</t>
  </si>
  <si>
    <t>Shared SCADA Apps</t>
  </si>
  <si>
    <t>Shared SCADA Network</t>
  </si>
  <si>
    <t>Shared SCADA Upgrades</t>
  </si>
  <si>
    <t>Shared SCADA Doc</t>
  </si>
  <si>
    <t>Shared SCADE Sec</t>
  </si>
  <si>
    <t>Shared Contracts</t>
  </si>
  <si>
    <t>Shared CRM &amp; Tele</t>
  </si>
  <si>
    <t>Shared CAS</t>
  </si>
  <si>
    <t>Shared FERC 637</t>
  </si>
  <si>
    <t>Shared GISB High</t>
  </si>
  <si>
    <t>Shared HotTap Redesign</t>
  </si>
  <si>
    <t xml:space="preserve">Shared PNR/Storage </t>
  </si>
  <si>
    <t>Shared Secuity Enh</t>
  </si>
  <si>
    <t>FERC Invoicing updates</t>
  </si>
  <si>
    <t>Omaha UPS upgrade</t>
  </si>
  <si>
    <t>Hottap upgrade win 2000</t>
  </si>
  <si>
    <t>gl</t>
  </si>
  <si>
    <t>Hottap reliability</t>
  </si>
  <si>
    <t>Blanket - desktop refres</t>
  </si>
  <si>
    <t>FGT Allocation &amp; Meter</t>
  </si>
  <si>
    <t>TW Flow Direction</t>
  </si>
  <si>
    <t>IT</t>
  </si>
  <si>
    <t>Audit/Security Comp</t>
  </si>
  <si>
    <t>Data Center Consolidat</t>
  </si>
  <si>
    <t>Chair Upgrades</t>
  </si>
  <si>
    <t>Blanket - ETS depts</t>
  </si>
  <si>
    <t>Monitor Upgrades for IT</t>
  </si>
  <si>
    <t>Total IT</t>
  </si>
  <si>
    <t>Total 2002</t>
  </si>
  <si>
    <t>Shared Rates &amp; REV(5yr)</t>
  </si>
  <si>
    <t>Shared Rates &amp; REV(5YR)</t>
  </si>
  <si>
    <t>2002 Capital by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</si>
  <si>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</si>
  <si>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</si>
  <si>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</si>
  <si>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</si>
  <si>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</si>
  <si>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</si>
  <si>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</si>
  <si>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</si>
  <si>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</si>
  <si>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OCT`</t>
  </si>
  <si>
    <t>NOV</t>
  </si>
  <si>
    <t>DEC</t>
  </si>
  <si>
    <t>TOTAL</t>
  </si>
  <si>
    <t>OCT</t>
  </si>
  <si>
    <t>Continuation PHD</t>
  </si>
  <si>
    <t>Project Destiny - Tele com</t>
  </si>
  <si>
    <t>Comp Eng</t>
  </si>
  <si>
    <t>Reporting Environment</t>
  </si>
  <si>
    <t>FGT Model Phase VI</t>
  </si>
  <si>
    <t>Project Destiny- tele com</t>
  </si>
  <si>
    <t>SAN Tape Recovery</t>
  </si>
  <si>
    <t>Allocations from other Pipelines</t>
  </si>
  <si>
    <t>Allocations from other pipelines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</si>
</sst>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"/>
    <numFmt numFmtId="167" formatCode="_(&quot;$&quot;* #,##0.000_);_(&quot;$&quot;* \(#,##0.000\);_(&quot;$&quot;* &quot;-&quot;???_);_(@_)"/>
    <numFmt numFmtId="168" formatCode="_(* #,##0.000_);_(* \(#,##0.000\);_(* &quot;-&quot;???_);_(@_)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17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5" fontId="1" fillId="0" borderId="0" xfId="0" applyNumberFormat="1" applyFont="1"/>
    <xf numFmtId="17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/>
    <xf numFmtId="165" fontId="3" fillId="0" borderId="0" xfId="0" applyNumberFormat="1" applyFont="1"/>
    <xf numFmtId="17" fontId="3" fillId="0" borderId="0" xfId="0" applyNumberFormat="1" applyFont="1"/>
    <xf numFmtId="167" fontId="0" fillId="0" borderId="0" xfId="0" applyNumberFormat="1"/>
    <xf numFmtId="168" fontId="0" fillId="0" borderId="0" xfId="0" applyNumberForma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2"/>
  <sheetViews>
    <sheetView tabSelected="1" zoomScaleNormal="100" workbookViewId="0">
      <pane xSplit="6" ySplit="3" topLeftCell="R57" activePane="bottomRight" state="frozen"/>
      <selection activeCell="R2" sqref="R2"/>
      <selection pane="topRight" activeCell="R2" sqref="R2"/>
      <selection pane="bottomLeft" activeCell="R2" sqref="R2"/>
      <selection pane="bottomRight" activeCell="R2" sqref="R2"/>
    </sheetView>
  </sheetViews>
  <sheetFormatPr defaultRowHeight="13.2" x14ac:dyDescent="0.25"/>
  <cols>
    <col min="3" max="3" width="23.44140625" bestFit="1" customWidth="1"/>
    <col min="4" max="4" width="13.109375" customWidth="1"/>
    <col min="5" max="5" width="9.109375" style="1" customWidth="1"/>
    <col min="6" max="6" width="9.109375" style="2" customWidth="1"/>
  </cols>
  <sheetData>
    <row r="1" spans="1:19" x14ac:dyDescent="0.25">
      <c r="A1" t="s">
        <v>90</v>
      </c>
      <c r="R1" t="str">
        <f ca="1">CELL("filename")</f>
        <v>H:\EXCEL\2002 Budget IT\[2002 Capital by month.xls]MD</v>
      </c>
    </row>
    <row r="3" spans="1:19" x14ac:dyDescent="0.25">
      <c r="A3" t="s">
        <v>0</v>
      </c>
      <c r="B3" t="s">
        <v>10</v>
      </c>
      <c r="C3" t="s">
        <v>1</v>
      </c>
      <c r="D3" t="s">
        <v>4</v>
      </c>
      <c r="E3" s="1" t="s">
        <v>2</v>
      </c>
      <c r="F3" s="2" t="s">
        <v>3</v>
      </c>
      <c r="G3" t="s">
        <v>91</v>
      </c>
      <c r="H3" t="s">
        <v>92</v>
      </c>
      <c r="I3" t="s">
        <v>93</v>
      </c>
      <c r="J3" t="s">
        <v>94</v>
      </c>
      <c r="K3" t="s">
        <v>95</v>
      </c>
      <c r="L3" t="s">
        <v>96</v>
      </c>
      <c r="M3" t="s">
        <v>97</v>
      </c>
      <c r="N3" t="s">
        <v>98</v>
      </c>
      <c r="O3" t="s">
        <v>99</v>
      </c>
      <c r="P3" t="s">
        <v>100</v>
      </c>
      <c r="Q3" t="s">
        <v>101</v>
      </c>
      <c r="R3" t="s">
        <v>102</v>
      </c>
      <c r="S3" t="s">
        <v>103</v>
      </c>
    </row>
    <row r="4" spans="1:19" x14ac:dyDescent="0.25">
      <c r="A4" s="3" t="s">
        <v>14</v>
      </c>
    </row>
    <row r="5" spans="1:19" x14ac:dyDescent="0.25">
      <c r="A5" s="3" t="s">
        <v>9</v>
      </c>
    </row>
    <row r="6" spans="1:19" x14ac:dyDescent="0.25">
      <c r="B6">
        <v>2002</v>
      </c>
      <c r="C6" t="s">
        <v>21</v>
      </c>
      <c r="D6" t="s">
        <v>17</v>
      </c>
      <c r="E6" s="1">
        <v>0.19700000000000001</v>
      </c>
      <c r="F6" s="2">
        <v>37347</v>
      </c>
      <c r="G6" s="14">
        <f>0.197/4</f>
        <v>4.9250000000000002E-2</v>
      </c>
      <c r="H6" s="14">
        <f>0.197/4</f>
        <v>4.9250000000000002E-2</v>
      </c>
      <c r="I6" s="14">
        <f>0.197/4</f>
        <v>4.9250000000000002E-2</v>
      </c>
      <c r="J6" s="14">
        <f>0.197/4</f>
        <v>4.9250000000000002E-2</v>
      </c>
      <c r="K6" s="14"/>
      <c r="L6" s="14"/>
      <c r="M6" s="14"/>
      <c r="N6" s="14"/>
      <c r="O6" s="14"/>
      <c r="P6" s="14"/>
      <c r="Q6" s="14"/>
      <c r="R6" s="14"/>
      <c r="S6" s="14">
        <f>SUM(G6:R6)</f>
        <v>0.19700000000000001</v>
      </c>
    </row>
    <row r="7" spans="1:19" x14ac:dyDescent="0.25">
      <c r="B7">
        <v>2002</v>
      </c>
      <c r="C7" t="s">
        <v>22</v>
      </c>
      <c r="D7" t="s">
        <v>23</v>
      </c>
      <c r="E7" s="1">
        <v>0.03</v>
      </c>
      <c r="F7" s="2">
        <v>37347</v>
      </c>
      <c r="G7" s="14">
        <f>0.03/4</f>
        <v>7.4999999999999997E-3</v>
      </c>
      <c r="H7" s="14">
        <f>0.03/4</f>
        <v>7.4999999999999997E-3</v>
      </c>
      <c r="I7" s="14">
        <f>0.03/4</f>
        <v>7.4999999999999997E-3</v>
      </c>
      <c r="J7" s="14">
        <f>0.03/4</f>
        <v>7.4999999999999997E-3</v>
      </c>
      <c r="K7" s="14"/>
      <c r="L7" s="14"/>
      <c r="M7" s="14"/>
      <c r="N7" s="14"/>
      <c r="O7" s="14"/>
      <c r="P7" s="14"/>
      <c r="Q7" s="14"/>
      <c r="R7" s="14"/>
      <c r="S7" s="14">
        <f t="shared" ref="S7:S34" si="0">SUM(G7:R7)</f>
        <v>0.03</v>
      </c>
    </row>
    <row r="8" spans="1:19" x14ac:dyDescent="0.25">
      <c r="B8">
        <v>2002</v>
      </c>
      <c r="C8" t="s">
        <v>24</v>
      </c>
      <c r="D8" t="s">
        <v>23</v>
      </c>
      <c r="E8" s="1">
        <v>0.16300000000000001</v>
      </c>
      <c r="F8" s="2">
        <v>37500</v>
      </c>
      <c r="G8" s="14"/>
      <c r="H8" s="14"/>
      <c r="I8" s="14"/>
      <c r="J8" s="14"/>
      <c r="K8" s="14">
        <f>0.163/5</f>
        <v>3.2600000000000004E-2</v>
      </c>
      <c r="L8" s="14">
        <f>0.163/5</f>
        <v>3.2600000000000004E-2</v>
      </c>
      <c r="M8" s="14">
        <f>0.163/5</f>
        <v>3.2600000000000004E-2</v>
      </c>
      <c r="N8" s="14">
        <f>0.163/5</f>
        <v>3.2600000000000004E-2</v>
      </c>
      <c r="O8" s="14">
        <f>0.163/5</f>
        <v>3.2600000000000004E-2</v>
      </c>
      <c r="P8" s="14"/>
      <c r="Q8" s="14"/>
      <c r="R8" s="14"/>
      <c r="S8" s="14">
        <f t="shared" si="0"/>
        <v>0.16300000000000003</v>
      </c>
    </row>
    <row r="9" spans="1:19" x14ac:dyDescent="0.25">
      <c r="B9">
        <v>2002</v>
      </c>
      <c r="C9" t="s">
        <v>25</v>
      </c>
      <c r="D9" t="s">
        <v>23</v>
      </c>
      <c r="E9" s="1">
        <v>0.19</v>
      </c>
      <c r="F9" s="2">
        <v>37408</v>
      </c>
      <c r="G9" s="14">
        <f t="shared" ref="G9:L9" si="1">0.19/6</f>
        <v>3.1666666666666669E-2</v>
      </c>
      <c r="H9" s="14">
        <f t="shared" si="1"/>
        <v>3.1666666666666669E-2</v>
      </c>
      <c r="I9" s="14">
        <f t="shared" si="1"/>
        <v>3.1666666666666669E-2</v>
      </c>
      <c r="J9" s="14">
        <f t="shared" si="1"/>
        <v>3.1666666666666669E-2</v>
      </c>
      <c r="K9" s="14">
        <f t="shared" si="1"/>
        <v>3.1666666666666669E-2</v>
      </c>
      <c r="L9" s="14">
        <f t="shared" si="1"/>
        <v>3.1666666666666669E-2</v>
      </c>
      <c r="M9" s="14"/>
      <c r="N9" s="14"/>
      <c r="O9" s="14"/>
      <c r="P9" s="14"/>
      <c r="Q9" s="14"/>
      <c r="R9" s="14"/>
      <c r="S9" s="14">
        <f t="shared" si="0"/>
        <v>0.19000000000000003</v>
      </c>
    </row>
    <row r="10" spans="1:19" x14ac:dyDescent="0.25">
      <c r="B10">
        <v>2002</v>
      </c>
      <c r="C10" t="s">
        <v>26</v>
      </c>
      <c r="D10" t="s">
        <v>23</v>
      </c>
      <c r="E10" s="1">
        <v>0.82599999999999996</v>
      </c>
      <c r="F10" s="2">
        <v>37591</v>
      </c>
      <c r="G10" s="14">
        <f>0.826/12</f>
        <v>6.883333333333333E-2</v>
      </c>
      <c r="H10" s="14">
        <f t="shared" ref="H10:R10" si="2">0.826/12</f>
        <v>6.883333333333333E-2</v>
      </c>
      <c r="I10" s="14">
        <f t="shared" si="2"/>
        <v>6.883333333333333E-2</v>
      </c>
      <c r="J10" s="14">
        <f t="shared" si="2"/>
        <v>6.883333333333333E-2</v>
      </c>
      <c r="K10" s="14">
        <f t="shared" si="2"/>
        <v>6.883333333333333E-2</v>
      </c>
      <c r="L10" s="14">
        <f t="shared" si="2"/>
        <v>6.883333333333333E-2</v>
      </c>
      <c r="M10" s="14">
        <f t="shared" si="2"/>
        <v>6.883333333333333E-2</v>
      </c>
      <c r="N10" s="14">
        <f t="shared" si="2"/>
        <v>6.883333333333333E-2</v>
      </c>
      <c r="O10" s="14">
        <f t="shared" si="2"/>
        <v>6.883333333333333E-2</v>
      </c>
      <c r="P10" s="14">
        <f t="shared" si="2"/>
        <v>6.883333333333333E-2</v>
      </c>
      <c r="Q10" s="14">
        <f t="shared" si="2"/>
        <v>6.883333333333333E-2</v>
      </c>
      <c r="R10" s="14">
        <f t="shared" si="2"/>
        <v>6.883333333333333E-2</v>
      </c>
      <c r="S10" s="14">
        <f t="shared" si="0"/>
        <v>0.82599999999999973</v>
      </c>
    </row>
    <row r="11" spans="1:19" x14ac:dyDescent="0.25">
      <c r="B11">
        <v>2002</v>
      </c>
      <c r="C11" t="s">
        <v>5</v>
      </c>
      <c r="D11" t="s">
        <v>27</v>
      </c>
      <c r="E11" s="1">
        <v>0.08</v>
      </c>
      <c r="G11" s="14"/>
      <c r="H11" s="14"/>
      <c r="I11" s="14">
        <f>0.08/7</f>
        <v>1.1428571428571429E-2</v>
      </c>
      <c r="J11" s="14">
        <f t="shared" ref="J11:O11" si="3">0.08/7</f>
        <v>1.1428571428571429E-2</v>
      </c>
      <c r="K11" s="14">
        <f t="shared" si="3"/>
        <v>1.1428571428571429E-2</v>
      </c>
      <c r="L11" s="14">
        <f t="shared" si="3"/>
        <v>1.1428571428571429E-2</v>
      </c>
      <c r="M11" s="14">
        <f t="shared" si="3"/>
        <v>1.1428571428571429E-2</v>
      </c>
      <c r="N11" s="14">
        <f t="shared" si="3"/>
        <v>1.1428571428571429E-2</v>
      </c>
      <c r="O11" s="14">
        <f t="shared" si="3"/>
        <v>1.1428571428571429E-2</v>
      </c>
      <c r="P11" s="14"/>
      <c r="Q11" s="14"/>
      <c r="R11" s="14"/>
      <c r="S11" s="14">
        <f t="shared" si="0"/>
        <v>0.08</v>
      </c>
    </row>
    <row r="12" spans="1:19" x14ac:dyDescent="0.25">
      <c r="B12">
        <v>2002</v>
      </c>
      <c r="C12" t="s">
        <v>5</v>
      </c>
      <c r="D12" t="s">
        <v>29</v>
      </c>
      <c r="E12" s="1">
        <v>0.29599999999999999</v>
      </c>
      <c r="G12" s="14"/>
      <c r="H12" s="14"/>
      <c r="I12" s="14">
        <f>0.296/8</f>
        <v>3.6999999999999998E-2</v>
      </c>
      <c r="J12" s="14">
        <f t="shared" ref="J12:P12" si="4">0.296/8</f>
        <v>3.6999999999999998E-2</v>
      </c>
      <c r="K12" s="14">
        <f t="shared" si="4"/>
        <v>3.6999999999999998E-2</v>
      </c>
      <c r="L12" s="14">
        <f t="shared" si="4"/>
        <v>3.6999999999999998E-2</v>
      </c>
      <c r="M12" s="14">
        <f t="shared" si="4"/>
        <v>3.6999999999999998E-2</v>
      </c>
      <c r="N12" s="14">
        <f t="shared" si="4"/>
        <v>3.6999999999999998E-2</v>
      </c>
      <c r="O12" s="14">
        <f t="shared" si="4"/>
        <v>3.6999999999999998E-2</v>
      </c>
      <c r="P12" s="14">
        <f t="shared" si="4"/>
        <v>3.6999999999999998E-2</v>
      </c>
      <c r="Q12" s="14"/>
      <c r="R12" s="14"/>
      <c r="S12" s="14">
        <f t="shared" si="0"/>
        <v>0.29599999999999999</v>
      </c>
    </row>
    <row r="13" spans="1:19" x14ac:dyDescent="0.25">
      <c r="B13">
        <v>2002</v>
      </c>
      <c r="C13" t="s">
        <v>5</v>
      </c>
      <c r="D13" t="s">
        <v>30</v>
      </c>
      <c r="E13" s="1">
        <v>0.69799999999999995</v>
      </c>
      <c r="G13" s="14"/>
      <c r="H13" s="14"/>
      <c r="I13" s="14">
        <f>0.698/8</f>
        <v>8.7249999999999994E-2</v>
      </c>
      <c r="J13" s="14">
        <f t="shared" ref="J13:P13" si="5">0.698/8</f>
        <v>8.7249999999999994E-2</v>
      </c>
      <c r="K13" s="14">
        <f t="shared" si="5"/>
        <v>8.7249999999999994E-2</v>
      </c>
      <c r="L13" s="14">
        <f t="shared" si="5"/>
        <v>8.7249999999999994E-2</v>
      </c>
      <c r="M13" s="14">
        <f t="shared" si="5"/>
        <v>8.7249999999999994E-2</v>
      </c>
      <c r="N13" s="14">
        <f t="shared" si="5"/>
        <v>8.7249999999999994E-2</v>
      </c>
      <c r="O13" s="14">
        <f t="shared" si="5"/>
        <v>8.7249999999999994E-2</v>
      </c>
      <c r="P13" s="14">
        <f t="shared" si="5"/>
        <v>8.7249999999999994E-2</v>
      </c>
      <c r="Q13" s="14"/>
      <c r="R13" s="14"/>
      <c r="S13" s="14">
        <f t="shared" si="0"/>
        <v>0.69799999999999995</v>
      </c>
    </row>
    <row r="14" spans="1:19" x14ac:dyDescent="0.25">
      <c r="B14">
        <v>2002</v>
      </c>
      <c r="C14" t="s">
        <v>5</v>
      </c>
      <c r="D14" t="s">
        <v>28</v>
      </c>
      <c r="E14" s="1">
        <v>4.9000000000000002E-2</v>
      </c>
      <c r="G14" s="14"/>
      <c r="H14" s="14"/>
      <c r="I14" s="14">
        <f>0.049/8</f>
        <v>6.1250000000000002E-3</v>
      </c>
      <c r="J14" s="14">
        <f t="shared" ref="J14:P14" si="6">0.049/8</f>
        <v>6.1250000000000002E-3</v>
      </c>
      <c r="K14" s="14">
        <f t="shared" si="6"/>
        <v>6.1250000000000002E-3</v>
      </c>
      <c r="L14" s="14">
        <f t="shared" si="6"/>
        <v>6.1250000000000002E-3</v>
      </c>
      <c r="M14" s="14">
        <f t="shared" si="6"/>
        <v>6.1250000000000002E-3</v>
      </c>
      <c r="N14" s="14">
        <f t="shared" si="6"/>
        <v>6.1250000000000002E-3</v>
      </c>
      <c r="O14" s="14">
        <f t="shared" si="6"/>
        <v>6.1250000000000002E-3</v>
      </c>
      <c r="P14" s="14">
        <f t="shared" si="6"/>
        <v>6.1250000000000002E-3</v>
      </c>
      <c r="Q14" s="14"/>
      <c r="R14" s="14"/>
      <c r="S14" s="14">
        <f t="shared" si="0"/>
        <v>4.8999999999999995E-2</v>
      </c>
    </row>
    <row r="15" spans="1:19" x14ac:dyDescent="0.25">
      <c r="B15">
        <v>2002</v>
      </c>
      <c r="C15" t="s">
        <v>5</v>
      </c>
      <c r="D15" t="s">
        <v>27</v>
      </c>
      <c r="E15" s="1">
        <v>0.2</v>
      </c>
      <c r="G15" s="14"/>
      <c r="H15" s="14"/>
      <c r="I15" s="14">
        <f>0.2/7</f>
        <v>2.8571428571428574E-2</v>
      </c>
      <c r="J15" s="14">
        <f t="shared" ref="J15:O15" si="7">0.2/7</f>
        <v>2.8571428571428574E-2</v>
      </c>
      <c r="K15" s="14">
        <f t="shared" si="7"/>
        <v>2.8571428571428574E-2</v>
      </c>
      <c r="L15" s="14">
        <f t="shared" si="7"/>
        <v>2.8571428571428574E-2</v>
      </c>
      <c r="M15" s="14">
        <f t="shared" si="7"/>
        <v>2.8571428571428574E-2</v>
      </c>
      <c r="N15" s="14">
        <f t="shared" si="7"/>
        <v>2.8571428571428574E-2</v>
      </c>
      <c r="O15" s="14">
        <f t="shared" si="7"/>
        <v>2.8571428571428574E-2</v>
      </c>
      <c r="P15" s="14"/>
      <c r="Q15" s="14"/>
      <c r="R15" s="14"/>
      <c r="S15" s="14">
        <f t="shared" si="0"/>
        <v>0.20000000000000004</v>
      </c>
    </row>
    <row r="16" spans="1:19" x14ac:dyDescent="0.25">
      <c r="B16">
        <v>2002</v>
      </c>
      <c r="C16" t="s">
        <v>105</v>
      </c>
      <c r="E16" s="1">
        <v>0.14199999999999999</v>
      </c>
      <c r="F16" s="2">
        <v>37347</v>
      </c>
      <c r="G16" s="14">
        <f>0.142/4</f>
        <v>3.5499999999999997E-2</v>
      </c>
      <c r="H16" s="14">
        <f>0.142/4</f>
        <v>3.5499999999999997E-2</v>
      </c>
      <c r="I16" s="14">
        <f>0.142/4</f>
        <v>3.5499999999999997E-2</v>
      </c>
      <c r="J16" s="14">
        <f>0.142/4</f>
        <v>3.5499999999999997E-2</v>
      </c>
      <c r="K16" s="14"/>
      <c r="L16" s="14"/>
      <c r="M16" s="14"/>
      <c r="N16" s="14"/>
      <c r="O16" s="14"/>
      <c r="P16" s="14"/>
      <c r="Q16" s="14"/>
      <c r="R16" s="14"/>
      <c r="S16" s="14">
        <f t="shared" si="0"/>
        <v>0.14199999999999999</v>
      </c>
    </row>
    <row r="17" spans="1:19" x14ac:dyDescent="0.25">
      <c r="B17">
        <v>2002</v>
      </c>
      <c r="C17" t="s">
        <v>106</v>
      </c>
      <c r="E17" s="1">
        <v>2.38</v>
      </c>
      <c r="F17" s="2">
        <v>37591</v>
      </c>
      <c r="G17" s="14">
        <f>2.38/12</f>
        <v>0.19833333333333333</v>
      </c>
      <c r="H17" s="14">
        <f t="shared" ref="H17:R17" si="8">2.38/12</f>
        <v>0.19833333333333333</v>
      </c>
      <c r="I17" s="14">
        <f t="shared" si="8"/>
        <v>0.19833333333333333</v>
      </c>
      <c r="J17" s="14">
        <f t="shared" si="8"/>
        <v>0.19833333333333333</v>
      </c>
      <c r="K17" s="14">
        <f t="shared" si="8"/>
        <v>0.19833333333333333</v>
      </c>
      <c r="L17" s="14">
        <f t="shared" si="8"/>
        <v>0.19833333333333333</v>
      </c>
      <c r="M17" s="14">
        <f t="shared" si="8"/>
        <v>0.19833333333333333</v>
      </c>
      <c r="N17" s="14">
        <f t="shared" si="8"/>
        <v>0.19833333333333333</v>
      </c>
      <c r="O17" s="14">
        <f t="shared" si="8"/>
        <v>0.19833333333333333</v>
      </c>
      <c r="P17" s="14">
        <f t="shared" si="8"/>
        <v>0.19833333333333333</v>
      </c>
      <c r="Q17" s="14">
        <f t="shared" si="8"/>
        <v>0.19833333333333333</v>
      </c>
      <c r="R17" s="14">
        <f t="shared" si="8"/>
        <v>0.19833333333333333</v>
      </c>
      <c r="S17" s="14">
        <f t="shared" si="0"/>
        <v>2.3799999999999994</v>
      </c>
    </row>
    <row r="18" spans="1:19" s="4" customFormat="1" x14ac:dyDescent="0.25">
      <c r="A18" s="4" t="s">
        <v>87</v>
      </c>
      <c r="E18" s="5">
        <f>SUM(E6:E17)</f>
        <v>5.2510000000000003</v>
      </c>
      <c r="F18" s="6"/>
      <c r="S18" s="15">
        <f>SUM(S6:S17)</f>
        <v>5.2509999999999994</v>
      </c>
    </row>
    <row r="19" spans="1:19" s="10" customFormat="1" x14ac:dyDescent="0.25">
      <c r="E19" s="11"/>
      <c r="F19" s="12"/>
      <c r="S19"/>
    </row>
    <row r="20" spans="1:19" x14ac:dyDescent="0.25">
      <c r="A20" s="4" t="s">
        <v>8</v>
      </c>
    </row>
    <row r="22" spans="1:19" x14ac:dyDescent="0.25">
      <c r="B22">
        <v>2002</v>
      </c>
      <c r="C22" t="s">
        <v>46</v>
      </c>
      <c r="D22" t="s">
        <v>47</v>
      </c>
      <c r="E22" s="1">
        <v>2.5000000000000001E-2</v>
      </c>
      <c r="G22" s="14"/>
      <c r="H22" s="14">
        <v>2.5000000000000001E-2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>
        <f t="shared" si="0"/>
        <v>2.5000000000000001E-2</v>
      </c>
    </row>
    <row r="23" spans="1:19" x14ac:dyDescent="0.25">
      <c r="B23">
        <v>2002</v>
      </c>
      <c r="C23" t="s">
        <v>46</v>
      </c>
      <c r="D23" t="s">
        <v>47</v>
      </c>
      <c r="E23" s="1">
        <v>5.0000000000000001E-3</v>
      </c>
      <c r="G23" s="14">
        <v>5.0000000000000001E-3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>
        <f t="shared" si="0"/>
        <v>5.0000000000000001E-3</v>
      </c>
    </row>
    <row r="24" spans="1:19" x14ac:dyDescent="0.25">
      <c r="B24">
        <v>2002</v>
      </c>
      <c r="C24" t="s">
        <v>48</v>
      </c>
      <c r="D24" t="s">
        <v>8</v>
      </c>
      <c r="E24" s="1">
        <v>1.4999999999999999E-2</v>
      </c>
      <c r="G24" s="14"/>
      <c r="H24" s="14">
        <v>1.4999999999999999E-2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>
        <f t="shared" si="0"/>
        <v>1.4999999999999999E-2</v>
      </c>
    </row>
    <row r="25" spans="1:19" x14ac:dyDescent="0.25">
      <c r="B25">
        <v>2002</v>
      </c>
      <c r="C25" t="s">
        <v>39</v>
      </c>
      <c r="D25" t="s">
        <v>8</v>
      </c>
      <c r="E25" s="1">
        <v>2.9000000000000001E-2</v>
      </c>
      <c r="F25" s="2">
        <v>37408</v>
      </c>
      <c r="G25" s="14"/>
      <c r="H25" s="14"/>
      <c r="I25" s="14"/>
      <c r="J25" s="14">
        <f>0.029/3</f>
        <v>9.6666666666666672E-3</v>
      </c>
      <c r="K25" s="14">
        <f>0.029/3</f>
        <v>9.6666666666666672E-3</v>
      </c>
      <c r="L25" s="14">
        <f>0.029/3</f>
        <v>9.6666666666666672E-3</v>
      </c>
      <c r="M25" s="14"/>
      <c r="N25" s="14"/>
      <c r="O25" s="14"/>
      <c r="P25" s="14"/>
      <c r="Q25" s="14"/>
      <c r="R25" s="14"/>
      <c r="S25" s="14">
        <f t="shared" si="0"/>
        <v>2.9000000000000001E-2</v>
      </c>
    </row>
    <row r="26" spans="1:19" x14ac:dyDescent="0.25">
      <c r="B26">
        <v>2002</v>
      </c>
      <c r="C26" t="s">
        <v>49</v>
      </c>
      <c r="D26" t="s">
        <v>8</v>
      </c>
      <c r="E26" s="1">
        <v>1.7000000000000001E-2</v>
      </c>
      <c r="F26" s="2">
        <v>37289</v>
      </c>
      <c r="G26" s="14">
        <f>0.017/2</f>
        <v>8.5000000000000006E-3</v>
      </c>
      <c r="H26" s="14">
        <f>0.017/2</f>
        <v>8.5000000000000006E-3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>
        <f t="shared" si="0"/>
        <v>1.7000000000000001E-2</v>
      </c>
    </row>
    <row r="27" spans="1:19" s="4" customFormat="1" x14ac:dyDescent="0.25">
      <c r="A27" s="4" t="s">
        <v>87</v>
      </c>
      <c r="E27" s="5">
        <f>SUM(E22:E26)</f>
        <v>9.0999999999999998E-2</v>
      </c>
      <c r="F27" s="6"/>
      <c r="G27" s="5">
        <f t="shared" ref="G27:R27" si="9">SUM(G22:G26)</f>
        <v>1.3500000000000002E-2</v>
      </c>
      <c r="H27" s="5">
        <f t="shared" si="9"/>
        <v>4.8500000000000001E-2</v>
      </c>
      <c r="I27" s="5">
        <f t="shared" si="9"/>
        <v>0</v>
      </c>
      <c r="J27" s="5">
        <f t="shared" si="9"/>
        <v>9.6666666666666672E-3</v>
      </c>
      <c r="K27" s="5">
        <f t="shared" si="9"/>
        <v>9.6666666666666672E-3</v>
      </c>
      <c r="L27" s="5">
        <f t="shared" si="9"/>
        <v>9.6666666666666672E-3</v>
      </c>
      <c r="M27" s="5">
        <f t="shared" si="9"/>
        <v>0</v>
      </c>
      <c r="N27" s="5">
        <f t="shared" si="9"/>
        <v>0</v>
      </c>
      <c r="O27" s="5">
        <f t="shared" si="9"/>
        <v>0</v>
      </c>
      <c r="P27" s="5">
        <f t="shared" si="9"/>
        <v>0</v>
      </c>
      <c r="Q27" s="5">
        <f t="shared" si="9"/>
        <v>0</v>
      </c>
      <c r="R27" s="5">
        <f t="shared" si="9"/>
        <v>0</v>
      </c>
      <c r="S27" s="15">
        <f>SUM(S22:S26)</f>
        <v>9.0999999999999998E-2</v>
      </c>
    </row>
    <row r="29" spans="1:19" x14ac:dyDescent="0.25">
      <c r="A29" s="4" t="s">
        <v>7</v>
      </c>
    </row>
    <row r="30" spans="1:19" x14ac:dyDescent="0.25">
      <c r="B30">
        <v>2002</v>
      </c>
      <c r="C30" t="s">
        <v>35</v>
      </c>
      <c r="D30" t="s">
        <v>36</v>
      </c>
      <c r="E30" s="1">
        <v>2.1999999999999999E-2</v>
      </c>
      <c r="F30" s="2">
        <v>37408</v>
      </c>
      <c r="I30" s="14">
        <f>0.022/4</f>
        <v>5.4999999999999997E-3</v>
      </c>
      <c r="J30" s="14">
        <f>0.022/4</f>
        <v>5.4999999999999997E-3</v>
      </c>
      <c r="K30" s="14">
        <f>0.022/4</f>
        <v>5.4999999999999997E-3</v>
      </c>
      <c r="L30" s="14">
        <f>0.022/4</f>
        <v>5.4999999999999997E-3</v>
      </c>
      <c r="M30" s="14"/>
      <c r="N30" s="14"/>
      <c r="O30" s="14"/>
      <c r="P30" s="14"/>
      <c r="Q30" s="14"/>
      <c r="R30" s="14"/>
      <c r="S30" s="14">
        <f t="shared" si="0"/>
        <v>2.1999999999999999E-2</v>
      </c>
    </row>
    <row r="31" spans="1:19" x14ac:dyDescent="0.25">
      <c r="B31">
        <v>2002</v>
      </c>
      <c r="C31" t="s">
        <v>37</v>
      </c>
      <c r="D31" t="s">
        <v>36</v>
      </c>
      <c r="E31" s="1">
        <v>6.5000000000000002E-2</v>
      </c>
      <c r="F31" s="2">
        <v>37408</v>
      </c>
      <c r="I31" s="14">
        <f>0.065/4</f>
        <v>1.6250000000000001E-2</v>
      </c>
      <c r="J31" s="14">
        <f>0.065/4</f>
        <v>1.6250000000000001E-2</v>
      </c>
      <c r="K31" s="14">
        <f>0.065/4</f>
        <v>1.6250000000000001E-2</v>
      </c>
      <c r="L31" s="14">
        <f>0.065/4</f>
        <v>1.6250000000000001E-2</v>
      </c>
      <c r="M31" s="14"/>
      <c r="N31" s="14"/>
      <c r="O31" s="14"/>
      <c r="P31" s="14"/>
      <c r="Q31" s="14"/>
      <c r="R31" s="14"/>
      <c r="S31" s="14">
        <f t="shared" si="0"/>
        <v>6.5000000000000002E-2</v>
      </c>
    </row>
    <row r="32" spans="1:19" x14ac:dyDescent="0.25">
      <c r="B32">
        <v>2002</v>
      </c>
      <c r="C32" t="s">
        <v>38</v>
      </c>
      <c r="D32" t="s">
        <v>36</v>
      </c>
      <c r="E32" s="1">
        <v>0.108</v>
      </c>
      <c r="F32" s="2">
        <v>37408</v>
      </c>
      <c r="H32">
        <f>0.108/5</f>
        <v>2.1600000000000001E-2</v>
      </c>
      <c r="I32" s="14">
        <f>0.108/5</f>
        <v>2.1600000000000001E-2</v>
      </c>
      <c r="J32" s="14">
        <f>0.108/5</f>
        <v>2.1600000000000001E-2</v>
      </c>
      <c r="K32" s="14">
        <f>0.108/5</f>
        <v>2.1600000000000001E-2</v>
      </c>
      <c r="L32" s="14">
        <f>0.108/5</f>
        <v>2.1600000000000001E-2</v>
      </c>
      <c r="M32" s="14"/>
      <c r="N32" s="14"/>
      <c r="O32" s="14"/>
      <c r="P32" s="14"/>
      <c r="Q32" s="14"/>
      <c r="R32" s="14"/>
      <c r="S32" s="14">
        <f t="shared" si="0"/>
        <v>0.10800000000000001</v>
      </c>
    </row>
    <row r="33" spans="1:19" x14ac:dyDescent="0.25">
      <c r="B33">
        <v>2002</v>
      </c>
      <c r="C33" t="s">
        <v>41</v>
      </c>
      <c r="D33" t="s">
        <v>40</v>
      </c>
      <c r="E33" s="1">
        <v>8.6999999999999994E-2</v>
      </c>
      <c r="F33" s="2">
        <v>37408</v>
      </c>
      <c r="H33">
        <f>0.087/5</f>
        <v>1.7399999999999999E-2</v>
      </c>
      <c r="I33" s="14">
        <f>0.087/5</f>
        <v>1.7399999999999999E-2</v>
      </c>
      <c r="J33" s="14">
        <f>0.087/5</f>
        <v>1.7399999999999999E-2</v>
      </c>
      <c r="K33" s="14">
        <f>0.087/5</f>
        <v>1.7399999999999999E-2</v>
      </c>
      <c r="L33" s="14">
        <f>0.087/5</f>
        <v>1.7399999999999999E-2</v>
      </c>
      <c r="M33" s="14"/>
      <c r="N33" s="14"/>
      <c r="O33" s="14"/>
      <c r="P33" s="14"/>
      <c r="Q33" s="14"/>
      <c r="R33" s="14"/>
      <c r="S33" s="14">
        <f t="shared" si="0"/>
        <v>8.6999999999999994E-2</v>
      </c>
    </row>
    <row r="34" spans="1:19" x14ac:dyDescent="0.25">
      <c r="B34">
        <v>2002</v>
      </c>
      <c r="C34" t="s">
        <v>43</v>
      </c>
      <c r="E34" s="1">
        <v>0.11799999999999999</v>
      </c>
      <c r="I34" s="14">
        <f>0.118/7</f>
        <v>1.6857142857142855E-2</v>
      </c>
      <c r="J34" s="14">
        <f t="shared" ref="J34:O34" si="10">0.118/7</f>
        <v>1.6857142857142855E-2</v>
      </c>
      <c r="K34" s="14">
        <f t="shared" si="10"/>
        <v>1.6857142857142855E-2</v>
      </c>
      <c r="L34" s="14">
        <f t="shared" si="10"/>
        <v>1.6857142857142855E-2</v>
      </c>
      <c r="M34" s="14">
        <f t="shared" si="10"/>
        <v>1.6857142857142855E-2</v>
      </c>
      <c r="N34" s="14">
        <f t="shared" si="10"/>
        <v>1.6857142857142855E-2</v>
      </c>
      <c r="O34" s="14">
        <f t="shared" si="10"/>
        <v>1.6857142857142855E-2</v>
      </c>
      <c r="P34" s="14"/>
      <c r="Q34" s="14"/>
      <c r="R34" s="14"/>
      <c r="S34" s="14">
        <f t="shared" si="0"/>
        <v>0.11799999999999997</v>
      </c>
    </row>
    <row r="35" spans="1:19" s="4" customFormat="1" x14ac:dyDescent="0.25">
      <c r="A35" s="4" t="s">
        <v>87</v>
      </c>
      <c r="E35" s="5">
        <f>SUM(E30:E34)</f>
        <v>0.4</v>
      </c>
      <c r="F35" s="6"/>
      <c r="G35" s="5">
        <f t="shared" ref="G35:R35" si="11">SUM(G30:G34)</f>
        <v>0</v>
      </c>
      <c r="H35" s="5">
        <f t="shared" si="11"/>
        <v>3.9E-2</v>
      </c>
      <c r="I35" s="5">
        <f t="shared" si="11"/>
        <v>7.7607142857142847E-2</v>
      </c>
      <c r="J35" s="5">
        <f t="shared" si="11"/>
        <v>7.7607142857142847E-2</v>
      </c>
      <c r="K35" s="5">
        <f t="shared" si="11"/>
        <v>7.7607142857142847E-2</v>
      </c>
      <c r="L35" s="5">
        <f t="shared" si="11"/>
        <v>7.7607142857142847E-2</v>
      </c>
      <c r="M35" s="5">
        <f t="shared" si="11"/>
        <v>1.6857142857142855E-2</v>
      </c>
      <c r="N35" s="5">
        <f t="shared" si="11"/>
        <v>1.6857142857142855E-2</v>
      </c>
      <c r="O35" s="5">
        <f t="shared" si="11"/>
        <v>1.6857142857142855E-2</v>
      </c>
      <c r="P35" s="5">
        <f t="shared" si="11"/>
        <v>0</v>
      </c>
      <c r="Q35" s="5">
        <f t="shared" si="11"/>
        <v>0</v>
      </c>
      <c r="R35" s="5">
        <f t="shared" si="11"/>
        <v>0</v>
      </c>
      <c r="S35" s="15">
        <f>SUM(S30:S34)</f>
        <v>0.4</v>
      </c>
    </row>
    <row r="37" spans="1:19" x14ac:dyDescent="0.25">
      <c r="A37" s="4" t="s">
        <v>6</v>
      </c>
    </row>
    <row r="38" spans="1:19" x14ac:dyDescent="0.25">
      <c r="B38">
        <v>2002</v>
      </c>
      <c r="C38" t="s">
        <v>56</v>
      </c>
      <c r="D38" t="s">
        <v>57</v>
      </c>
      <c r="E38" s="1">
        <v>3.6999999999999998E-2</v>
      </c>
      <c r="F38" s="2">
        <v>37560</v>
      </c>
      <c r="G38" s="14"/>
      <c r="H38" s="14"/>
      <c r="I38" s="14"/>
      <c r="J38" s="14"/>
      <c r="K38" s="14"/>
      <c r="L38" s="14"/>
      <c r="M38" s="14"/>
      <c r="N38" s="14">
        <f>0.037/3</f>
        <v>1.2333333333333333E-2</v>
      </c>
      <c r="O38" s="14">
        <f>0.037/3</f>
        <v>1.2333333333333333E-2</v>
      </c>
      <c r="P38" s="14">
        <f>0.037/3</f>
        <v>1.2333333333333333E-2</v>
      </c>
      <c r="Q38" s="14"/>
      <c r="R38" s="14"/>
      <c r="S38" s="14">
        <f t="shared" ref="S38:S59" si="12">SUM(G38:R38)</f>
        <v>3.6999999999999998E-2</v>
      </c>
    </row>
    <row r="39" spans="1:19" x14ac:dyDescent="0.25">
      <c r="B39">
        <v>2002</v>
      </c>
      <c r="C39" t="s">
        <v>58</v>
      </c>
      <c r="D39" t="s">
        <v>57</v>
      </c>
      <c r="E39" s="1">
        <v>8.9999999999999993E-3</v>
      </c>
      <c r="G39" s="14">
        <v>8.9999999999999993E-3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>
        <f t="shared" si="12"/>
        <v>8.9999999999999993E-3</v>
      </c>
    </row>
    <row r="40" spans="1:19" x14ac:dyDescent="0.25">
      <c r="B40">
        <v>2002</v>
      </c>
      <c r="C40" t="s">
        <v>59</v>
      </c>
      <c r="D40" t="s">
        <v>57</v>
      </c>
      <c r="E40" s="1">
        <v>0.08</v>
      </c>
      <c r="G40" s="14">
        <v>0.04</v>
      </c>
      <c r="H40" s="14">
        <v>0.04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>
        <f t="shared" si="12"/>
        <v>0.08</v>
      </c>
    </row>
    <row r="41" spans="1:19" x14ac:dyDescent="0.25">
      <c r="B41">
        <v>2002</v>
      </c>
      <c r="C41" t="s">
        <v>60</v>
      </c>
      <c r="D41" t="s">
        <v>57</v>
      </c>
      <c r="E41" s="1">
        <v>4.4999999999999998E-2</v>
      </c>
      <c r="G41" s="14"/>
      <c r="H41" s="14">
        <f>0.045/2</f>
        <v>2.2499999999999999E-2</v>
      </c>
      <c r="I41" s="14">
        <f>0.045/2</f>
        <v>2.2499999999999999E-2</v>
      </c>
      <c r="J41" s="14"/>
      <c r="K41" s="14"/>
      <c r="L41" s="14"/>
      <c r="M41" s="14"/>
      <c r="N41" s="14"/>
      <c r="O41" s="14"/>
      <c r="P41" s="14"/>
      <c r="Q41" s="14"/>
      <c r="R41" s="14"/>
      <c r="S41" s="14">
        <f t="shared" si="12"/>
        <v>4.4999999999999998E-2</v>
      </c>
    </row>
    <row r="42" spans="1:19" x14ac:dyDescent="0.25">
      <c r="B42">
        <v>2002</v>
      </c>
      <c r="C42" t="s">
        <v>61</v>
      </c>
      <c r="D42" t="s">
        <v>57</v>
      </c>
      <c r="E42" s="1">
        <v>0.14099999999999999</v>
      </c>
      <c r="G42" s="14"/>
      <c r="H42" s="14">
        <f>0.141/4</f>
        <v>3.5249999999999997E-2</v>
      </c>
      <c r="I42" s="14">
        <f>0.141/4</f>
        <v>3.5249999999999997E-2</v>
      </c>
      <c r="J42" s="14">
        <f>0.141/4</f>
        <v>3.5249999999999997E-2</v>
      </c>
      <c r="K42" s="14">
        <f>0.141/4</f>
        <v>3.5249999999999997E-2</v>
      </c>
      <c r="L42" s="14"/>
      <c r="M42" s="14"/>
      <c r="N42" s="14"/>
      <c r="O42" s="14"/>
      <c r="P42" s="14"/>
      <c r="Q42" s="14"/>
      <c r="R42" s="14"/>
      <c r="S42" s="14">
        <f t="shared" si="12"/>
        <v>0.14099999999999999</v>
      </c>
    </row>
    <row r="43" spans="1:19" x14ac:dyDescent="0.25">
      <c r="B43">
        <v>2002</v>
      </c>
      <c r="C43" t="s">
        <v>62</v>
      </c>
      <c r="D43" t="s">
        <v>57</v>
      </c>
      <c r="E43" s="1">
        <v>2.1000000000000001E-2</v>
      </c>
      <c r="F43" s="2">
        <v>37560</v>
      </c>
      <c r="G43" s="14"/>
      <c r="H43" s="14"/>
      <c r="I43" s="14"/>
      <c r="J43" s="14"/>
      <c r="K43" s="14"/>
      <c r="L43" s="14"/>
      <c r="M43" s="14"/>
      <c r="N43" s="14">
        <f>0.021/3</f>
        <v>7.0000000000000001E-3</v>
      </c>
      <c r="O43" s="14">
        <f>0.021/3</f>
        <v>7.0000000000000001E-3</v>
      </c>
      <c r="P43" s="14">
        <f>0.021/3</f>
        <v>7.0000000000000001E-3</v>
      </c>
      <c r="Q43" s="14"/>
      <c r="R43" s="14"/>
      <c r="S43" s="14">
        <f t="shared" si="12"/>
        <v>2.1000000000000001E-2</v>
      </c>
    </row>
    <row r="44" spans="1:19" x14ac:dyDescent="0.25">
      <c r="B44">
        <v>2002</v>
      </c>
      <c r="C44" t="s">
        <v>63</v>
      </c>
      <c r="D44" t="s">
        <v>57</v>
      </c>
      <c r="E44" s="1">
        <v>0.20300000000000001</v>
      </c>
      <c r="F44" s="2">
        <v>37500</v>
      </c>
      <c r="G44" s="14"/>
      <c r="H44" s="14">
        <f>0.203/8</f>
        <v>2.5375000000000002E-2</v>
      </c>
      <c r="I44" s="14">
        <f t="shared" ref="I44:N44" si="13">0.203/8</f>
        <v>2.5375000000000002E-2</v>
      </c>
      <c r="J44" s="14">
        <f t="shared" si="13"/>
        <v>2.5375000000000002E-2</v>
      </c>
      <c r="K44" s="14">
        <f t="shared" si="13"/>
        <v>2.5375000000000002E-2</v>
      </c>
      <c r="L44" s="14">
        <f t="shared" si="13"/>
        <v>2.5375000000000002E-2</v>
      </c>
      <c r="M44" s="14">
        <f t="shared" si="13"/>
        <v>2.5375000000000002E-2</v>
      </c>
      <c r="N44" s="14">
        <f t="shared" si="13"/>
        <v>2.5375000000000002E-2</v>
      </c>
      <c r="O44" s="14">
        <f>0.203/8</f>
        <v>2.5375000000000002E-2</v>
      </c>
      <c r="P44" s="14"/>
      <c r="Q44" s="14"/>
      <c r="R44" s="14"/>
      <c r="S44" s="14">
        <f t="shared" si="12"/>
        <v>0.20300000000000004</v>
      </c>
    </row>
    <row r="45" spans="1:19" x14ac:dyDescent="0.25">
      <c r="B45">
        <v>2002</v>
      </c>
      <c r="C45" t="s">
        <v>64</v>
      </c>
      <c r="D45" t="s">
        <v>11</v>
      </c>
      <c r="E45" s="1">
        <v>0.13</v>
      </c>
      <c r="F45" s="2">
        <v>37347</v>
      </c>
      <c r="G45" s="14">
        <f>0.13/4</f>
        <v>3.2500000000000001E-2</v>
      </c>
      <c r="H45" s="14">
        <f>0.13/4</f>
        <v>3.2500000000000001E-2</v>
      </c>
      <c r="I45" s="14">
        <f>0.13/4</f>
        <v>3.2500000000000001E-2</v>
      </c>
      <c r="J45" s="14">
        <f>0.13/4</f>
        <v>3.2500000000000001E-2</v>
      </c>
      <c r="K45" s="14"/>
      <c r="L45" s="14"/>
      <c r="M45" s="14"/>
      <c r="N45" s="14"/>
      <c r="O45" s="14"/>
      <c r="P45" s="14"/>
      <c r="Q45" s="14"/>
      <c r="R45" s="14"/>
      <c r="S45" s="14">
        <f t="shared" si="12"/>
        <v>0.13</v>
      </c>
    </row>
    <row r="46" spans="1:19" x14ac:dyDescent="0.25">
      <c r="B46">
        <v>2002</v>
      </c>
      <c r="C46" t="s">
        <v>88</v>
      </c>
      <c r="D46" t="s">
        <v>11</v>
      </c>
      <c r="E46" s="1">
        <v>2.3980000000000001</v>
      </c>
      <c r="F46" s="2">
        <v>37773</v>
      </c>
      <c r="G46" s="14">
        <f>2.398/12</f>
        <v>0.19983333333333334</v>
      </c>
      <c r="H46" s="14">
        <f t="shared" ref="H46:R46" si="14">2.398/12</f>
        <v>0.19983333333333334</v>
      </c>
      <c r="I46" s="14">
        <f t="shared" si="14"/>
        <v>0.19983333333333334</v>
      </c>
      <c r="J46" s="14">
        <f t="shared" si="14"/>
        <v>0.19983333333333334</v>
      </c>
      <c r="K46" s="14">
        <f t="shared" si="14"/>
        <v>0.19983333333333334</v>
      </c>
      <c r="L46" s="14">
        <f t="shared" si="14"/>
        <v>0.19983333333333334</v>
      </c>
      <c r="M46" s="14">
        <f t="shared" si="14"/>
        <v>0.19983333333333334</v>
      </c>
      <c r="N46" s="14">
        <f t="shared" si="14"/>
        <v>0.19983333333333334</v>
      </c>
      <c r="O46" s="14">
        <f t="shared" si="14"/>
        <v>0.19983333333333334</v>
      </c>
      <c r="P46" s="14">
        <f t="shared" si="14"/>
        <v>0.19983333333333334</v>
      </c>
      <c r="Q46" s="14">
        <f t="shared" si="14"/>
        <v>0.19983333333333334</v>
      </c>
      <c r="R46" s="14">
        <f t="shared" si="14"/>
        <v>0.19983333333333334</v>
      </c>
      <c r="S46" s="14">
        <f t="shared" si="12"/>
        <v>2.3980000000000001</v>
      </c>
    </row>
    <row r="47" spans="1:19" x14ac:dyDescent="0.25">
      <c r="B47">
        <v>2002</v>
      </c>
      <c r="C47" t="s">
        <v>65</v>
      </c>
      <c r="D47" t="s">
        <v>11</v>
      </c>
      <c r="E47" s="1">
        <v>0.40799999999999997</v>
      </c>
      <c r="F47" s="2">
        <v>37408</v>
      </c>
      <c r="G47" s="14"/>
      <c r="H47" s="14">
        <f>0.408/5</f>
        <v>8.1599999999999992E-2</v>
      </c>
      <c r="I47" s="14">
        <f>0.408/5</f>
        <v>8.1599999999999992E-2</v>
      </c>
      <c r="J47" s="14">
        <f>0.408/5</f>
        <v>8.1599999999999992E-2</v>
      </c>
      <c r="K47" s="14">
        <f>0.408/5</f>
        <v>8.1599999999999992E-2</v>
      </c>
      <c r="L47" s="14">
        <f>0.408/5</f>
        <v>8.1599999999999992E-2</v>
      </c>
      <c r="M47" s="14"/>
      <c r="N47" s="14"/>
      <c r="O47" s="14"/>
      <c r="P47" s="14"/>
      <c r="Q47" s="14"/>
      <c r="R47" s="14"/>
      <c r="S47" s="14">
        <f t="shared" si="12"/>
        <v>0.40799999999999997</v>
      </c>
    </row>
    <row r="48" spans="1:19" x14ac:dyDescent="0.25">
      <c r="B48">
        <v>2002</v>
      </c>
      <c r="C48" t="s">
        <v>66</v>
      </c>
      <c r="D48" t="s">
        <v>11</v>
      </c>
      <c r="E48" s="1">
        <v>5.3999999999999999E-2</v>
      </c>
      <c r="F48" s="2">
        <v>37408</v>
      </c>
      <c r="G48" s="14">
        <f t="shared" ref="G48:L48" si="15">0.054/6</f>
        <v>8.9999999999999993E-3</v>
      </c>
      <c r="H48" s="14">
        <f t="shared" si="15"/>
        <v>8.9999999999999993E-3</v>
      </c>
      <c r="I48" s="14">
        <f t="shared" si="15"/>
        <v>8.9999999999999993E-3</v>
      </c>
      <c r="J48" s="14">
        <f t="shared" si="15"/>
        <v>8.9999999999999993E-3</v>
      </c>
      <c r="K48" s="14">
        <f t="shared" si="15"/>
        <v>8.9999999999999993E-3</v>
      </c>
      <c r="L48" s="14">
        <f t="shared" si="15"/>
        <v>8.9999999999999993E-3</v>
      </c>
      <c r="M48" s="14"/>
      <c r="N48" s="14"/>
      <c r="O48" s="14"/>
      <c r="P48" s="14"/>
      <c r="Q48" s="14"/>
      <c r="R48" s="14"/>
      <c r="S48" s="14">
        <f t="shared" si="12"/>
        <v>5.3999999999999999E-2</v>
      </c>
    </row>
    <row r="49" spans="1:19" x14ac:dyDescent="0.25">
      <c r="B49">
        <v>2002</v>
      </c>
      <c r="C49" t="s">
        <v>67</v>
      </c>
      <c r="D49" t="s">
        <v>11</v>
      </c>
      <c r="E49" s="1">
        <v>0.53100000000000003</v>
      </c>
      <c r="F49" s="2">
        <v>37561</v>
      </c>
      <c r="G49" s="14"/>
      <c r="H49" s="14"/>
      <c r="I49" s="14"/>
      <c r="J49" s="14">
        <f>0.531/8</f>
        <v>6.6375000000000003E-2</v>
      </c>
      <c r="K49" s="14">
        <f>0.531/8</f>
        <v>6.6375000000000003E-2</v>
      </c>
      <c r="L49" s="14">
        <f t="shared" ref="L49:Q49" si="16">0.531/8</f>
        <v>6.6375000000000003E-2</v>
      </c>
      <c r="M49" s="14">
        <f t="shared" si="16"/>
        <v>6.6375000000000003E-2</v>
      </c>
      <c r="N49" s="14">
        <f t="shared" si="16"/>
        <v>6.6375000000000003E-2</v>
      </c>
      <c r="O49" s="14">
        <f t="shared" si="16"/>
        <v>6.6375000000000003E-2</v>
      </c>
      <c r="P49" s="14">
        <f t="shared" si="16"/>
        <v>6.6375000000000003E-2</v>
      </c>
      <c r="Q49" s="14">
        <f t="shared" si="16"/>
        <v>6.6375000000000003E-2</v>
      </c>
      <c r="R49" s="14"/>
      <c r="S49" s="14">
        <f t="shared" si="12"/>
        <v>0.53100000000000003</v>
      </c>
    </row>
    <row r="50" spans="1:19" x14ac:dyDescent="0.25">
      <c r="B50">
        <v>2002</v>
      </c>
      <c r="C50" t="s">
        <v>68</v>
      </c>
      <c r="D50" t="s">
        <v>11</v>
      </c>
      <c r="E50" s="1">
        <v>0.33900000000000002</v>
      </c>
      <c r="F50" s="2">
        <v>37561</v>
      </c>
      <c r="G50" s="14"/>
      <c r="H50" s="14"/>
      <c r="I50" s="14"/>
      <c r="J50" s="14"/>
      <c r="K50" s="14"/>
      <c r="L50" s="14"/>
      <c r="M50" s="14">
        <f>0.339/5</f>
        <v>6.7799999999999999E-2</v>
      </c>
      <c r="N50" s="14">
        <f>0.339/5</f>
        <v>6.7799999999999999E-2</v>
      </c>
      <c r="O50" s="14">
        <f>0.339/5</f>
        <v>6.7799999999999999E-2</v>
      </c>
      <c r="P50" s="14">
        <f>0.339/5</f>
        <v>6.7799999999999999E-2</v>
      </c>
      <c r="Q50" s="14">
        <f>0.339/5</f>
        <v>6.7799999999999999E-2</v>
      </c>
      <c r="R50" s="14"/>
      <c r="S50" s="14">
        <f t="shared" si="12"/>
        <v>0.33899999999999997</v>
      </c>
    </row>
    <row r="51" spans="1:19" x14ac:dyDescent="0.25">
      <c r="B51">
        <v>2002</v>
      </c>
      <c r="C51" t="s">
        <v>69</v>
      </c>
      <c r="D51" t="s">
        <v>11</v>
      </c>
      <c r="E51" s="1">
        <v>0.14000000000000001</v>
      </c>
      <c r="F51" s="2">
        <v>37408</v>
      </c>
      <c r="G51" s="14"/>
      <c r="H51" s="14"/>
      <c r="I51" s="14">
        <f>0.14/4</f>
        <v>3.5000000000000003E-2</v>
      </c>
      <c r="J51" s="14">
        <f>0.14/4</f>
        <v>3.5000000000000003E-2</v>
      </c>
      <c r="K51" s="14">
        <f>0.14/4</f>
        <v>3.5000000000000003E-2</v>
      </c>
      <c r="L51" s="14">
        <f>0.14/4</f>
        <v>3.5000000000000003E-2</v>
      </c>
      <c r="M51" s="14"/>
      <c r="N51" s="14"/>
      <c r="O51" s="14"/>
      <c r="P51" s="14"/>
      <c r="Q51" s="14"/>
      <c r="R51" s="14"/>
      <c r="S51" s="14">
        <f t="shared" si="12"/>
        <v>0.14000000000000001</v>
      </c>
    </row>
    <row r="52" spans="1:19" x14ac:dyDescent="0.25">
      <c r="B52">
        <v>2002</v>
      </c>
      <c r="C52" t="s">
        <v>70</v>
      </c>
      <c r="D52" t="s">
        <v>11</v>
      </c>
      <c r="E52" s="1">
        <v>5.0999999999999997E-2</v>
      </c>
      <c r="F52" s="2">
        <v>37408</v>
      </c>
      <c r="G52" s="14"/>
      <c r="H52" s="14"/>
      <c r="I52" s="14"/>
      <c r="J52" s="14">
        <f>0.051/3</f>
        <v>1.6999999999999998E-2</v>
      </c>
      <c r="K52" s="14">
        <f>0.051/3</f>
        <v>1.6999999999999998E-2</v>
      </c>
      <c r="L52" s="14">
        <f>0.051/3</f>
        <v>1.6999999999999998E-2</v>
      </c>
      <c r="M52" s="14"/>
      <c r="N52" s="14"/>
      <c r="O52" s="14"/>
      <c r="P52" s="14"/>
      <c r="Q52" s="14"/>
      <c r="R52" s="14"/>
      <c r="S52" s="14">
        <f t="shared" si="12"/>
        <v>5.099999999999999E-2</v>
      </c>
    </row>
    <row r="53" spans="1:19" x14ac:dyDescent="0.25">
      <c r="B53">
        <v>2002</v>
      </c>
      <c r="C53" t="s">
        <v>71</v>
      </c>
      <c r="D53" t="s">
        <v>11</v>
      </c>
      <c r="E53" s="1">
        <v>0.06</v>
      </c>
      <c r="F53" s="2">
        <v>37500</v>
      </c>
      <c r="G53" s="14"/>
      <c r="H53" s="14"/>
      <c r="I53" s="14"/>
      <c r="J53" s="14"/>
      <c r="K53" s="14"/>
      <c r="L53" s="14">
        <f>0.06/4</f>
        <v>1.4999999999999999E-2</v>
      </c>
      <c r="M53" s="14">
        <f>0.06/4</f>
        <v>1.4999999999999999E-2</v>
      </c>
      <c r="N53" s="14">
        <f>0.06/4</f>
        <v>1.4999999999999999E-2</v>
      </c>
      <c r="O53" s="14">
        <f>0.06/4</f>
        <v>1.4999999999999999E-2</v>
      </c>
      <c r="P53" s="14"/>
      <c r="Q53" s="14"/>
      <c r="R53" s="14"/>
      <c r="S53" s="14">
        <f t="shared" si="12"/>
        <v>0.06</v>
      </c>
    </row>
    <row r="54" spans="1:19" x14ac:dyDescent="0.25">
      <c r="B54">
        <v>2002</v>
      </c>
      <c r="C54" t="s">
        <v>72</v>
      </c>
      <c r="D54" t="s">
        <v>11</v>
      </c>
      <c r="E54" s="1">
        <v>0.24</v>
      </c>
      <c r="F54" s="2">
        <v>37500</v>
      </c>
      <c r="G54" s="14"/>
      <c r="H54" s="14"/>
      <c r="I54" s="14"/>
      <c r="J54" s="14"/>
      <c r="K54" s="14"/>
      <c r="L54" s="14">
        <f>0.24/4</f>
        <v>0.06</v>
      </c>
      <c r="M54" s="14">
        <f>0.24/4</f>
        <v>0.06</v>
      </c>
      <c r="N54" s="14">
        <f>0.24/4</f>
        <v>0.06</v>
      </c>
      <c r="O54" s="14">
        <f>0.24/4</f>
        <v>0.06</v>
      </c>
      <c r="P54" s="14"/>
      <c r="Q54" s="14"/>
      <c r="R54" s="14"/>
      <c r="S54" s="14">
        <f t="shared" si="12"/>
        <v>0.24</v>
      </c>
    </row>
    <row r="55" spans="1:19" x14ac:dyDescent="0.25">
      <c r="B55">
        <v>2002</v>
      </c>
      <c r="C55" t="s">
        <v>73</v>
      </c>
      <c r="D55" t="s">
        <v>11</v>
      </c>
      <c r="E55" s="1">
        <v>0.20499999999999999</v>
      </c>
      <c r="F55" s="2">
        <v>37408</v>
      </c>
      <c r="G55" s="14"/>
      <c r="H55" s="14">
        <f>0.205/5</f>
        <v>4.0999999999999995E-2</v>
      </c>
      <c r="I55" s="14">
        <f>0.205/5</f>
        <v>4.0999999999999995E-2</v>
      </c>
      <c r="J55" s="14">
        <f>0.205/5</f>
        <v>4.0999999999999995E-2</v>
      </c>
      <c r="K55" s="14">
        <f>0.205/5</f>
        <v>4.0999999999999995E-2</v>
      </c>
      <c r="L55" s="14">
        <f>0.205/5</f>
        <v>4.0999999999999995E-2</v>
      </c>
      <c r="M55" s="14"/>
      <c r="N55" s="14"/>
      <c r="O55" s="14"/>
      <c r="P55" s="14"/>
      <c r="Q55" s="14"/>
      <c r="R55" s="14"/>
      <c r="S55" s="14">
        <f t="shared" si="12"/>
        <v>0.20499999999999996</v>
      </c>
    </row>
    <row r="56" spans="1:19" x14ac:dyDescent="0.25">
      <c r="B56">
        <v>2002</v>
      </c>
      <c r="C56" t="s">
        <v>74</v>
      </c>
      <c r="D56" t="s">
        <v>75</v>
      </c>
      <c r="E56" s="1">
        <v>0.19900000000000001</v>
      </c>
      <c r="F56" s="2">
        <v>37408</v>
      </c>
      <c r="G56" s="14">
        <f t="shared" ref="G56:L56" si="17">0.199/6</f>
        <v>3.3166666666666671E-2</v>
      </c>
      <c r="H56" s="14">
        <f t="shared" si="17"/>
        <v>3.3166666666666671E-2</v>
      </c>
      <c r="I56" s="14">
        <f t="shared" si="17"/>
        <v>3.3166666666666671E-2</v>
      </c>
      <c r="J56" s="14">
        <f t="shared" si="17"/>
        <v>3.3166666666666671E-2</v>
      </c>
      <c r="K56" s="14">
        <f t="shared" si="17"/>
        <v>3.3166666666666671E-2</v>
      </c>
      <c r="L56" s="14">
        <f t="shared" si="17"/>
        <v>3.3166666666666671E-2</v>
      </c>
      <c r="M56" s="14"/>
      <c r="N56" s="14"/>
      <c r="O56" s="14"/>
      <c r="P56" s="14"/>
      <c r="Q56" s="14"/>
      <c r="R56" s="14"/>
      <c r="S56" s="14">
        <f t="shared" si="12"/>
        <v>0.19900000000000004</v>
      </c>
    </row>
    <row r="57" spans="1:19" x14ac:dyDescent="0.25">
      <c r="B57">
        <v>2002</v>
      </c>
      <c r="C57" t="s">
        <v>76</v>
      </c>
      <c r="D57" t="s">
        <v>75</v>
      </c>
      <c r="E57" s="1">
        <v>0.17499999999999999</v>
      </c>
      <c r="F57" s="2">
        <v>37408</v>
      </c>
      <c r="G57" s="14">
        <f t="shared" ref="G57:L57" si="18">0.175/6</f>
        <v>2.9166666666666664E-2</v>
      </c>
      <c r="H57" s="14">
        <f t="shared" si="18"/>
        <v>2.9166666666666664E-2</v>
      </c>
      <c r="I57" s="14">
        <f t="shared" si="18"/>
        <v>2.9166666666666664E-2</v>
      </c>
      <c r="J57" s="14">
        <f t="shared" si="18"/>
        <v>2.9166666666666664E-2</v>
      </c>
      <c r="K57" s="14">
        <f t="shared" si="18"/>
        <v>2.9166666666666664E-2</v>
      </c>
      <c r="L57" s="14">
        <f t="shared" si="18"/>
        <v>2.9166666666666664E-2</v>
      </c>
      <c r="M57" s="14"/>
      <c r="N57" s="14"/>
      <c r="O57" s="14"/>
      <c r="P57" s="14"/>
      <c r="Q57" s="14"/>
      <c r="R57" s="14"/>
      <c r="S57" s="14">
        <f t="shared" si="12"/>
        <v>0.17499999999999999</v>
      </c>
    </row>
    <row r="58" spans="1:19" x14ac:dyDescent="0.25">
      <c r="B58">
        <v>2002</v>
      </c>
      <c r="C58" t="s">
        <v>77</v>
      </c>
      <c r="D58" t="s">
        <v>75</v>
      </c>
      <c r="E58" s="1">
        <v>7.0000000000000007E-2</v>
      </c>
      <c r="G58" s="14"/>
      <c r="H58" s="14">
        <f>0.07/5</f>
        <v>1.4000000000000002E-2</v>
      </c>
      <c r="I58" s="14">
        <f>0.07/5</f>
        <v>1.4000000000000002E-2</v>
      </c>
      <c r="J58" s="14">
        <f>0.07/5</f>
        <v>1.4000000000000002E-2</v>
      </c>
      <c r="K58" s="14">
        <f>0.07/5</f>
        <v>1.4000000000000002E-2</v>
      </c>
      <c r="L58" s="14">
        <f>0.07/5</f>
        <v>1.4000000000000002E-2</v>
      </c>
      <c r="M58" s="14"/>
      <c r="N58" s="14"/>
      <c r="O58" s="14"/>
      <c r="P58" s="14"/>
      <c r="Q58" s="14"/>
      <c r="R58" s="14"/>
      <c r="S58" s="14">
        <f t="shared" si="12"/>
        <v>7.0000000000000007E-2</v>
      </c>
    </row>
    <row r="59" spans="1:19" x14ac:dyDescent="0.25">
      <c r="B59">
        <v>2002</v>
      </c>
      <c r="C59" t="s">
        <v>108</v>
      </c>
      <c r="E59" s="1">
        <v>1.7000000000000001E-2</v>
      </c>
      <c r="F59" s="2">
        <v>37073</v>
      </c>
      <c r="G59" s="14"/>
      <c r="H59" s="14"/>
      <c r="I59" s="14">
        <f>0.017/5</f>
        <v>3.4000000000000002E-3</v>
      </c>
      <c r="J59" s="14">
        <f>0.017/5</f>
        <v>3.4000000000000002E-3</v>
      </c>
      <c r="K59" s="14">
        <f>0.017/5</f>
        <v>3.4000000000000002E-3</v>
      </c>
      <c r="L59" s="14">
        <f>0.017/5</f>
        <v>3.4000000000000002E-3</v>
      </c>
      <c r="M59" s="14">
        <f>0.017/5</f>
        <v>3.4000000000000002E-3</v>
      </c>
      <c r="N59" s="14"/>
      <c r="O59" s="14"/>
      <c r="P59" s="14"/>
      <c r="Q59" s="14"/>
      <c r="R59" s="14"/>
      <c r="S59" s="14">
        <f t="shared" si="12"/>
        <v>1.7000000000000001E-2</v>
      </c>
    </row>
    <row r="60" spans="1:19" s="4" customFormat="1" x14ac:dyDescent="0.25">
      <c r="A60" s="4" t="s">
        <v>87</v>
      </c>
      <c r="E60" s="5">
        <f>SUM(E38:E59)</f>
        <v>5.5529999999999999</v>
      </c>
      <c r="F60" s="6"/>
      <c r="G60" s="5">
        <f t="shared" ref="G60:R60" si="19">SUM(G38:G58)</f>
        <v>0.35266666666666668</v>
      </c>
      <c r="H60" s="5">
        <f t="shared" si="19"/>
        <v>0.56339166666666662</v>
      </c>
      <c r="I60" s="5">
        <f t="shared" si="19"/>
        <v>0.55839166666666662</v>
      </c>
      <c r="J60" s="5">
        <f t="shared" si="19"/>
        <v>0.61926666666666674</v>
      </c>
      <c r="K60" s="5">
        <f t="shared" si="19"/>
        <v>0.58676666666666677</v>
      </c>
      <c r="L60" s="5">
        <f t="shared" si="19"/>
        <v>0.62651666666666672</v>
      </c>
      <c r="M60" s="5">
        <f t="shared" si="19"/>
        <v>0.4343833333333334</v>
      </c>
      <c r="N60" s="5">
        <f t="shared" si="19"/>
        <v>0.45371666666666671</v>
      </c>
      <c r="O60" s="5">
        <f t="shared" si="19"/>
        <v>0.45371666666666671</v>
      </c>
      <c r="P60" s="5">
        <f t="shared" si="19"/>
        <v>0.35334166666666667</v>
      </c>
      <c r="Q60" s="5">
        <f t="shared" si="19"/>
        <v>0.33400833333333335</v>
      </c>
      <c r="R60" s="5">
        <f t="shared" si="19"/>
        <v>0.19983333333333334</v>
      </c>
      <c r="S60" s="15">
        <f>SUM(S38:S59)</f>
        <v>5.552999999999999</v>
      </c>
    </row>
    <row r="61" spans="1:19" x14ac:dyDescent="0.25">
      <c r="A61" s="4"/>
    </row>
    <row r="62" spans="1:19" x14ac:dyDescent="0.25">
      <c r="A62" s="4" t="s">
        <v>54</v>
      </c>
    </row>
    <row r="63" spans="1:19" x14ac:dyDescent="0.25">
      <c r="A63" s="4"/>
      <c r="B63">
        <v>2002</v>
      </c>
      <c r="C63" t="s">
        <v>53</v>
      </c>
      <c r="D63" t="s">
        <v>54</v>
      </c>
      <c r="E63" s="1">
        <v>0.01</v>
      </c>
      <c r="G63">
        <v>0.01</v>
      </c>
      <c r="S63" s="14">
        <f>SUM(G63:R63)</f>
        <v>0.01</v>
      </c>
    </row>
    <row r="64" spans="1:19" s="4" customFormat="1" x14ac:dyDescent="0.25">
      <c r="A64" s="4" t="s">
        <v>55</v>
      </c>
      <c r="E64" s="5">
        <f>SUM(E63:E63)</f>
        <v>0.01</v>
      </c>
      <c r="F64" s="6"/>
      <c r="G64" s="5">
        <f t="shared" ref="G64:R64" si="20">SUM(G63:G63)</f>
        <v>0.01</v>
      </c>
      <c r="H64" s="5">
        <f t="shared" si="20"/>
        <v>0</v>
      </c>
      <c r="I64" s="5">
        <f t="shared" si="20"/>
        <v>0</v>
      </c>
      <c r="J64" s="5">
        <f t="shared" si="20"/>
        <v>0</v>
      </c>
      <c r="K64" s="5">
        <f t="shared" si="20"/>
        <v>0</v>
      </c>
      <c r="L64" s="5">
        <f t="shared" si="20"/>
        <v>0</v>
      </c>
      <c r="M64" s="5">
        <f t="shared" si="20"/>
        <v>0</v>
      </c>
      <c r="N64" s="5">
        <f t="shared" si="20"/>
        <v>0</v>
      </c>
      <c r="O64" s="5">
        <f t="shared" si="20"/>
        <v>0</v>
      </c>
      <c r="P64" s="5">
        <f t="shared" si="20"/>
        <v>0</v>
      </c>
      <c r="Q64" s="5">
        <f t="shared" si="20"/>
        <v>0</v>
      </c>
      <c r="R64" s="5">
        <f t="shared" si="20"/>
        <v>0</v>
      </c>
      <c r="S64" s="15">
        <f>SUM(S63)</f>
        <v>0.01</v>
      </c>
    </row>
    <row r="66" spans="1:19" x14ac:dyDescent="0.25">
      <c r="A66" s="4" t="s">
        <v>80</v>
      </c>
    </row>
    <row r="67" spans="1:19" x14ac:dyDescent="0.25">
      <c r="A67" s="4"/>
      <c r="B67">
        <v>2002</v>
      </c>
      <c r="C67" t="s">
        <v>81</v>
      </c>
      <c r="E67" s="1">
        <v>0.6</v>
      </c>
      <c r="F67" s="2">
        <v>37530</v>
      </c>
      <c r="G67" s="13"/>
      <c r="H67" s="13"/>
      <c r="I67" s="13">
        <f>0.6/8</f>
        <v>7.4999999999999997E-2</v>
      </c>
      <c r="J67" s="13">
        <f t="shared" ref="J67:P67" si="21">0.6/8</f>
        <v>7.4999999999999997E-2</v>
      </c>
      <c r="K67" s="13">
        <f t="shared" si="21"/>
        <v>7.4999999999999997E-2</v>
      </c>
      <c r="L67" s="13">
        <f t="shared" si="21"/>
        <v>7.4999999999999997E-2</v>
      </c>
      <c r="M67" s="13">
        <f t="shared" si="21"/>
        <v>7.4999999999999997E-2</v>
      </c>
      <c r="N67" s="13">
        <f t="shared" si="21"/>
        <v>7.4999999999999997E-2</v>
      </c>
      <c r="O67" s="13">
        <f t="shared" si="21"/>
        <v>7.4999999999999997E-2</v>
      </c>
      <c r="P67" s="13">
        <f t="shared" si="21"/>
        <v>7.4999999999999997E-2</v>
      </c>
      <c r="Q67" s="13"/>
      <c r="R67" s="13"/>
      <c r="S67" s="14">
        <f t="shared" ref="S67:S74" si="22">SUM(G67:R67)</f>
        <v>0.6</v>
      </c>
    </row>
    <row r="68" spans="1:19" x14ac:dyDescent="0.25">
      <c r="A68" s="4"/>
      <c r="B68">
        <v>2002</v>
      </c>
      <c r="C68" t="s">
        <v>82</v>
      </c>
      <c r="E68" s="1">
        <v>1.0660000000000001</v>
      </c>
      <c r="F68" s="2">
        <v>37438</v>
      </c>
      <c r="G68" s="13">
        <f>1.066/7</f>
        <v>0.1522857142857143</v>
      </c>
      <c r="H68" s="13">
        <f t="shared" ref="H68:M68" si="23">1.066/7</f>
        <v>0.1522857142857143</v>
      </c>
      <c r="I68" s="13">
        <f t="shared" si="23"/>
        <v>0.1522857142857143</v>
      </c>
      <c r="J68" s="13">
        <f t="shared" si="23"/>
        <v>0.1522857142857143</v>
      </c>
      <c r="K68" s="13">
        <f t="shared" si="23"/>
        <v>0.1522857142857143</v>
      </c>
      <c r="L68" s="13">
        <f t="shared" si="23"/>
        <v>0.1522857142857143</v>
      </c>
      <c r="M68" s="13">
        <f t="shared" si="23"/>
        <v>0.1522857142857143</v>
      </c>
      <c r="N68" s="13"/>
      <c r="O68" s="13"/>
      <c r="P68" s="13"/>
      <c r="Q68" s="13"/>
      <c r="R68" s="13"/>
      <c r="S68" s="14">
        <f t="shared" si="22"/>
        <v>1.0660000000000003</v>
      </c>
    </row>
    <row r="69" spans="1:19" x14ac:dyDescent="0.25">
      <c r="A69" s="4"/>
      <c r="B69">
        <v>2002</v>
      </c>
      <c r="C69" t="s">
        <v>83</v>
      </c>
      <c r="E69" s="1">
        <v>0.06</v>
      </c>
      <c r="G69" s="13">
        <v>0.06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4">
        <f t="shared" si="22"/>
        <v>0.06</v>
      </c>
    </row>
    <row r="70" spans="1:19" x14ac:dyDescent="0.25">
      <c r="A70" s="4"/>
      <c r="B70">
        <v>2002</v>
      </c>
      <c r="C70" t="s">
        <v>43</v>
      </c>
      <c r="E70" s="1">
        <v>1.5820000000000001</v>
      </c>
      <c r="G70" s="13"/>
      <c r="H70" s="13">
        <f>1.582/11</f>
        <v>0.14381818181818182</v>
      </c>
      <c r="I70" s="13">
        <f t="shared" ref="I70:R70" si="24">1.582/11</f>
        <v>0.14381818181818182</v>
      </c>
      <c r="J70" s="13">
        <f t="shared" si="24"/>
        <v>0.14381818181818182</v>
      </c>
      <c r="K70" s="13">
        <f t="shared" si="24"/>
        <v>0.14381818181818182</v>
      </c>
      <c r="L70" s="13">
        <f t="shared" si="24"/>
        <v>0.14381818181818182</v>
      </c>
      <c r="M70" s="13">
        <f t="shared" si="24"/>
        <v>0.14381818181818182</v>
      </c>
      <c r="N70" s="13">
        <f t="shared" si="24"/>
        <v>0.14381818181818182</v>
      </c>
      <c r="O70" s="13">
        <f t="shared" si="24"/>
        <v>0.14381818181818182</v>
      </c>
      <c r="P70" s="13">
        <f t="shared" si="24"/>
        <v>0.14381818181818182</v>
      </c>
      <c r="Q70" s="13">
        <f t="shared" si="24"/>
        <v>0.14381818181818182</v>
      </c>
      <c r="R70" s="13">
        <f t="shared" si="24"/>
        <v>0.14381818181818182</v>
      </c>
      <c r="S70" s="14">
        <f t="shared" si="22"/>
        <v>1.5820000000000001</v>
      </c>
    </row>
    <row r="71" spans="1:19" x14ac:dyDescent="0.25">
      <c r="A71" s="4"/>
      <c r="B71">
        <v>2002</v>
      </c>
      <c r="C71" t="s">
        <v>84</v>
      </c>
      <c r="E71" s="1">
        <v>3.5000000000000003E-2</v>
      </c>
      <c r="G71" s="13"/>
      <c r="H71" s="13"/>
      <c r="I71" s="13"/>
      <c r="J71" s="13">
        <f>0.035/3</f>
        <v>1.1666666666666667E-2</v>
      </c>
      <c r="K71" s="13">
        <f>0.035/3</f>
        <v>1.1666666666666667E-2</v>
      </c>
      <c r="L71" s="13">
        <f>0.035/3</f>
        <v>1.1666666666666667E-2</v>
      </c>
      <c r="M71" s="13"/>
      <c r="N71" s="13"/>
      <c r="O71" s="13"/>
      <c r="P71" s="13"/>
      <c r="Q71" s="13"/>
      <c r="R71" s="13"/>
      <c r="S71" s="14">
        <f t="shared" si="22"/>
        <v>3.5000000000000003E-2</v>
      </c>
    </row>
    <row r="72" spans="1:19" x14ac:dyDescent="0.25">
      <c r="B72">
        <v>2002</v>
      </c>
      <c r="C72" t="s">
        <v>42</v>
      </c>
      <c r="E72" s="1">
        <v>0.55500000000000005</v>
      </c>
      <c r="F72" s="2">
        <v>37316</v>
      </c>
      <c r="G72" s="13">
        <f>0.555/3</f>
        <v>0.18500000000000003</v>
      </c>
      <c r="H72" s="13">
        <f>0.555/3</f>
        <v>0.18500000000000003</v>
      </c>
      <c r="I72" s="13">
        <f>0.555/3</f>
        <v>0.18500000000000003</v>
      </c>
      <c r="J72" s="13"/>
      <c r="K72" s="13"/>
      <c r="L72" s="13"/>
      <c r="M72" s="13"/>
      <c r="N72" s="13"/>
      <c r="O72" s="13"/>
      <c r="P72" s="13"/>
      <c r="Q72" s="13"/>
      <c r="R72" s="13"/>
      <c r="S72" s="14">
        <f t="shared" si="22"/>
        <v>0.55500000000000005</v>
      </c>
    </row>
    <row r="73" spans="1:19" x14ac:dyDescent="0.25">
      <c r="B73">
        <v>2002</v>
      </c>
      <c r="C73" t="s">
        <v>85</v>
      </c>
      <c r="E73" s="1">
        <v>2.5000000000000001E-2</v>
      </c>
      <c r="G73" s="13">
        <v>1.6E-2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4">
        <v>2.5000000000000001E-2</v>
      </c>
    </row>
    <row r="74" spans="1:19" x14ac:dyDescent="0.25">
      <c r="B74">
        <v>2002</v>
      </c>
      <c r="C74" t="s">
        <v>111</v>
      </c>
      <c r="E74" s="1">
        <v>0.34</v>
      </c>
      <c r="F74" s="2">
        <v>37289</v>
      </c>
      <c r="G74" s="13"/>
      <c r="H74" s="13">
        <v>0.34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4">
        <f t="shared" si="22"/>
        <v>0.34</v>
      </c>
    </row>
    <row r="75" spans="1:19" s="4" customFormat="1" x14ac:dyDescent="0.25">
      <c r="A75" s="4" t="s">
        <v>86</v>
      </c>
      <c r="E75" s="5">
        <f>SUM(E67:E74)</f>
        <v>4.2629999999999999</v>
      </c>
      <c r="F75" s="6"/>
      <c r="G75" s="5">
        <f t="shared" ref="G75:R75" si="25">SUM(G67:G74)</f>
        <v>0.41328571428571437</v>
      </c>
      <c r="H75" s="5">
        <f t="shared" si="25"/>
        <v>0.82110389610389611</v>
      </c>
      <c r="I75" s="5">
        <f t="shared" si="25"/>
        <v>0.55610389610389621</v>
      </c>
      <c r="J75" s="5">
        <f t="shared" si="25"/>
        <v>0.38277056277056282</v>
      </c>
      <c r="K75" s="5">
        <f t="shared" si="25"/>
        <v>0.38277056277056282</v>
      </c>
      <c r="L75" s="5">
        <f t="shared" si="25"/>
        <v>0.38277056277056282</v>
      </c>
      <c r="M75" s="5">
        <f t="shared" si="25"/>
        <v>0.37110389610389616</v>
      </c>
      <c r="N75" s="5">
        <f t="shared" si="25"/>
        <v>0.2188181818181818</v>
      </c>
      <c r="O75" s="5">
        <f t="shared" si="25"/>
        <v>0.2188181818181818</v>
      </c>
      <c r="P75" s="5">
        <f t="shared" si="25"/>
        <v>0.2188181818181818</v>
      </c>
      <c r="Q75" s="5">
        <f t="shared" si="25"/>
        <v>0.14381818181818182</v>
      </c>
      <c r="R75" s="5">
        <f t="shared" si="25"/>
        <v>0.14381818181818182</v>
      </c>
      <c r="S75" s="15">
        <f>SUM(S67:S74)</f>
        <v>4.2630000000000008</v>
      </c>
    </row>
    <row r="217" spans="5:6" s="4" customFormat="1" x14ac:dyDescent="0.25">
      <c r="E217" s="5"/>
      <c r="F217" s="6"/>
    </row>
    <row r="218" spans="5:6" s="4" customFormat="1" x14ac:dyDescent="0.25">
      <c r="E218" s="5"/>
      <c r="F218" s="6"/>
    </row>
    <row r="241" ht="13.5" customHeight="1" x14ac:dyDescent="0.25"/>
    <row r="242" ht="9.75" customHeight="1" x14ac:dyDescent="0.25"/>
  </sheetData>
  <phoneticPr fontId="0" type="noConversion"/>
  <pageMargins left="0.75" right="0.75" top="1" bottom="1" header="0.5" footer="0.5"/>
  <pageSetup scale="39" orientation="portrait" horizontalDpi="300" verticalDpi="300" r:id="rId1"/>
  <headerFooter alignWithMargins="0"/>
  <rowBreaks count="3" manualBreakCount="3">
    <brk id="76" max="16383" man="1"/>
    <brk id="148" max="16383" man="1"/>
    <brk id="2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8"/>
  <sheetViews>
    <sheetView workbookViewId="0">
      <pane xSplit="6" ySplit="3" topLeftCell="Q28" activePane="bottomRight" state="frozen"/>
      <selection activeCell="R2" sqref="R2"/>
      <selection pane="topRight" activeCell="R2" sqref="R2"/>
      <selection pane="bottomLeft" activeCell="R2" sqref="R2"/>
      <selection pane="bottomRight" activeCell="R2" sqref="R2"/>
    </sheetView>
  </sheetViews>
  <sheetFormatPr defaultRowHeight="13.2" x14ac:dyDescent="0.25"/>
  <cols>
    <col min="3" max="3" width="22" customWidth="1"/>
    <col min="4" max="4" width="13.109375" bestFit="1" customWidth="1"/>
  </cols>
  <sheetData>
    <row r="1" spans="1:19" x14ac:dyDescent="0.25">
      <c r="A1" t="s">
        <v>90</v>
      </c>
      <c r="E1" s="1"/>
      <c r="F1" s="2"/>
      <c r="R1" t="str">
        <f ca="1">CELL("filename")</f>
        <v>H:\EXCEL\2002 Budget IT\[2002 Capital by month.xls]MD</v>
      </c>
    </row>
    <row r="2" spans="1:19" x14ac:dyDescent="0.25">
      <c r="E2" s="1"/>
      <c r="F2" s="2"/>
    </row>
    <row r="3" spans="1:19" s="4" customFormat="1" x14ac:dyDescent="0.25">
      <c r="A3" s="4" t="s">
        <v>0</v>
      </c>
      <c r="B3" s="4" t="s">
        <v>10</v>
      </c>
      <c r="C3" s="4" t="s">
        <v>1</v>
      </c>
      <c r="D3" s="4" t="s">
        <v>4</v>
      </c>
      <c r="E3" s="5" t="s">
        <v>2</v>
      </c>
      <c r="F3" s="6" t="s">
        <v>3</v>
      </c>
      <c r="G3" s="4" t="s">
        <v>91</v>
      </c>
      <c r="H3" s="4" t="s">
        <v>92</v>
      </c>
      <c r="I3" s="4" t="s">
        <v>93</v>
      </c>
      <c r="J3" s="4" t="s">
        <v>94</v>
      </c>
      <c r="K3" s="4" t="s">
        <v>95</v>
      </c>
      <c r="L3" s="4" t="s">
        <v>96</v>
      </c>
      <c r="M3" s="4" t="s">
        <v>97</v>
      </c>
      <c r="N3" s="4" t="s">
        <v>98</v>
      </c>
      <c r="O3" s="4" t="s">
        <v>99</v>
      </c>
      <c r="P3" s="4" t="s">
        <v>104</v>
      </c>
      <c r="Q3" s="4" t="s">
        <v>101</v>
      </c>
      <c r="R3" s="4" t="s">
        <v>102</v>
      </c>
      <c r="S3" s="4" t="s">
        <v>103</v>
      </c>
    </row>
    <row r="4" spans="1:19" ht="17.399999999999999" x14ac:dyDescent="0.3">
      <c r="A4" s="7" t="s">
        <v>15</v>
      </c>
      <c r="E4" s="1"/>
      <c r="F4" s="2"/>
    </row>
    <row r="5" spans="1:19" x14ac:dyDescent="0.25">
      <c r="A5" s="8" t="s">
        <v>6</v>
      </c>
      <c r="E5" s="1"/>
      <c r="F5" s="2"/>
    </row>
    <row r="6" spans="1:19" x14ac:dyDescent="0.25">
      <c r="B6">
        <v>2002</v>
      </c>
      <c r="C6" t="s">
        <v>89</v>
      </c>
      <c r="E6" s="1">
        <v>1.385</v>
      </c>
      <c r="F6" s="2">
        <v>37408</v>
      </c>
      <c r="G6" s="14">
        <f t="shared" ref="G6:L6" si="0">1.385/6</f>
        <v>0.23083333333333333</v>
      </c>
      <c r="H6" s="14">
        <f t="shared" si="0"/>
        <v>0.23083333333333333</v>
      </c>
      <c r="I6" s="14">
        <f t="shared" si="0"/>
        <v>0.23083333333333333</v>
      </c>
      <c r="J6" s="14">
        <f t="shared" si="0"/>
        <v>0.23083333333333333</v>
      </c>
      <c r="K6" s="14">
        <f t="shared" si="0"/>
        <v>0.23083333333333333</v>
      </c>
      <c r="L6" s="14">
        <f t="shared" si="0"/>
        <v>0.23083333333333333</v>
      </c>
      <c r="M6" s="14"/>
      <c r="N6" s="14"/>
      <c r="O6" s="14"/>
      <c r="P6" s="14"/>
      <c r="Q6" s="14"/>
      <c r="R6" s="14"/>
      <c r="S6" s="14">
        <f>SUM(G6:R6)</f>
        <v>1.3850000000000002</v>
      </c>
    </row>
    <row r="7" spans="1:19" x14ac:dyDescent="0.25">
      <c r="B7">
        <v>2002</v>
      </c>
      <c r="C7" t="s">
        <v>56</v>
      </c>
      <c r="D7" t="s">
        <v>57</v>
      </c>
      <c r="E7" s="1">
        <v>2.5999999999999999E-2</v>
      </c>
      <c r="F7" s="2">
        <v>37560</v>
      </c>
      <c r="G7" s="14"/>
      <c r="H7" s="14"/>
      <c r="I7" s="14"/>
      <c r="J7" s="14"/>
      <c r="K7" s="14"/>
      <c r="L7" s="14"/>
      <c r="M7" s="14"/>
      <c r="N7" s="14">
        <f>0.026/3</f>
        <v>8.6666666666666663E-3</v>
      </c>
      <c r="O7" s="14">
        <f>0.026/3</f>
        <v>8.6666666666666663E-3</v>
      </c>
      <c r="P7" s="14">
        <f>0.026/3</f>
        <v>8.6666666666666663E-3</v>
      </c>
      <c r="Q7" s="14"/>
      <c r="R7" s="14"/>
      <c r="S7" s="14">
        <f t="shared" ref="S7:S24" si="1">SUM(G7:R7)</f>
        <v>2.5999999999999999E-2</v>
      </c>
    </row>
    <row r="8" spans="1:19" x14ac:dyDescent="0.25">
      <c r="B8">
        <v>2002</v>
      </c>
      <c r="C8" t="s">
        <v>58</v>
      </c>
      <c r="D8" t="s">
        <v>57</v>
      </c>
      <c r="E8" s="1">
        <v>6.0000000000000001E-3</v>
      </c>
      <c r="F8" s="2"/>
      <c r="G8" s="14">
        <v>6.0000000000000001E-3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>
        <f t="shared" si="1"/>
        <v>6.0000000000000001E-3</v>
      </c>
    </row>
    <row r="9" spans="1:19" x14ac:dyDescent="0.25">
      <c r="B9">
        <v>2002</v>
      </c>
      <c r="C9" t="s">
        <v>59</v>
      </c>
      <c r="D9" t="s">
        <v>57</v>
      </c>
      <c r="E9" s="1">
        <v>5.6000000000000001E-2</v>
      </c>
      <c r="F9" s="2"/>
      <c r="G9" s="14">
        <f>0.056/2</f>
        <v>2.8000000000000001E-2</v>
      </c>
      <c r="H9" s="14">
        <f>0.056/2</f>
        <v>2.8000000000000001E-2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>
        <f t="shared" si="1"/>
        <v>5.6000000000000001E-2</v>
      </c>
    </row>
    <row r="10" spans="1:19" x14ac:dyDescent="0.25">
      <c r="B10">
        <v>2002</v>
      </c>
      <c r="C10" t="s">
        <v>60</v>
      </c>
      <c r="D10" t="s">
        <v>57</v>
      </c>
      <c r="E10" s="1">
        <v>3.1E-2</v>
      </c>
      <c r="F10" s="2"/>
      <c r="G10" s="14"/>
      <c r="H10" s="14">
        <f>0.031/2</f>
        <v>1.55E-2</v>
      </c>
      <c r="I10" s="14">
        <f>0.031/2</f>
        <v>1.55E-2</v>
      </c>
      <c r="J10" s="14"/>
      <c r="K10" s="14"/>
      <c r="L10" s="14"/>
      <c r="M10" s="14"/>
      <c r="N10" s="14"/>
      <c r="O10" s="14"/>
      <c r="P10" s="14"/>
      <c r="Q10" s="14"/>
      <c r="R10" s="14"/>
      <c r="S10" s="14">
        <f t="shared" si="1"/>
        <v>3.1E-2</v>
      </c>
    </row>
    <row r="11" spans="1:19" x14ac:dyDescent="0.25">
      <c r="B11">
        <v>2002</v>
      </c>
      <c r="C11" t="s">
        <v>61</v>
      </c>
      <c r="D11" t="s">
        <v>57</v>
      </c>
      <c r="E11" s="1">
        <v>9.9000000000000005E-2</v>
      </c>
      <c r="F11" s="2"/>
      <c r="G11" s="14"/>
      <c r="H11" s="14">
        <f>0.099/4</f>
        <v>2.4750000000000001E-2</v>
      </c>
      <c r="I11" s="14">
        <f>0.099/4</f>
        <v>2.4750000000000001E-2</v>
      </c>
      <c r="J11" s="14">
        <f>0.099/4</f>
        <v>2.4750000000000001E-2</v>
      </c>
      <c r="K11" s="14">
        <f>0.099/4</f>
        <v>2.4750000000000001E-2</v>
      </c>
      <c r="L11" s="14"/>
      <c r="M11" s="14"/>
      <c r="N11" s="14"/>
      <c r="O11" s="14"/>
      <c r="P11" s="14"/>
      <c r="Q11" s="14"/>
      <c r="R11" s="14"/>
      <c r="S11" s="14">
        <f t="shared" si="1"/>
        <v>9.9000000000000005E-2</v>
      </c>
    </row>
    <row r="12" spans="1:19" x14ac:dyDescent="0.25">
      <c r="B12">
        <v>2002</v>
      </c>
      <c r="C12" t="s">
        <v>63</v>
      </c>
      <c r="D12" t="s">
        <v>57</v>
      </c>
      <c r="E12" s="1">
        <v>0.14299999999999999</v>
      </c>
      <c r="F12" s="2">
        <v>37500</v>
      </c>
      <c r="G12" s="14"/>
      <c r="H12" s="14">
        <f>0.143/8</f>
        <v>1.7874999999999999E-2</v>
      </c>
      <c r="I12" s="14">
        <f t="shared" ref="I12:O12" si="2">0.143/8</f>
        <v>1.7874999999999999E-2</v>
      </c>
      <c r="J12" s="14">
        <f t="shared" si="2"/>
        <v>1.7874999999999999E-2</v>
      </c>
      <c r="K12" s="14">
        <f t="shared" si="2"/>
        <v>1.7874999999999999E-2</v>
      </c>
      <c r="L12" s="14">
        <f t="shared" si="2"/>
        <v>1.7874999999999999E-2</v>
      </c>
      <c r="M12" s="14">
        <f t="shared" si="2"/>
        <v>1.7874999999999999E-2</v>
      </c>
      <c r="N12" s="14">
        <f t="shared" si="2"/>
        <v>1.7874999999999999E-2</v>
      </c>
      <c r="O12" s="14">
        <f t="shared" si="2"/>
        <v>1.7874999999999999E-2</v>
      </c>
      <c r="P12" s="14"/>
      <c r="Q12" s="14"/>
      <c r="R12" s="14"/>
      <c r="S12" s="14">
        <f t="shared" si="1"/>
        <v>0.14299999999999999</v>
      </c>
    </row>
    <row r="13" spans="1:19" x14ac:dyDescent="0.25">
      <c r="B13">
        <v>2002</v>
      </c>
      <c r="C13" t="s">
        <v>62</v>
      </c>
      <c r="D13" t="s">
        <v>57</v>
      </c>
      <c r="E13" s="1">
        <v>1.4E-2</v>
      </c>
      <c r="F13" s="2">
        <v>37560</v>
      </c>
      <c r="G13" s="14"/>
      <c r="H13" s="14"/>
      <c r="I13" s="14"/>
      <c r="J13" s="14"/>
      <c r="K13" s="14"/>
      <c r="L13" s="14"/>
      <c r="M13" s="14"/>
      <c r="N13" s="14">
        <f>0.014/3</f>
        <v>4.6666666666666671E-3</v>
      </c>
      <c r="O13" s="14">
        <f>0.014/3</f>
        <v>4.6666666666666671E-3</v>
      </c>
      <c r="P13" s="14">
        <f>0.014/3</f>
        <v>4.6666666666666671E-3</v>
      </c>
      <c r="Q13" s="14"/>
      <c r="R13" s="14"/>
      <c r="S13" s="14">
        <f t="shared" si="1"/>
        <v>1.4000000000000002E-2</v>
      </c>
    </row>
    <row r="14" spans="1:19" x14ac:dyDescent="0.25">
      <c r="B14">
        <v>2002</v>
      </c>
      <c r="C14" t="s">
        <v>65</v>
      </c>
      <c r="D14" t="s">
        <v>11</v>
      </c>
      <c r="E14" s="1">
        <v>0.21099999999999999</v>
      </c>
      <c r="F14" s="2">
        <v>37408</v>
      </c>
      <c r="G14" s="14"/>
      <c r="H14" s="14">
        <f>0.211/5</f>
        <v>4.2200000000000001E-2</v>
      </c>
      <c r="I14" s="14">
        <f>0.211/5</f>
        <v>4.2200000000000001E-2</v>
      </c>
      <c r="J14" s="14">
        <f>0.211/5</f>
        <v>4.2200000000000001E-2</v>
      </c>
      <c r="K14" s="14">
        <f>0.211/5</f>
        <v>4.2200000000000001E-2</v>
      </c>
      <c r="L14" s="14">
        <f>0.211/5</f>
        <v>4.2200000000000001E-2</v>
      </c>
      <c r="M14" s="14"/>
      <c r="N14" s="14"/>
      <c r="O14" s="14"/>
      <c r="P14" s="14"/>
      <c r="Q14" s="14"/>
      <c r="R14" s="14"/>
      <c r="S14" s="14">
        <f t="shared" si="1"/>
        <v>0.21100000000000002</v>
      </c>
    </row>
    <row r="15" spans="1:19" x14ac:dyDescent="0.25">
      <c r="B15">
        <v>2002</v>
      </c>
      <c r="C15" t="s">
        <v>66</v>
      </c>
      <c r="D15" t="s">
        <v>11</v>
      </c>
      <c r="E15" s="1">
        <v>0.32400000000000001</v>
      </c>
      <c r="F15" s="2">
        <v>37408</v>
      </c>
      <c r="G15" s="14">
        <f t="shared" ref="G15:L15" si="3">0.324/6</f>
        <v>5.3999999999999999E-2</v>
      </c>
      <c r="H15" s="14">
        <f t="shared" si="3"/>
        <v>5.3999999999999999E-2</v>
      </c>
      <c r="I15" s="14">
        <f t="shared" si="3"/>
        <v>5.3999999999999999E-2</v>
      </c>
      <c r="J15" s="14">
        <f t="shared" si="3"/>
        <v>5.3999999999999999E-2</v>
      </c>
      <c r="K15" s="14">
        <f t="shared" si="3"/>
        <v>5.3999999999999999E-2</v>
      </c>
      <c r="L15" s="14">
        <f t="shared" si="3"/>
        <v>5.3999999999999999E-2</v>
      </c>
      <c r="M15" s="14"/>
      <c r="N15" s="14"/>
      <c r="O15" s="14"/>
      <c r="P15" s="14"/>
      <c r="Q15" s="14"/>
      <c r="R15" s="14"/>
      <c r="S15" s="14">
        <f t="shared" si="1"/>
        <v>0.32400000000000001</v>
      </c>
    </row>
    <row r="16" spans="1:19" x14ac:dyDescent="0.25">
      <c r="B16">
        <v>2002</v>
      </c>
      <c r="C16" t="s">
        <v>67</v>
      </c>
      <c r="D16" t="s">
        <v>11</v>
      </c>
      <c r="E16" s="1">
        <v>0.28599999999999998</v>
      </c>
      <c r="F16" s="2">
        <v>37561</v>
      </c>
      <c r="G16" s="14"/>
      <c r="H16" s="14"/>
      <c r="I16" s="14"/>
      <c r="J16" s="14">
        <f>0.286/8</f>
        <v>3.5749999999999997E-2</v>
      </c>
      <c r="K16" s="14">
        <f t="shared" ref="K16:Q16" si="4">0.286/8</f>
        <v>3.5749999999999997E-2</v>
      </c>
      <c r="L16" s="14">
        <f t="shared" si="4"/>
        <v>3.5749999999999997E-2</v>
      </c>
      <c r="M16" s="14">
        <f t="shared" si="4"/>
        <v>3.5749999999999997E-2</v>
      </c>
      <c r="N16" s="14">
        <f t="shared" si="4"/>
        <v>3.5749999999999997E-2</v>
      </c>
      <c r="O16" s="14">
        <f t="shared" si="4"/>
        <v>3.5749999999999997E-2</v>
      </c>
      <c r="P16" s="14">
        <f t="shared" si="4"/>
        <v>3.5749999999999997E-2</v>
      </c>
      <c r="Q16" s="14">
        <f t="shared" si="4"/>
        <v>3.5749999999999997E-2</v>
      </c>
      <c r="R16" s="14"/>
      <c r="S16" s="14">
        <f t="shared" si="1"/>
        <v>0.28599999999999998</v>
      </c>
    </row>
    <row r="17" spans="1:19" x14ac:dyDescent="0.25">
      <c r="B17">
        <v>2002</v>
      </c>
      <c r="C17" t="s">
        <v>68</v>
      </c>
      <c r="D17" t="s">
        <v>11</v>
      </c>
      <c r="E17" s="1">
        <v>0.183</v>
      </c>
      <c r="F17" s="2">
        <v>37561</v>
      </c>
      <c r="G17" s="14"/>
      <c r="H17" s="14"/>
      <c r="I17" s="14"/>
      <c r="J17" s="14"/>
      <c r="K17" s="14"/>
      <c r="L17" s="14"/>
      <c r="M17" s="14">
        <f>0.183/5</f>
        <v>3.6600000000000001E-2</v>
      </c>
      <c r="N17" s="14">
        <f>0.183/5</f>
        <v>3.6600000000000001E-2</v>
      </c>
      <c r="O17" s="14">
        <f>0.183/5</f>
        <v>3.6600000000000001E-2</v>
      </c>
      <c r="P17" s="14">
        <f>0.183/5</f>
        <v>3.6600000000000001E-2</v>
      </c>
      <c r="Q17" s="14">
        <f>0.183/5</f>
        <v>3.6600000000000001E-2</v>
      </c>
      <c r="R17" s="14"/>
      <c r="S17" s="14">
        <f t="shared" si="1"/>
        <v>0.183</v>
      </c>
    </row>
    <row r="18" spans="1:19" x14ac:dyDescent="0.25">
      <c r="B18">
        <v>2002</v>
      </c>
      <c r="C18" t="s">
        <v>69</v>
      </c>
      <c r="D18" t="s">
        <v>11</v>
      </c>
      <c r="E18" s="1">
        <v>7.2999999999999995E-2</v>
      </c>
      <c r="F18" s="2">
        <v>37408</v>
      </c>
      <c r="G18" s="14"/>
      <c r="H18" s="14"/>
      <c r="I18" s="14">
        <f>0.073/4</f>
        <v>1.8249999999999999E-2</v>
      </c>
      <c r="J18" s="14">
        <f>0.073/4</f>
        <v>1.8249999999999999E-2</v>
      </c>
      <c r="K18" s="14">
        <f>0.073/4</f>
        <v>1.8249999999999999E-2</v>
      </c>
      <c r="L18" s="14">
        <f>0.073/4</f>
        <v>1.8249999999999999E-2</v>
      </c>
      <c r="M18" s="14"/>
      <c r="N18" s="14"/>
      <c r="O18" s="14"/>
      <c r="P18" s="14"/>
      <c r="Q18" s="14"/>
      <c r="R18" s="14"/>
      <c r="S18" s="14">
        <f t="shared" si="1"/>
        <v>7.2999999999999995E-2</v>
      </c>
    </row>
    <row r="19" spans="1:19" x14ac:dyDescent="0.25">
      <c r="B19">
        <v>2002</v>
      </c>
      <c r="C19" t="s">
        <v>70</v>
      </c>
      <c r="D19" t="s">
        <v>11</v>
      </c>
      <c r="E19" s="1">
        <v>2.7E-2</v>
      </c>
      <c r="F19" s="2">
        <v>37408</v>
      </c>
      <c r="G19" s="14"/>
      <c r="H19" s="14"/>
      <c r="I19" s="14"/>
      <c r="J19" s="14">
        <f>0.027/3</f>
        <v>8.9999999999999993E-3</v>
      </c>
      <c r="K19" s="14">
        <f>0.027/3</f>
        <v>8.9999999999999993E-3</v>
      </c>
      <c r="L19" s="14">
        <f>0.027/3</f>
        <v>8.9999999999999993E-3</v>
      </c>
      <c r="M19" s="14"/>
      <c r="N19" s="14"/>
      <c r="O19" s="14"/>
      <c r="P19" s="14"/>
      <c r="Q19" s="14"/>
      <c r="R19" s="14"/>
      <c r="S19" s="14">
        <f t="shared" si="1"/>
        <v>2.6999999999999996E-2</v>
      </c>
    </row>
    <row r="20" spans="1:19" x14ac:dyDescent="0.25">
      <c r="B20">
        <v>2002</v>
      </c>
      <c r="C20" t="s">
        <v>71</v>
      </c>
      <c r="D20" t="s">
        <v>11</v>
      </c>
      <c r="E20" s="1">
        <v>3.2000000000000001E-2</v>
      </c>
      <c r="F20" s="2">
        <v>37500</v>
      </c>
      <c r="G20" s="14"/>
      <c r="H20" s="14"/>
      <c r="I20" s="14"/>
      <c r="J20" s="14"/>
      <c r="K20" s="14"/>
      <c r="L20" s="14">
        <f>0.032/3</f>
        <v>1.0666666666666666E-2</v>
      </c>
      <c r="M20" s="14">
        <f>0.032/3</f>
        <v>1.0666666666666666E-2</v>
      </c>
      <c r="N20" s="14">
        <f>0.032/3</f>
        <v>1.0666666666666666E-2</v>
      </c>
      <c r="O20" s="14"/>
      <c r="P20" s="14"/>
      <c r="Q20" s="14"/>
      <c r="R20" s="14"/>
      <c r="S20" s="14">
        <f t="shared" si="1"/>
        <v>3.2000000000000001E-2</v>
      </c>
    </row>
    <row r="21" spans="1:19" x14ac:dyDescent="0.25">
      <c r="B21">
        <v>2002</v>
      </c>
      <c r="C21" t="s">
        <v>77</v>
      </c>
      <c r="D21" t="s">
        <v>75</v>
      </c>
      <c r="E21" s="1">
        <v>2.5000000000000001E-2</v>
      </c>
      <c r="F21" s="2"/>
      <c r="G21" s="14"/>
      <c r="H21" s="14">
        <f>0.025/3</f>
        <v>8.3333333333333332E-3</v>
      </c>
      <c r="I21" s="14">
        <f>0.025/3</f>
        <v>8.3333333333333332E-3</v>
      </c>
      <c r="J21" s="14">
        <f>0.025/3</f>
        <v>8.3333333333333332E-3</v>
      </c>
      <c r="K21" s="14"/>
      <c r="L21" s="14"/>
      <c r="M21" s="14"/>
      <c r="N21" s="14"/>
      <c r="O21" s="14"/>
      <c r="P21" s="14"/>
      <c r="Q21" s="14"/>
      <c r="R21" s="14"/>
      <c r="S21" s="14">
        <f t="shared" si="1"/>
        <v>2.5000000000000001E-2</v>
      </c>
    </row>
    <row r="22" spans="1:19" x14ac:dyDescent="0.25">
      <c r="B22">
        <v>2002</v>
      </c>
      <c r="C22" t="s">
        <v>78</v>
      </c>
      <c r="D22" t="s">
        <v>75</v>
      </c>
      <c r="E22" s="1">
        <v>0.14299999999999999</v>
      </c>
      <c r="F22" s="2">
        <v>37377</v>
      </c>
      <c r="G22" s="14">
        <f>0.143/5</f>
        <v>2.8599999999999997E-2</v>
      </c>
      <c r="H22" s="14">
        <f>0.143/5</f>
        <v>2.8599999999999997E-2</v>
      </c>
      <c r="I22" s="14">
        <f>0.143/5</f>
        <v>2.8599999999999997E-2</v>
      </c>
      <c r="J22" s="14">
        <f>0.143/5</f>
        <v>2.8599999999999997E-2</v>
      </c>
      <c r="K22" s="14">
        <f>0.143/5</f>
        <v>2.8599999999999997E-2</v>
      </c>
      <c r="L22" s="14"/>
      <c r="M22" s="14"/>
      <c r="N22" s="14"/>
      <c r="O22" s="14"/>
      <c r="P22" s="14"/>
      <c r="Q22" s="14"/>
      <c r="R22" s="14"/>
      <c r="S22" s="14">
        <f t="shared" si="1"/>
        <v>0.14299999999999999</v>
      </c>
    </row>
    <row r="23" spans="1:19" x14ac:dyDescent="0.25">
      <c r="B23">
        <v>2002</v>
      </c>
      <c r="C23" t="s">
        <v>108</v>
      </c>
      <c r="E23" s="1">
        <v>1.7000000000000001E-2</v>
      </c>
      <c r="F23" s="2">
        <v>37438</v>
      </c>
      <c r="G23" s="14"/>
      <c r="H23" s="14"/>
      <c r="I23" s="14">
        <f>0.017/5</f>
        <v>3.4000000000000002E-3</v>
      </c>
      <c r="J23" s="14">
        <f>0.017/5</f>
        <v>3.4000000000000002E-3</v>
      </c>
      <c r="K23" s="14">
        <f>0.017/5</f>
        <v>3.4000000000000002E-3</v>
      </c>
      <c r="L23" s="14">
        <f>0.017/5</f>
        <v>3.4000000000000002E-3</v>
      </c>
      <c r="M23" s="14">
        <f>0.017/5</f>
        <v>3.4000000000000002E-3</v>
      </c>
      <c r="N23" s="14"/>
      <c r="O23" s="14"/>
      <c r="P23" s="14"/>
      <c r="Q23" s="14"/>
      <c r="R23" s="14"/>
      <c r="S23" s="14">
        <f t="shared" si="1"/>
        <v>1.7000000000000001E-2</v>
      </c>
    </row>
    <row r="24" spans="1:19" x14ac:dyDescent="0.25">
      <c r="B24">
        <v>2002</v>
      </c>
      <c r="C24" t="s">
        <v>109</v>
      </c>
      <c r="E24" s="1">
        <v>4.4999999999999998E-2</v>
      </c>
      <c r="F24" s="2">
        <v>37408</v>
      </c>
      <c r="G24" s="14"/>
      <c r="H24" s="14">
        <f>0.045/5</f>
        <v>8.9999999999999993E-3</v>
      </c>
      <c r="I24" s="14">
        <f>0.045/5</f>
        <v>8.9999999999999993E-3</v>
      </c>
      <c r="J24" s="14">
        <f>0.045/5</f>
        <v>8.9999999999999993E-3</v>
      </c>
      <c r="K24" s="14">
        <f>0.045/5</f>
        <v>8.9999999999999993E-3</v>
      </c>
      <c r="L24" s="14">
        <f>0.045/5</f>
        <v>8.9999999999999993E-3</v>
      </c>
      <c r="M24" s="14"/>
      <c r="N24" s="14"/>
      <c r="O24" s="14"/>
      <c r="P24" s="14"/>
      <c r="Q24" s="14"/>
      <c r="R24" s="14"/>
      <c r="S24" s="14">
        <f t="shared" si="1"/>
        <v>4.4999999999999998E-2</v>
      </c>
    </row>
    <row r="25" spans="1:19" s="4" customFormat="1" x14ac:dyDescent="0.25">
      <c r="A25" s="4" t="s">
        <v>87</v>
      </c>
      <c r="E25" s="5">
        <f>SUM(E6:E24)</f>
        <v>3.1259999999999994</v>
      </c>
      <c r="F25" s="6"/>
      <c r="G25" s="5">
        <f t="shared" ref="G25:R25" si="5">SUM(G6:G22)</f>
        <v>0.34743333333333337</v>
      </c>
      <c r="H25" s="5">
        <f t="shared" si="5"/>
        <v>0.45009166666666672</v>
      </c>
      <c r="I25" s="5">
        <f t="shared" si="5"/>
        <v>0.44034166666666669</v>
      </c>
      <c r="J25" s="5">
        <f t="shared" si="5"/>
        <v>0.46959166666666668</v>
      </c>
      <c r="K25" s="5">
        <f t="shared" si="5"/>
        <v>0.46125833333333333</v>
      </c>
      <c r="L25" s="5">
        <f t="shared" si="5"/>
        <v>0.41857499999999997</v>
      </c>
      <c r="M25" s="5">
        <f t="shared" si="5"/>
        <v>0.10089166666666667</v>
      </c>
      <c r="N25" s="5">
        <f t="shared" si="5"/>
        <v>0.11422500000000001</v>
      </c>
      <c r="O25" s="5">
        <f t="shared" si="5"/>
        <v>0.10355833333333334</v>
      </c>
      <c r="P25" s="5">
        <f t="shared" si="5"/>
        <v>8.5683333333333334E-2</v>
      </c>
      <c r="Q25" s="5">
        <f t="shared" si="5"/>
        <v>7.2349999999999998E-2</v>
      </c>
      <c r="R25" s="5">
        <f t="shared" si="5"/>
        <v>0</v>
      </c>
      <c r="S25" s="15">
        <f>SUM(S6:S24)</f>
        <v>3.1259999999999999</v>
      </c>
    </row>
    <row r="26" spans="1:19" x14ac:dyDescent="0.25">
      <c r="E26" s="1"/>
      <c r="F26" s="2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19" x14ac:dyDescent="0.25">
      <c r="E27" s="1"/>
      <c r="F27" s="2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19" x14ac:dyDescent="0.25">
      <c r="A28" s="4" t="s">
        <v>8</v>
      </c>
      <c r="E28" s="1"/>
      <c r="F28" s="2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19" x14ac:dyDescent="0.25">
      <c r="B29">
        <v>2002</v>
      </c>
      <c r="C29" t="s">
        <v>52</v>
      </c>
      <c r="D29" t="s">
        <v>8</v>
      </c>
      <c r="E29" s="1">
        <v>0.04</v>
      </c>
      <c r="F29" s="2"/>
      <c r="G29" s="14"/>
      <c r="H29" s="14">
        <f>0.04/2</f>
        <v>0.02</v>
      </c>
      <c r="I29" s="14">
        <f>0.04/2</f>
        <v>0.02</v>
      </c>
      <c r="J29" s="14"/>
      <c r="K29" s="14"/>
      <c r="L29" s="14"/>
      <c r="M29" s="14"/>
      <c r="N29" s="14"/>
      <c r="O29" s="14"/>
      <c r="P29" s="14"/>
      <c r="Q29" s="14"/>
      <c r="R29" s="14"/>
      <c r="S29" s="14">
        <f>SUM(G29:R29)</f>
        <v>0.04</v>
      </c>
    </row>
    <row r="30" spans="1:19" x14ac:dyDescent="0.25">
      <c r="B30">
        <v>2002</v>
      </c>
      <c r="C30" t="s">
        <v>39</v>
      </c>
      <c r="D30" t="s">
        <v>8</v>
      </c>
      <c r="E30" s="1">
        <v>1.6E-2</v>
      </c>
      <c r="F30" s="2">
        <v>37408</v>
      </c>
      <c r="G30" s="14"/>
      <c r="H30" s="14"/>
      <c r="I30" s="14"/>
      <c r="J30" s="14">
        <f>0.016/3</f>
        <v>5.3333333333333332E-3</v>
      </c>
      <c r="K30" s="14">
        <f>0.016/3</f>
        <v>5.3333333333333332E-3</v>
      </c>
      <c r="L30" s="14">
        <f>0.016/3</f>
        <v>5.3333333333333332E-3</v>
      </c>
      <c r="M30" s="14"/>
      <c r="N30" s="14"/>
      <c r="O30" s="14"/>
      <c r="P30" s="14"/>
      <c r="Q30" s="14"/>
      <c r="R30" s="14"/>
      <c r="S30" s="14">
        <f>SUM(G30:R30)</f>
        <v>1.6E-2</v>
      </c>
    </row>
    <row r="31" spans="1:19" x14ac:dyDescent="0.25">
      <c r="B31">
        <v>2002</v>
      </c>
      <c r="C31" t="s">
        <v>49</v>
      </c>
      <c r="D31" t="s">
        <v>8</v>
      </c>
      <c r="E31" s="1">
        <v>1.7000000000000001E-2</v>
      </c>
      <c r="F31" s="2">
        <v>37288</v>
      </c>
      <c r="G31" s="14">
        <f>0.017/2</f>
        <v>8.5000000000000006E-3</v>
      </c>
      <c r="H31" s="14">
        <f>0.017/2</f>
        <v>8.5000000000000006E-3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>
        <f>SUM(G31:R31)</f>
        <v>1.7000000000000001E-2</v>
      </c>
    </row>
    <row r="32" spans="1:19" s="4" customFormat="1" x14ac:dyDescent="0.25">
      <c r="A32" s="4" t="s">
        <v>87</v>
      </c>
      <c r="E32" s="5">
        <f>SUM(E29:E31)</f>
        <v>7.3000000000000009E-2</v>
      </c>
      <c r="F32" s="6"/>
      <c r="G32" s="5">
        <f t="shared" ref="G32:R32" si="6">SUM(G29:G31)</f>
        <v>8.5000000000000006E-3</v>
      </c>
      <c r="H32" s="5">
        <f t="shared" si="6"/>
        <v>2.8500000000000001E-2</v>
      </c>
      <c r="I32" s="5">
        <f t="shared" si="6"/>
        <v>0.02</v>
      </c>
      <c r="J32" s="5">
        <f t="shared" si="6"/>
        <v>5.3333333333333332E-3</v>
      </c>
      <c r="K32" s="5">
        <f t="shared" si="6"/>
        <v>5.3333333333333332E-3</v>
      </c>
      <c r="L32" s="5">
        <f t="shared" si="6"/>
        <v>5.3333333333333332E-3</v>
      </c>
      <c r="M32" s="5">
        <f t="shared" si="6"/>
        <v>0</v>
      </c>
      <c r="N32" s="5">
        <f t="shared" si="6"/>
        <v>0</v>
      </c>
      <c r="O32" s="5">
        <f t="shared" si="6"/>
        <v>0</v>
      </c>
      <c r="P32" s="5">
        <f t="shared" si="6"/>
        <v>0</v>
      </c>
      <c r="Q32" s="5">
        <f t="shared" si="6"/>
        <v>0</v>
      </c>
      <c r="R32" s="5">
        <f t="shared" si="6"/>
        <v>0</v>
      </c>
      <c r="S32" s="15">
        <f>SUM(S29:S31)</f>
        <v>7.3000000000000009E-2</v>
      </c>
    </row>
    <row r="33" spans="1:19" x14ac:dyDescent="0.25">
      <c r="E33" s="1"/>
      <c r="F33" s="2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19" x14ac:dyDescent="0.25">
      <c r="A34" s="4" t="s">
        <v>9</v>
      </c>
      <c r="E34" s="1"/>
      <c r="F34" s="2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19" x14ac:dyDescent="0.25">
      <c r="B35">
        <v>2002</v>
      </c>
      <c r="C35" t="s">
        <v>107</v>
      </c>
      <c r="D35" t="s">
        <v>9</v>
      </c>
      <c r="E35" s="1">
        <v>3.7999999999999999E-2</v>
      </c>
      <c r="F35" s="2">
        <v>37408</v>
      </c>
      <c r="G35" s="14"/>
      <c r="H35" s="14"/>
      <c r="I35" s="14">
        <f>0.038/4</f>
        <v>9.4999999999999998E-3</v>
      </c>
      <c r="J35" s="14">
        <f>0.038/4</f>
        <v>9.4999999999999998E-3</v>
      </c>
      <c r="K35" s="14">
        <f>0.038/4</f>
        <v>9.4999999999999998E-3</v>
      </c>
      <c r="L35" s="14">
        <f>0.038/4</f>
        <v>9.4999999999999998E-3</v>
      </c>
      <c r="M35" s="14"/>
      <c r="N35" s="14"/>
      <c r="O35" s="14"/>
      <c r="P35" s="14"/>
      <c r="Q35" s="14"/>
      <c r="R35" s="14"/>
      <c r="S35" s="14">
        <f t="shared" ref="S35:S45" si="7">SUM(G35:R35)</f>
        <v>3.7999999999999999E-2</v>
      </c>
    </row>
    <row r="36" spans="1:19" x14ac:dyDescent="0.25">
      <c r="B36">
        <v>2002</v>
      </c>
      <c r="C36" t="s">
        <v>21</v>
      </c>
      <c r="D36" t="s">
        <v>17</v>
      </c>
      <c r="E36" s="1">
        <v>5.8000000000000003E-2</v>
      </c>
      <c r="F36" s="2">
        <v>37347</v>
      </c>
      <c r="G36" s="14">
        <f>0.058/4</f>
        <v>1.4500000000000001E-2</v>
      </c>
      <c r="H36" s="14">
        <f>0.058/4</f>
        <v>1.4500000000000001E-2</v>
      </c>
      <c r="I36" s="14">
        <f>0.058/4</f>
        <v>1.4500000000000001E-2</v>
      </c>
      <c r="J36" s="14">
        <f>0.058/4</f>
        <v>1.4500000000000001E-2</v>
      </c>
      <c r="K36" s="14"/>
      <c r="L36" s="14"/>
      <c r="M36" s="14"/>
      <c r="N36" s="14"/>
      <c r="O36" s="14"/>
      <c r="P36" s="14"/>
      <c r="Q36" s="14"/>
      <c r="R36" s="14"/>
      <c r="S36" s="14">
        <f t="shared" si="7"/>
        <v>5.8000000000000003E-2</v>
      </c>
    </row>
    <row r="37" spans="1:19" x14ac:dyDescent="0.25">
      <c r="B37">
        <v>2002</v>
      </c>
      <c r="C37" t="s">
        <v>22</v>
      </c>
      <c r="D37" t="s">
        <v>23</v>
      </c>
      <c r="E37" s="1">
        <v>8.0000000000000002E-3</v>
      </c>
      <c r="F37" s="2">
        <v>37347</v>
      </c>
      <c r="G37" s="14">
        <f>0.008/4</f>
        <v>2E-3</v>
      </c>
      <c r="H37" s="14">
        <f>0.008/4</f>
        <v>2E-3</v>
      </c>
      <c r="I37" s="14">
        <f>0.008/4</f>
        <v>2E-3</v>
      </c>
      <c r="J37" s="14">
        <f>0.008/4</f>
        <v>2E-3</v>
      </c>
      <c r="K37" s="14"/>
      <c r="L37" s="14"/>
      <c r="M37" s="14"/>
      <c r="N37" s="14"/>
      <c r="O37" s="14"/>
      <c r="P37" s="14"/>
      <c r="Q37" s="14"/>
      <c r="R37" s="14"/>
      <c r="S37" s="14">
        <f t="shared" si="7"/>
        <v>8.0000000000000002E-3</v>
      </c>
    </row>
    <row r="38" spans="1:19" x14ac:dyDescent="0.25">
      <c r="B38">
        <v>2002</v>
      </c>
      <c r="C38" t="s">
        <v>24</v>
      </c>
      <c r="D38" t="s">
        <v>23</v>
      </c>
      <c r="E38" s="1">
        <v>4.7E-2</v>
      </c>
      <c r="F38" s="2">
        <v>37500</v>
      </c>
      <c r="G38" s="14"/>
      <c r="H38" s="14"/>
      <c r="I38" s="14"/>
      <c r="J38" s="14"/>
      <c r="K38" s="14">
        <f>0.047/5</f>
        <v>9.4000000000000004E-3</v>
      </c>
      <c r="L38" s="14">
        <f>0.047/5</f>
        <v>9.4000000000000004E-3</v>
      </c>
      <c r="M38" s="14">
        <f>0.047/5</f>
        <v>9.4000000000000004E-3</v>
      </c>
      <c r="N38" s="14">
        <f>0.047/5</f>
        <v>9.4000000000000004E-3</v>
      </c>
      <c r="O38" s="14">
        <f>0.047/5</f>
        <v>9.4000000000000004E-3</v>
      </c>
      <c r="P38" s="14"/>
      <c r="Q38" s="14"/>
      <c r="R38" s="14"/>
      <c r="S38" s="14">
        <f t="shared" si="7"/>
        <v>4.7E-2</v>
      </c>
    </row>
    <row r="39" spans="1:19" x14ac:dyDescent="0.25">
      <c r="B39">
        <v>2002</v>
      </c>
      <c r="C39" t="s">
        <v>25</v>
      </c>
      <c r="D39" t="s">
        <v>23</v>
      </c>
      <c r="E39" s="1">
        <v>5.5E-2</v>
      </c>
      <c r="F39" s="2">
        <v>37408</v>
      </c>
      <c r="G39" s="14">
        <f t="shared" ref="G39:L39" si="8">0.055/6</f>
        <v>9.1666666666666667E-3</v>
      </c>
      <c r="H39" s="14">
        <f t="shared" si="8"/>
        <v>9.1666666666666667E-3</v>
      </c>
      <c r="I39" s="14">
        <f t="shared" si="8"/>
        <v>9.1666666666666667E-3</v>
      </c>
      <c r="J39" s="14">
        <f t="shared" si="8"/>
        <v>9.1666666666666667E-3</v>
      </c>
      <c r="K39" s="14">
        <f t="shared" si="8"/>
        <v>9.1666666666666667E-3</v>
      </c>
      <c r="L39" s="14">
        <f t="shared" si="8"/>
        <v>9.1666666666666667E-3</v>
      </c>
      <c r="M39" s="14"/>
      <c r="N39" s="14"/>
      <c r="O39" s="14"/>
      <c r="P39" s="14"/>
      <c r="Q39" s="14"/>
      <c r="R39" s="14"/>
      <c r="S39" s="14">
        <f t="shared" si="7"/>
        <v>5.5000000000000007E-2</v>
      </c>
    </row>
    <row r="40" spans="1:19" x14ac:dyDescent="0.25">
      <c r="B40">
        <v>2002</v>
      </c>
      <c r="C40" t="s">
        <v>26</v>
      </c>
      <c r="D40" t="s">
        <v>23</v>
      </c>
      <c r="E40" s="1">
        <v>0.24099999999999999</v>
      </c>
      <c r="F40" s="2">
        <v>37591</v>
      </c>
      <c r="G40" s="14">
        <f>0.241/12</f>
        <v>2.0083333333333332E-2</v>
      </c>
      <c r="H40" s="14">
        <f t="shared" ref="H40:R40" si="9">0.241/12</f>
        <v>2.0083333333333332E-2</v>
      </c>
      <c r="I40" s="14">
        <f t="shared" si="9"/>
        <v>2.0083333333333332E-2</v>
      </c>
      <c r="J40" s="14">
        <f t="shared" si="9"/>
        <v>2.0083333333333332E-2</v>
      </c>
      <c r="K40" s="14">
        <f t="shared" si="9"/>
        <v>2.0083333333333332E-2</v>
      </c>
      <c r="L40" s="14">
        <f t="shared" si="9"/>
        <v>2.0083333333333332E-2</v>
      </c>
      <c r="M40" s="14">
        <f t="shared" si="9"/>
        <v>2.0083333333333332E-2</v>
      </c>
      <c r="N40" s="14">
        <f t="shared" si="9"/>
        <v>2.0083333333333332E-2</v>
      </c>
      <c r="O40" s="14">
        <f t="shared" si="9"/>
        <v>2.0083333333333332E-2</v>
      </c>
      <c r="P40" s="14">
        <f t="shared" si="9"/>
        <v>2.0083333333333332E-2</v>
      </c>
      <c r="Q40" s="14">
        <f t="shared" si="9"/>
        <v>2.0083333333333332E-2</v>
      </c>
      <c r="R40" s="14">
        <f t="shared" si="9"/>
        <v>2.0083333333333332E-2</v>
      </c>
      <c r="S40" s="14">
        <f t="shared" si="7"/>
        <v>0.24100000000000002</v>
      </c>
    </row>
    <row r="41" spans="1:19" x14ac:dyDescent="0.25">
      <c r="B41">
        <v>2002</v>
      </c>
      <c r="C41" t="s">
        <v>5</v>
      </c>
      <c r="D41" t="s">
        <v>27</v>
      </c>
      <c r="E41" s="1">
        <v>3.5000000000000003E-2</v>
      </c>
      <c r="F41" s="2"/>
      <c r="G41" s="14"/>
      <c r="H41" s="14"/>
      <c r="I41" s="14">
        <f>0.035/4</f>
        <v>8.7500000000000008E-3</v>
      </c>
      <c r="J41" s="14">
        <f>0.035/4</f>
        <v>8.7500000000000008E-3</v>
      </c>
      <c r="K41" s="14">
        <f>0.035/4</f>
        <v>8.7500000000000008E-3</v>
      </c>
      <c r="L41" s="14">
        <f>0.035/4</f>
        <v>8.7500000000000008E-3</v>
      </c>
      <c r="M41" s="14"/>
      <c r="N41" s="14"/>
      <c r="O41" s="14"/>
      <c r="P41" s="14"/>
      <c r="Q41" s="14"/>
      <c r="R41" s="14"/>
      <c r="S41" s="14">
        <f t="shared" si="7"/>
        <v>3.5000000000000003E-2</v>
      </c>
    </row>
    <row r="42" spans="1:19" x14ac:dyDescent="0.25">
      <c r="B42">
        <v>2002</v>
      </c>
      <c r="C42" t="s">
        <v>5</v>
      </c>
      <c r="D42" t="s">
        <v>31</v>
      </c>
      <c r="E42" s="1">
        <v>0.36299999999999999</v>
      </c>
      <c r="F42" s="2"/>
      <c r="G42" s="14"/>
      <c r="H42" s="14"/>
      <c r="I42" s="14">
        <f>0.363/9</f>
        <v>4.0333333333333332E-2</v>
      </c>
      <c r="J42" s="14">
        <f t="shared" ref="J42:Q42" si="10">0.363/9</f>
        <v>4.0333333333333332E-2</v>
      </c>
      <c r="K42" s="14">
        <f t="shared" si="10"/>
        <v>4.0333333333333332E-2</v>
      </c>
      <c r="L42" s="14">
        <f t="shared" si="10"/>
        <v>4.0333333333333332E-2</v>
      </c>
      <c r="M42" s="14">
        <f t="shared" si="10"/>
        <v>4.0333333333333332E-2</v>
      </c>
      <c r="N42" s="14">
        <f t="shared" si="10"/>
        <v>4.0333333333333332E-2</v>
      </c>
      <c r="O42" s="14">
        <f t="shared" si="10"/>
        <v>4.0333333333333332E-2</v>
      </c>
      <c r="P42" s="14">
        <f t="shared" si="10"/>
        <v>4.0333333333333332E-2</v>
      </c>
      <c r="Q42" s="14">
        <f t="shared" si="10"/>
        <v>4.0333333333333332E-2</v>
      </c>
      <c r="R42" s="14"/>
      <c r="S42" s="14">
        <f t="shared" si="7"/>
        <v>0.36299999999999999</v>
      </c>
    </row>
    <row r="43" spans="1:19" x14ac:dyDescent="0.25">
      <c r="B43">
        <v>2002</v>
      </c>
      <c r="C43" t="s">
        <v>5</v>
      </c>
      <c r="D43" t="s">
        <v>32</v>
      </c>
      <c r="E43" s="1">
        <v>4.9000000000000002E-2</v>
      </c>
      <c r="F43" s="2"/>
      <c r="G43" s="14"/>
      <c r="H43" s="14"/>
      <c r="I43" s="14">
        <f>0.049/3</f>
        <v>1.6333333333333335E-2</v>
      </c>
      <c r="J43" s="14">
        <f>0.049/3</f>
        <v>1.6333333333333335E-2</v>
      </c>
      <c r="K43" s="14">
        <f>0.049/3</f>
        <v>1.6333333333333335E-2</v>
      </c>
      <c r="L43" s="14"/>
      <c r="M43" s="14"/>
      <c r="N43" s="14"/>
      <c r="O43" s="14"/>
      <c r="P43" s="14"/>
      <c r="Q43" s="14"/>
      <c r="R43" s="14"/>
      <c r="S43" s="14">
        <f t="shared" si="7"/>
        <v>4.9000000000000002E-2</v>
      </c>
    </row>
    <row r="44" spans="1:19" x14ac:dyDescent="0.25">
      <c r="B44">
        <v>2002</v>
      </c>
      <c r="C44" t="s">
        <v>105</v>
      </c>
      <c r="E44" s="1">
        <v>4.1000000000000002E-2</v>
      </c>
      <c r="F44" s="2">
        <v>37347</v>
      </c>
      <c r="G44" s="14">
        <f>0.041/4</f>
        <v>1.025E-2</v>
      </c>
      <c r="H44" s="14">
        <f>0.041/4</f>
        <v>1.025E-2</v>
      </c>
      <c r="I44" s="14">
        <f>0.041/4</f>
        <v>1.025E-2</v>
      </c>
      <c r="J44" s="14">
        <f>0.041/4</f>
        <v>1.025E-2</v>
      </c>
      <c r="K44" s="14"/>
      <c r="L44" s="14"/>
      <c r="M44" s="14"/>
      <c r="N44" s="14"/>
      <c r="O44" s="14"/>
      <c r="P44" s="14"/>
      <c r="Q44" s="14"/>
      <c r="R44" s="14"/>
      <c r="S44" s="14">
        <f t="shared" si="7"/>
        <v>4.1000000000000002E-2</v>
      </c>
    </row>
    <row r="45" spans="1:19" x14ac:dyDescent="0.25">
      <c r="B45">
        <v>2002</v>
      </c>
      <c r="C45" t="s">
        <v>106</v>
      </c>
      <c r="E45" s="1">
        <v>0.52500000000000002</v>
      </c>
      <c r="F45" s="2">
        <v>37591</v>
      </c>
      <c r="G45" s="14">
        <f>0.525/12</f>
        <v>4.3750000000000004E-2</v>
      </c>
      <c r="H45" s="14">
        <f t="shared" ref="H45:R45" si="11">0.525/12</f>
        <v>4.3750000000000004E-2</v>
      </c>
      <c r="I45" s="14">
        <f t="shared" si="11"/>
        <v>4.3750000000000004E-2</v>
      </c>
      <c r="J45" s="14">
        <f t="shared" si="11"/>
        <v>4.3750000000000004E-2</v>
      </c>
      <c r="K45" s="14">
        <f t="shared" si="11"/>
        <v>4.3750000000000004E-2</v>
      </c>
      <c r="L45" s="14">
        <f t="shared" si="11"/>
        <v>4.3750000000000004E-2</v>
      </c>
      <c r="M45" s="14">
        <f t="shared" si="11"/>
        <v>4.3750000000000004E-2</v>
      </c>
      <c r="N45" s="14">
        <f t="shared" si="11"/>
        <v>4.3750000000000004E-2</v>
      </c>
      <c r="O45" s="14">
        <f t="shared" si="11"/>
        <v>4.3750000000000004E-2</v>
      </c>
      <c r="P45" s="14">
        <f t="shared" si="11"/>
        <v>4.3750000000000004E-2</v>
      </c>
      <c r="Q45" s="14">
        <f t="shared" si="11"/>
        <v>4.3750000000000004E-2</v>
      </c>
      <c r="R45" s="14">
        <f t="shared" si="11"/>
        <v>4.3750000000000004E-2</v>
      </c>
      <c r="S45" s="14">
        <f t="shared" si="7"/>
        <v>0.52500000000000002</v>
      </c>
    </row>
    <row r="46" spans="1:19" s="4" customFormat="1" x14ac:dyDescent="0.25">
      <c r="A46" s="4" t="s">
        <v>87</v>
      </c>
      <c r="E46" s="5">
        <f>SUM(E35:E45)</f>
        <v>1.46</v>
      </c>
      <c r="F46" s="6"/>
      <c r="G46" s="5">
        <f t="shared" ref="G46:R46" si="12">SUM(G35:G45)</f>
        <v>9.9750000000000005E-2</v>
      </c>
      <c r="H46" s="5">
        <f t="shared" si="12"/>
        <v>9.9750000000000005E-2</v>
      </c>
      <c r="I46" s="5">
        <f t="shared" si="12"/>
        <v>0.17466666666666669</v>
      </c>
      <c r="J46" s="5">
        <f t="shared" si="12"/>
        <v>0.17466666666666669</v>
      </c>
      <c r="K46" s="5">
        <f t="shared" si="12"/>
        <v>0.15731666666666669</v>
      </c>
      <c r="L46" s="5">
        <f t="shared" si="12"/>
        <v>0.14098333333333335</v>
      </c>
      <c r="M46" s="5">
        <f t="shared" si="12"/>
        <v>0.11356666666666668</v>
      </c>
      <c r="N46" s="5">
        <f t="shared" si="12"/>
        <v>0.11356666666666668</v>
      </c>
      <c r="O46" s="5">
        <f t="shared" si="12"/>
        <v>0.11356666666666668</v>
      </c>
      <c r="P46" s="5">
        <f t="shared" si="12"/>
        <v>0.10416666666666666</v>
      </c>
      <c r="Q46" s="5">
        <f t="shared" si="12"/>
        <v>0.10416666666666666</v>
      </c>
      <c r="R46" s="5">
        <f t="shared" si="12"/>
        <v>6.3833333333333339E-2</v>
      </c>
      <c r="S46" s="15">
        <f>SUM(S35:S45)</f>
        <v>1.4600000000000002</v>
      </c>
    </row>
    <row r="47" spans="1:19" x14ac:dyDescent="0.25">
      <c r="E47" s="1"/>
      <c r="F47" s="2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19" x14ac:dyDescent="0.25">
      <c r="A48" s="4" t="s">
        <v>7</v>
      </c>
      <c r="E48" s="1"/>
      <c r="F48" s="2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19" x14ac:dyDescent="0.25">
      <c r="B49">
        <v>2002</v>
      </c>
      <c r="C49" t="s">
        <v>35</v>
      </c>
      <c r="D49" t="s">
        <v>36</v>
      </c>
      <c r="E49" s="1">
        <v>1.0999999999999999E-2</v>
      </c>
      <c r="F49" s="2">
        <v>37408</v>
      </c>
      <c r="G49" s="14"/>
      <c r="H49" s="14"/>
      <c r="I49" s="14">
        <f>0.011/4</f>
        <v>2.7499999999999998E-3</v>
      </c>
      <c r="J49" s="14">
        <f>0.011/4</f>
        <v>2.7499999999999998E-3</v>
      </c>
      <c r="K49" s="14">
        <f>0.011/4</f>
        <v>2.7499999999999998E-3</v>
      </c>
      <c r="L49" s="14">
        <f>0.011/4</f>
        <v>2.7499999999999998E-3</v>
      </c>
      <c r="M49" s="14"/>
      <c r="N49" s="14"/>
      <c r="O49" s="14"/>
      <c r="P49" s="14"/>
      <c r="Q49" s="14"/>
      <c r="R49" s="14"/>
      <c r="S49" s="14">
        <f>SUM(G49:R49)</f>
        <v>1.0999999999999999E-2</v>
      </c>
    </row>
    <row r="50" spans="1:19" x14ac:dyDescent="0.25">
      <c r="B50">
        <v>2002</v>
      </c>
      <c r="C50" t="s">
        <v>43</v>
      </c>
      <c r="E50" s="1">
        <v>0.03</v>
      </c>
      <c r="F50" s="2"/>
      <c r="G50" s="14"/>
      <c r="H50" s="14">
        <f>0.03/3</f>
        <v>0.01</v>
      </c>
      <c r="I50" s="14">
        <f>0.03/3</f>
        <v>0.01</v>
      </c>
      <c r="J50" s="14">
        <f>0.03/3</f>
        <v>0.01</v>
      </c>
      <c r="K50" s="14"/>
      <c r="L50" s="14"/>
      <c r="M50" s="14"/>
      <c r="N50" s="14"/>
      <c r="O50" s="14"/>
      <c r="P50" s="14"/>
      <c r="Q50" s="14"/>
      <c r="R50" s="14"/>
      <c r="S50" s="14">
        <f>SUM(G50:R50)</f>
        <v>0.03</v>
      </c>
    </row>
    <row r="51" spans="1:19" s="4" customFormat="1" x14ac:dyDescent="0.25">
      <c r="A51" s="4" t="s">
        <v>87</v>
      </c>
      <c r="E51" s="5">
        <f>SUM(E49:E50)</f>
        <v>4.0999999999999995E-2</v>
      </c>
      <c r="F51" s="6"/>
      <c r="G51" s="5">
        <f t="shared" ref="G51:R51" si="13">SUM(G49:G50)</f>
        <v>0</v>
      </c>
      <c r="H51" s="5">
        <f t="shared" si="13"/>
        <v>0.01</v>
      </c>
      <c r="I51" s="5">
        <f t="shared" si="13"/>
        <v>1.2750000000000001E-2</v>
      </c>
      <c r="J51" s="5">
        <f t="shared" si="13"/>
        <v>1.2750000000000001E-2</v>
      </c>
      <c r="K51" s="5">
        <f t="shared" si="13"/>
        <v>2.7499999999999998E-3</v>
      </c>
      <c r="L51" s="5">
        <f t="shared" si="13"/>
        <v>2.7499999999999998E-3</v>
      </c>
      <c r="M51" s="5">
        <f t="shared" si="13"/>
        <v>0</v>
      </c>
      <c r="N51" s="5">
        <f t="shared" si="13"/>
        <v>0</v>
      </c>
      <c r="O51" s="5">
        <f t="shared" si="13"/>
        <v>0</v>
      </c>
      <c r="P51" s="5">
        <f t="shared" si="13"/>
        <v>0</v>
      </c>
      <c r="Q51" s="5">
        <f t="shared" si="13"/>
        <v>0</v>
      </c>
      <c r="R51" s="5">
        <f t="shared" si="13"/>
        <v>0</v>
      </c>
      <c r="S51" s="15">
        <f>SUM(S49:S50)</f>
        <v>4.0999999999999995E-2</v>
      </c>
    </row>
    <row r="52" spans="1:19" x14ac:dyDescent="0.25">
      <c r="E52" s="1"/>
      <c r="F52" s="2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1:19" x14ac:dyDescent="0.25">
      <c r="A53" s="4" t="s">
        <v>80</v>
      </c>
      <c r="E53" s="1"/>
      <c r="F53" s="2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spans="1:19" x14ac:dyDescent="0.25">
      <c r="B54">
        <v>2002</v>
      </c>
      <c r="C54" t="s">
        <v>83</v>
      </c>
      <c r="E54" s="1">
        <v>0.03</v>
      </c>
      <c r="F54" s="2"/>
      <c r="G54" s="14">
        <v>0.03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>
        <f>SUM(G54:R54)</f>
        <v>0.03</v>
      </c>
    </row>
    <row r="55" spans="1:19" x14ac:dyDescent="0.25">
      <c r="B55">
        <v>2002</v>
      </c>
      <c r="C55" t="s">
        <v>43</v>
      </c>
      <c r="E55" s="1">
        <v>4.2999999999999997E-2</v>
      </c>
      <c r="F55" s="2"/>
      <c r="G55" s="14">
        <f>0.043/3</f>
        <v>1.4333333333333332E-2</v>
      </c>
      <c r="H55" s="14">
        <f>0.043/3</f>
        <v>1.4333333333333332E-2</v>
      </c>
      <c r="I55" s="14">
        <f>0.043/3</f>
        <v>1.4333333333333332E-2</v>
      </c>
      <c r="J55" s="14"/>
      <c r="K55" s="14"/>
      <c r="L55" s="14"/>
      <c r="M55" s="14"/>
      <c r="N55" s="14"/>
      <c r="O55" s="14"/>
      <c r="P55" s="14"/>
      <c r="Q55" s="14"/>
      <c r="R55" s="14"/>
      <c r="S55" s="14">
        <f>SUM(G55:R55)</f>
        <v>4.2999999999999997E-2</v>
      </c>
    </row>
    <row r="56" spans="1:19" x14ac:dyDescent="0.25">
      <c r="B56">
        <v>2002</v>
      </c>
      <c r="C56" t="s">
        <v>85</v>
      </c>
      <c r="E56" s="1">
        <v>8.0000000000000002E-3</v>
      </c>
      <c r="F56" s="2"/>
      <c r="G56" s="14">
        <v>8.0000000000000002E-3</v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>
        <f>SUM(G56:R56)</f>
        <v>8.0000000000000002E-3</v>
      </c>
    </row>
    <row r="57" spans="1:19" s="4" customFormat="1" x14ac:dyDescent="0.25">
      <c r="A57" s="4" t="s">
        <v>86</v>
      </c>
      <c r="E57" s="5">
        <f>SUM(E54:E56)</f>
        <v>8.0999999999999989E-2</v>
      </c>
      <c r="F57" s="6"/>
      <c r="G57" s="5">
        <f t="shared" ref="G57:R57" si="14">SUM(G54:G56)</f>
        <v>5.2333333333333329E-2</v>
      </c>
      <c r="H57" s="5">
        <f t="shared" si="14"/>
        <v>1.4333333333333332E-2</v>
      </c>
      <c r="I57" s="5">
        <f t="shared" si="14"/>
        <v>1.4333333333333332E-2</v>
      </c>
      <c r="J57" s="5">
        <f t="shared" si="14"/>
        <v>0</v>
      </c>
      <c r="K57" s="5">
        <f t="shared" si="14"/>
        <v>0</v>
      </c>
      <c r="L57" s="5">
        <f t="shared" si="14"/>
        <v>0</v>
      </c>
      <c r="M57" s="5">
        <f t="shared" si="14"/>
        <v>0</v>
      </c>
      <c r="N57" s="5">
        <f t="shared" si="14"/>
        <v>0</v>
      </c>
      <c r="O57" s="5">
        <f t="shared" si="14"/>
        <v>0</v>
      </c>
      <c r="P57" s="5">
        <f t="shared" si="14"/>
        <v>0</v>
      </c>
      <c r="Q57" s="5">
        <f t="shared" si="14"/>
        <v>0</v>
      </c>
      <c r="R57" s="5">
        <f t="shared" si="14"/>
        <v>0</v>
      </c>
      <c r="S57" s="15">
        <f>SUM(S54:S56)</f>
        <v>8.0999999999999989E-2</v>
      </c>
    </row>
    <row r="58" spans="1:19" x14ac:dyDescent="0.25">
      <c r="E58" s="1"/>
      <c r="F58" s="2"/>
    </row>
  </sheetData>
  <phoneticPr fontId="0" type="noConversion"/>
  <pageMargins left="0.75" right="0.75" top="1" bottom="1" header="0.5" footer="0.5"/>
  <pageSetup scale="4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3"/>
  <sheetViews>
    <sheetView workbookViewId="0">
      <pane xSplit="6" ySplit="3" topLeftCell="S37" activePane="bottomRight" state="frozen"/>
      <selection activeCell="R2" sqref="R2"/>
      <selection pane="topRight" activeCell="R2" sqref="R2"/>
      <selection pane="bottomLeft" activeCell="R2" sqref="R2"/>
      <selection pane="bottomRight" activeCell="R2" sqref="R2"/>
    </sheetView>
  </sheetViews>
  <sheetFormatPr defaultRowHeight="13.2" x14ac:dyDescent="0.25"/>
  <cols>
    <col min="3" max="3" width="21.109375" customWidth="1"/>
    <col min="4" max="4" width="11.6640625" customWidth="1"/>
  </cols>
  <sheetData>
    <row r="1" spans="1:19" x14ac:dyDescent="0.25">
      <c r="A1" t="s">
        <v>90</v>
      </c>
      <c r="E1" s="1"/>
      <c r="F1" s="2"/>
      <c r="R1" t="str">
        <f ca="1">CELL("filename")</f>
        <v>H:\EXCEL\2002 Budget IT\[2002 Capital by month.xls]MD</v>
      </c>
    </row>
    <row r="2" spans="1:19" x14ac:dyDescent="0.25">
      <c r="E2" s="1"/>
      <c r="F2" s="2"/>
    </row>
    <row r="3" spans="1:19" x14ac:dyDescent="0.25">
      <c r="A3" t="s">
        <v>0</v>
      </c>
      <c r="B3" t="s">
        <v>10</v>
      </c>
      <c r="C3" t="s">
        <v>1</v>
      </c>
      <c r="D3" t="s">
        <v>4</v>
      </c>
      <c r="E3" s="1" t="s">
        <v>2</v>
      </c>
      <c r="F3" s="2" t="s">
        <v>3</v>
      </c>
      <c r="G3" t="s">
        <v>91</v>
      </c>
      <c r="H3" t="s">
        <v>92</v>
      </c>
      <c r="I3" t="s">
        <v>93</v>
      </c>
      <c r="J3" t="s">
        <v>94</v>
      </c>
      <c r="K3" t="s">
        <v>95</v>
      </c>
      <c r="L3" t="s">
        <v>96</v>
      </c>
      <c r="M3" t="s">
        <v>97</v>
      </c>
      <c r="N3" t="s">
        <v>98</v>
      </c>
      <c r="O3" t="s">
        <v>99</v>
      </c>
      <c r="P3" t="s">
        <v>104</v>
      </c>
      <c r="Q3" t="s">
        <v>101</v>
      </c>
      <c r="R3" t="s">
        <v>102</v>
      </c>
      <c r="S3" t="s">
        <v>103</v>
      </c>
    </row>
    <row r="4" spans="1:19" ht="17.399999999999999" x14ac:dyDescent="0.3">
      <c r="A4" s="7" t="s">
        <v>16</v>
      </c>
      <c r="E4" s="1"/>
      <c r="F4" s="2"/>
    </row>
    <row r="5" spans="1:19" s="4" customFormat="1" x14ac:dyDescent="0.25">
      <c r="A5" s="3" t="s">
        <v>8</v>
      </c>
      <c r="E5" s="5"/>
      <c r="F5" s="6"/>
    </row>
    <row r="6" spans="1:19" x14ac:dyDescent="0.25">
      <c r="A6" s="3"/>
      <c r="B6">
        <v>2002</v>
      </c>
      <c r="C6" t="s">
        <v>50</v>
      </c>
      <c r="D6" t="s">
        <v>51</v>
      </c>
      <c r="E6" s="1">
        <v>5.0000000000000001E-3</v>
      </c>
      <c r="F6" s="2"/>
      <c r="G6" s="14">
        <v>5.0000000000000001E-3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>
        <f>SUM(G6:R6)</f>
        <v>5.0000000000000001E-3</v>
      </c>
    </row>
    <row r="7" spans="1:19" x14ac:dyDescent="0.25">
      <c r="A7" s="3"/>
      <c r="B7">
        <v>2002</v>
      </c>
      <c r="C7" t="s">
        <v>49</v>
      </c>
      <c r="D7" t="s">
        <v>8</v>
      </c>
      <c r="E7" s="1">
        <v>1.7000000000000001E-2</v>
      </c>
      <c r="F7" s="2">
        <v>37257</v>
      </c>
      <c r="G7" s="14">
        <f>0.017/2</f>
        <v>8.5000000000000006E-3</v>
      </c>
      <c r="H7" s="14">
        <f>0.017/2</f>
        <v>8.5000000000000006E-3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>SUM(G7:R7)</f>
        <v>1.7000000000000001E-2</v>
      </c>
    </row>
    <row r="8" spans="1:19" x14ac:dyDescent="0.25">
      <c r="B8">
        <v>2002</v>
      </c>
      <c r="C8" t="s">
        <v>39</v>
      </c>
      <c r="D8" t="s">
        <v>8</v>
      </c>
      <c r="E8" s="1">
        <v>8.9999999999999993E-3</v>
      </c>
      <c r="F8" s="2">
        <v>37408</v>
      </c>
      <c r="G8" s="14"/>
      <c r="H8" s="14"/>
      <c r="I8" s="14"/>
      <c r="J8" s="14">
        <f>0.009/3</f>
        <v>2.9999999999999996E-3</v>
      </c>
      <c r="K8" s="14">
        <f>0.009/3</f>
        <v>2.9999999999999996E-3</v>
      </c>
      <c r="L8" s="14">
        <f>0.009/3</f>
        <v>2.9999999999999996E-3</v>
      </c>
      <c r="M8" s="14"/>
      <c r="N8" s="14"/>
      <c r="O8" s="14"/>
      <c r="P8" s="14"/>
      <c r="Q8" s="14"/>
      <c r="R8" s="14"/>
      <c r="S8" s="14">
        <f>SUM(G8:R8)</f>
        <v>8.9999999999999993E-3</v>
      </c>
    </row>
    <row r="9" spans="1:19" s="4" customFormat="1" x14ac:dyDescent="0.25">
      <c r="A9" s="4" t="s">
        <v>87</v>
      </c>
      <c r="E9" s="5">
        <f>SUM(E6:E8)</f>
        <v>3.1E-2</v>
      </c>
      <c r="F9" s="6"/>
      <c r="G9" s="5">
        <f t="shared" ref="G9:R9" si="0">SUM(G6:G8)</f>
        <v>1.3500000000000002E-2</v>
      </c>
      <c r="H9" s="5">
        <f t="shared" si="0"/>
        <v>8.5000000000000006E-3</v>
      </c>
      <c r="I9" s="5">
        <f t="shared" si="0"/>
        <v>0</v>
      </c>
      <c r="J9" s="5">
        <f t="shared" si="0"/>
        <v>2.9999999999999996E-3</v>
      </c>
      <c r="K9" s="5">
        <f t="shared" si="0"/>
        <v>2.9999999999999996E-3</v>
      </c>
      <c r="L9" s="5">
        <f t="shared" si="0"/>
        <v>2.9999999999999996E-3</v>
      </c>
      <c r="M9" s="5">
        <f t="shared" si="0"/>
        <v>0</v>
      </c>
      <c r="N9" s="5">
        <f t="shared" si="0"/>
        <v>0</v>
      </c>
      <c r="O9" s="5">
        <f t="shared" si="0"/>
        <v>0</v>
      </c>
      <c r="P9" s="5">
        <f t="shared" si="0"/>
        <v>0</v>
      </c>
      <c r="Q9" s="5">
        <f t="shared" si="0"/>
        <v>0</v>
      </c>
      <c r="R9" s="5">
        <f t="shared" si="0"/>
        <v>0</v>
      </c>
      <c r="S9" s="15">
        <f>SUM(S6:S8)</f>
        <v>3.1E-2</v>
      </c>
    </row>
    <row r="10" spans="1:19" x14ac:dyDescent="0.25">
      <c r="A10" s="3"/>
      <c r="E10" s="1"/>
      <c r="F10" s="2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x14ac:dyDescent="0.25">
      <c r="A11" s="9" t="s">
        <v>6</v>
      </c>
      <c r="E11" s="1"/>
      <c r="F11" s="2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19" x14ac:dyDescent="0.25">
      <c r="B12">
        <v>2002</v>
      </c>
      <c r="C12" t="s">
        <v>56</v>
      </c>
      <c r="D12" t="s">
        <v>57</v>
      </c>
      <c r="E12" s="1">
        <v>1.2999999999999999E-2</v>
      </c>
      <c r="F12" s="2">
        <v>37560</v>
      </c>
      <c r="G12" s="14"/>
      <c r="H12" s="14"/>
      <c r="I12" s="14"/>
      <c r="J12" s="14"/>
      <c r="K12" s="14"/>
      <c r="L12" s="14"/>
      <c r="M12" s="14"/>
      <c r="N12" s="14">
        <f>0.013/3</f>
        <v>4.3333333333333331E-3</v>
      </c>
      <c r="O12" s="14">
        <f>0.013/3</f>
        <v>4.3333333333333331E-3</v>
      </c>
      <c r="P12" s="14">
        <f>0.013/3</f>
        <v>4.3333333333333331E-3</v>
      </c>
      <c r="Q12" s="14"/>
      <c r="R12" s="14"/>
      <c r="S12" s="14">
        <f t="shared" ref="S12:S30" si="1">SUM(G12:R12)</f>
        <v>1.2999999999999999E-2</v>
      </c>
    </row>
    <row r="13" spans="1:19" x14ac:dyDescent="0.25">
      <c r="B13">
        <v>2002</v>
      </c>
      <c r="C13" t="s">
        <v>58</v>
      </c>
      <c r="D13" t="s">
        <v>57</v>
      </c>
      <c r="E13" s="1">
        <v>3.0000000000000001E-3</v>
      </c>
      <c r="F13" s="2"/>
      <c r="G13" s="14">
        <v>3.0000000000000001E-3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>
        <f t="shared" si="1"/>
        <v>3.0000000000000001E-3</v>
      </c>
    </row>
    <row r="14" spans="1:19" x14ac:dyDescent="0.25">
      <c r="B14">
        <v>2002</v>
      </c>
      <c r="C14" t="s">
        <v>59</v>
      </c>
      <c r="D14" t="s">
        <v>57</v>
      </c>
      <c r="E14" s="1">
        <v>2.8000000000000001E-2</v>
      </c>
      <c r="F14" s="2"/>
      <c r="G14" s="14">
        <f>0.028/2</f>
        <v>1.4E-2</v>
      </c>
      <c r="H14" s="14">
        <f>0.028/2</f>
        <v>1.4E-2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>
        <f t="shared" si="1"/>
        <v>2.8000000000000001E-2</v>
      </c>
    </row>
    <row r="15" spans="1:19" x14ac:dyDescent="0.25">
      <c r="B15">
        <v>2002</v>
      </c>
      <c r="C15" t="s">
        <v>60</v>
      </c>
      <c r="D15" t="s">
        <v>57</v>
      </c>
      <c r="E15" s="1">
        <v>1.6E-2</v>
      </c>
      <c r="F15" s="2"/>
      <c r="G15" s="14"/>
      <c r="H15" s="14">
        <f>0.016/2</f>
        <v>8.0000000000000002E-3</v>
      </c>
      <c r="I15" s="14">
        <f>0.016/2</f>
        <v>8.0000000000000002E-3</v>
      </c>
      <c r="J15" s="14"/>
      <c r="K15" s="14"/>
      <c r="L15" s="14"/>
      <c r="M15" s="14"/>
      <c r="N15" s="14"/>
      <c r="O15" s="14"/>
      <c r="P15" s="14"/>
      <c r="Q15" s="14"/>
      <c r="R15" s="14"/>
      <c r="S15" s="14">
        <f t="shared" si="1"/>
        <v>1.6E-2</v>
      </c>
    </row>
    <row r="16" spans="1:19" x14ac:dyDescent="0.25">
      <c r="B16">
        <v>2002</v>
      </c>
      <c r="C16" t="s">
        <v>61</v>
      </c>
      <c r="D16" t="s">
        <v>57</v>
      </c>
      <c r="E16" s="1">
        <v>0.05</v>
      </c>
      <c r="F16" s="2"/>
      <c r="G16" s="14"/>
      <c r="H16" s="14">
        <f>0.05/4</f>
        <v>1.2500000000000001E-2</v>
      </c>
      <c r="I16" s="14">
        <f>0.05/4</f>
        <v>1.2500000000000001E-2</v>
      </c>
      <c r="J16" s="14">
        <f>0.05/4</f>
        <v>1.2500000000000001E-2</v>
      </c>
      <c r="K16" s="14">
        <f>0.05/4</f>
        <v>1.2500000000000001E-2</v>
      </c>
      <c r="L16" s="14"/>
      <c r="M16" s="14"/>
      <c r="N16" s="14"/>
      <c r="O16" s="14"/>
      <c r="P16" s="14"/>
      <c r="Q16" s="14"/>
      <c r="R16" s="14"/>
      <c r="S16" s="14">
        <f t="shared" si="1"/>
        <v>0.05</v>
      </c>
    </row>
    <row r="17" spans="1:19" x14ac:dyDescent="0.25">
      <c r="B17">
        <v>2002</v>
      </c>
      <c r="C17" t="s">
        <v>62</v>
      </c>
      <c r="D17" t="s">
        <v>57</v>
      </c>
      <c r="E17" s="1">
        <v>7.0000000000000001E-3</v>
      </c>
      <c r="F17" s="2">
        <v>37560</v>
      </c>
      <c r="G17" s="14"/>
      <c r="H17" s="14"/>
      <c r="I17" s="14"/>
      <c r="J17" s="14"/>
      <c r="K17" s="14"/>
      <c r="L17" s="14"/>
      <c r="M17" s="14"/>
      <c r="N17" s="14">
        <f>0.007/3</f>
        <v>2.3333333333333335E-3</v>
      </c>
      <c r="O17" s="14">
        <f>0.007/3</f>
        <v>2.3333333333333335E-3</v>
      </c>
      <c r="P17" s="14">
        <f>0.007/3</f>
        <v>2.3333333333333335E-3</v>
      </c>
      <c r="Q17" s="14"/>
      <c r="R17" s="14"/>
      <c r="S17" s="14">
        <f t="shared" si="1"/>
        <v>7.000000000000001E-3</v>
      </c>
    </row>
    <row r="18" spans="1:19" x14ac:dyDescent="0.25">
      <c r="B18">
        <v>2002</v>
      </c>
      <c r="C18" t="s">
        <v>63</v>
      </c>
      <c r="D18" t="s">
        <v>57</v>
      </c>
      <c r="E18" s="1">
        <v>7.1999999999999995E-2</v>
      </c>
      <c r="F18" s="2">
        <v>37500</v>
      </c>
      <c r="G18" s="14"/>
      <c r="H18" s="14">
        <f>0.072/8</f>
        <v>8.9999999999999993E-3</v>
      </c>
      <c r="I18" s="14">
        <f t="shared" ref="I18:O18" si="2">0.072/8</f>
        <v>8.9999999999999993E-3</v>
      </c>
      <c r="J18" s="14">
        <f t="shared" si="2"/>
        <v>8.9999999999999993E-3</v>
      </c>
      <c r="K18" s="14">
        <f t="shared" si="2"/>
        <v>8.9999999999999993E-3</v>
      </c>
      <c r="L18" s="14">
        <f t="shared" si="2"/>
        <v>8.9999999999999993E-3</v>
      </c>
      <c r="M18" s="14">
        <f t="shared" si="2"/>
        <v>8.9999999999999993E-3</v>
      </c>
      <c r="N18" s="14">
        <f t="shared" si="2"/>
        <v>8.9999999999999993E-3</v>
      </c>
      <c r="O18" s="14">
        <f t="shared" si="2"/>
        <v>8.9999999999999993E-3</v>
      </c>
      <c r="P18" s="14"/>
      <c r="Q18" s="14"/>
      <c r="R18" s="14"/>
      <c r="S18" s="14">
        <f t="shared" si="1"/>
        <v>7.1999999999999995E-2</v>
      </c>
    </row>
    <row r="19" spans="1:19" x14ac:dyDescent="0.25">
      <c r="B19">
        <v>2002</v>
      </c>
      <c r="C19" t="s">
        <v>65</v>
      </c>
      <c r="D19" t="s">
        <v>11</v>
      </c>
      <c r="E19" s="1">
        <v>0.11700000000000001</v>
      </c>
      <c r="F19" s="2">
        <v>37408</v>
      </c>
      <c r="G19" s="14"/>
      <c r="H19" s="14">
        <f>0.117/5</f>
        <v>2.3400000000000001E-2</v>
      </c>
      <c r="I19" s="14">
        <f>0.117/5</f>
        <v>2.3400000000000001E-2</v>
      </c>
      <c r="J19" s="14">
        <f>0.117/5</f>
        <v>2.3400000000000001E-2</v>
      </c>
      <c r="K19" s="14">
        <f>0.117/5</f>
        <v>2.3400000000000001E-2</v>
      </c>
      <c r="L19" s="14">
        <f>0.117/5</f>
        <v>2.3400000000000001E-2</v>
      </c>
      <c r="M19" s="14"/>
      <c r="N19" s="14"/>
      <c r="O19" s="14"/>
      <c r="P19" s="14"/>
      <c r="Q19" s="14"/>
      <c r="R19" s="14"/>
      <c r="S19" s="14">
        <f t="shared" si="1"/>
        <v>0.11700000000000001</v>
      </c>
    </row>
    <row r="20" spans="1:19" x14ac:dyDescent="0.25">
      <c r="B20">
        <v>2002</v>
      </c>
      <c r="C20" t="s">
        <v>66</v>
      </c>
      <c r="D20" t="s">
        <v>11</v>
      </c>
      <c r="E20" s="1">
        <v>5.3999999999999999E-2</v>
      </c>
      <c r="F20" s="2">
        <v>37408</v>
      </c>
      <c r="G20" s="14">
        <f t="shared" ref="G20:L20" si="3">0.054/6</f>
        <v>8.9999999999999993E-3</v>
      </c>
      <c r="H20" s="14">
        <f t="shared" si="3"/>
        <v>8.9999999999999993E-3</v>
      </c>
      <c r="I20" s="14">
        <f t="shared" si="3"/>
        <v>8.9999999999999993E-3</v>
      </c>
      <c r="J20" s="14">
        <f t="shared" si="3"/>
        <v>8.9999999999999993E-3</v>
      </c>
      <c r="K20" s="14">
        <f t="shared" si="3"/>
        <v>8.9999999999999993E-3</v>
      </c>
      <c r="L20" s="14">
        <f t="shared" si="3"/>
        <v>8.9999999999999993E-3</v>
      </c>
      <c r="M20" s="14"/>
      <c r="N20" s="14"/>
      <c r="O20" s="14"/>
      <c r="P20" s="14"/>
      <c r="Q20" s="14"/>
      <c r="R20" s="14"/>
      <c r="S20" s="14">
        <f t="shared" si="1"/>
        <v>5.3999999999999999E-2</v>
      </c>
    </row>
    <row r="21" spans="1:19" x14ac:dyDescent="0.25">
      <c r="B21">
        <v>2002</v>
      </c>
      <c r="C21" t="s">
        <v>67</v>
      </c>
      <c r="D21" t="s">
        <v>11</v>
      </c>
      <c r="E21" s="1">
        <v>0.155</v>
      </c>
      <c r="F21" s="2">
        <v>37561</v>
      </c>
      <c r="G21" s="14"/>
      <c r="H21" s="14"/>
      <c r="I21" s="14"/>
      <c r="J21" s="14">
        <f>0.155/8</f>
        <v>1.9375E-2</v>
      </c>
      <c r="K21" s="14">
        <f t="shared" ref="K21:Q21" si="4">0.155/8</f>
        <v>1.9375E-2</v>
      </c>
      <c r="L21" s="14">
        <f t="shared" si="4"/>
        <v>1.9375E-2</v>
      </c>
      <c r="M21" s="14">
        <f t="shared" si="4"/>
        <v>1.9375E-2</v>
      </c>
      <c r="N21" s="14">
        <f t="shared" si="4"/>
        <v>1.9375E-2</v>
      </c>
      <c r="O21" s="14">
        <f t="shared" si="4"/>
        <v>1.9375E-2</v>
      </c>
      <c r="P21" s="14">
        <f t="shared" si="4"/>
        <v>1.9375E-2</v>
      </c>
      <c r="Q21" s="14">
        <f t="shared" si="4"/>
        <v>1.9375E-2</v>
      </c>
      <c r="R21" s="14"/>
      <c r="S21" s="14">
        <f t="shared" si="1"/>
        <v>0.155</v>
      </c>
    </row>
    <row r="22" spans="1:19" x14ac:dyDescent="0.25">
      <c r="B22">
        <v>2002</v>
      </c>
      <c r="C22" t="s">
        <v>68</v>
      </c>
      <c r="D22" t="s">
        <v>11</v>
      </c>
      <c r="E22" s="1">
        <v>9.9000000000000005E-2</v>
      </c>
      <c r="F22" s="2">
        <v>37561</v>
      </c>
      <c r="G22" s="14"/>
      <c r="H22" s="14"/>
      <c r="I22" s="14"/>
      <c r="J22" s="14"/>
      <c r="K22" s="14"/>
      <c r="L22" s="14"/>
      <c r="M22" s="14">
        <f>0.099/5</f>
        <v>1.9800000000000002E-2</v>
      </c>
      <c r="N22" s="14">
        <f>0.099/5</f>
        <v>1.9800000000000002E-2</v>
      </c>
      <c r="O22" s="14">
        <f>0.099/5</f>
        <v>1.9800000000000002E-2</v>
      </c>
      <c r="P22" s="14">
        <f>0.099/5</f>
        <v>1.9800000000000002E-2</v>
      </c>
      <c r="Q22" s="14">
        <f>0.099/5</f>
        <v>1.9800000000000002E-2</v>
      </c>
      <c r="R22" s="14"/>
      <c r="S22" s="14">
        <f t="shared" si="1"/>
        <v>9.9000000000000005E-2</v>
      </c>
    </row>
    <row r="23" spans="1:19" x14ac:dyDescent="0.25">
      <c r="B23">
        <v>2002</v>
      </c>
      <c r="C23" t="s">
        <v>69</v>
      </c>
      <c r="D23" t="s">
        <v>11</v>
      </c>
      <c r="E23" s="1">
        <v>0.04</v>
      </c>
      <c r="F23" s="2">
        <v>37408</v>
      </c>
      <c r="G23" s="14"/>
      <c r="H23" s="14"/>
      <c r="I23" s="14">
        <f>0.04/4</f>
        <v>0.01</v>
      </c>
      <c r="J23" s="14">
        <f>0.04/4</f>
        <v>0.01</v>
      </c>
      <c r="K23" s="14">
        <f>0.04/4</f>
        <v>0.01</v>
      </c>
      <c r="L23" s="14">
        <f>0.04/4</f>
        <v>0.01</v>
      </c>
      <c r="M23" s="14"/>
      <c r="N23" s="14"/>
      <c r="O23" s="14"/>
      <c r="P23" s="14"/>
      <c r="Q23" s="14"/>
      <c r="R23" s="14"/>
      <c r="S23" s="14">
        <f t="shared" si="1"/>
        <v>0.04</v>
      </c>
    </row>
    <row r="24" spans="1:19" x14ac:dyDescent="0.25">
      <c r="B24">
        <v>2002</v>
      </c>
      <c r="C24" t="s">
        <v>70</v>
      </c>
      <c r="D24" t="s">
        <v>11</v>
      </c>
      <c r="E24" s="1">
        <v>1.4999999999999999E-2</v>
      </c>
      <c r="F24" s="2">
        <v>37408</v>
      </c>
      <c r="G24" s="14"/>
      <c r="H24" s="14"/>
      <c r="I24" s="14"/>
      <c r="J24" s="14">
        <f>0.015/3</f>
        <v>5.0000000000000001E-3</v>
      </c>
      <c r="K24" s="14">
        <f>0.015/3</f>
        <v>5.0000000000000001E-3</v>
      </c>
      <c r="L24" s="14">
        <f>0.015/3</f>
        <v>5.0000000000000001E-3</v>
      </c>
      <c r="M24" s="14"/>
      <c r="N24" s="14"/>
      <c r="O24" s="14"/>
      <c r="P24" s="14"/>
      <c r="Q24" s="14"/>
      <c r="R24" s="14"/>
      <c r="S24" s="14">
        <f t="shared" si="1"/>
        <v>1.4999999999999999E-2</v>
      </c>
    </row>
    <row r="25" spans="1:19" x14ac:dyDescent="0.25">
      <c r="B25">
        <v>2002</v>
      </c>
      <c r="C25" t="s">
        <v>71</v>
      </c>
      <c r="D25" t="s">
        <v>11</v>
      </c>
      <c r="E25" s="1">
        <v>1.7999999999999999E-2</v>
      </c>
      <c r="F25" s="2">
        <v>37500</v>
      </c>
      <c r="G25" s="14"/>
      <c r="H25" s="14"/>
      <c r="I25" s="14"/>
      <c r="J25" s="14"/>
      <c r="K25" s="14"/>
      <c r="L25" s="14">
        <f>0.018/4</f>
        <v>4.4999999999999997E-3</v>
      </c>
      <c r="M25" s="14">
        <f>0.018/4</f>
        <v>4.4999999999999997E-3</v>
      </c>
      <c r="N25" s="14">
        <f>0.018/4</f>
        <v>4.4999999999999997E-3</v>
      </c>
      <c r="O25" s="14">
        <f>0.018/4</f>
        <v>4.4999999999999997E-3</v>
      </c>
      <c r="P25" s="14"/>
      <c r="Q25" s="14"/>
      <c r="R25" s="14"/>
      <c r="S25" s="14">
        <f t="shared" si="1"/>
        <v>1.7999999999999999E-2</v>
      </c>
    </row>
    <row r="26" spans="1:19" x14ac:dyDescent="0.25">
      <c r="B26">
        <v>2002</v>
      </c>
      <c r="C26" t="s">
        <v>77</v>
      </c>
      <c r="D26" t="s">
        <v>75</v>
      </c>
      <c r="E26" s="1">
        <v>0.02</v>
      </c>
      <c r="F26" s="2"/>
      <c r="G26" s="14"/>
      <c r="H26" s="14">
        <v>0.02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>
        <f t="shared" si="1"/>
        <v>0.02</v>
      </c>
    </row>
    <row r="27" spans="1:19" x14ac:dyDescent="0.25">
      <c r="B27">
        <v>2002</v>
      </c>
      <c r="C27" t="s">
        <v>79</v>
      </c>
      <c r="D27" t="s">
        <v>75</v>
      </c>
      <c r="E27" s="1">
        <v>6.6000000000000003E-2</v>
      </c>
      <c r="F27" s="2">
        <v>37500</v>
      </c>
      <c r="G27" s="14"/>
      <c r="H27" s="14"/>
      <c r="I27" s="14"/>
      <c r="J27" s="14"/>
      <c r="K27" s="14">
        <f>0.066/5</f>
        <v>1.32E-2</v>
      </c>
      <c r="L27" s="14">
        <f>0.066/5</f>
        <v>1.32E-2</v>
      </c>
      <c r="M27" s="14">
        <f>0.066/5</f>
        <v>1.32E-2</v>
      </c>
      <c r="N27" s="14">
        <f>0.066/5</f>
        <v>1.32E-2</v>
      </c>
      <c r="O27" s="14">
        <f>0.066/5</f>
        <v>1.32E-2</v>
      </c>
      <c r="P27" s="14"/>
      <c r="Q27" s="14"/>
      <c r="R27" s="14"/>
      <c r="S27" s="14">
        <f t="shared" si="1"/>
        <v>6.6000000000000003E-2</v>
      </c>
    </row>
    <row r="28" spans="1:19" x14ac:dyDescent="0.25">
      <c r="B28">
        <v>2002</v>
      </c>
      <c r="C28" t="s">
        <v>88</v>
      </c>
      <c r="E28" s="1">
        <v>1.7030000000000001</v>
      </c>
      <c r="F28" s="2">
        <v>37500</v>
      </c>
      <c r="G28" s="14">
        <f>1.703/9</f>
        <v>0.18922222222222224</v>
      </c>
      <c r="H28" s="14">
        <f t="shared" ref="H28:O28" si="5">1.703/9</f>
        <v>0.18922222222222224</v>
      </c>
      <c r="I28" s="14">
        <f t="shared" si="5"/>
        <v>0.18922222222222224</v>
      </c>
      <c r="J28" s="14">
        <f t="shared" si="5"/>
        <v>0.18922222222222224</v>
      </c>
      <c r="K28" s="14">
        <f t="shared" si="5"/>
        <v>0.18922222222222224</v>
      </c>
      <c r="L28" s="14">
        <f t="shared" si="5"/>
        <v>0.18922222222222224</v>
      </c>
      <c r="M28" s="14">
        <f t="shared" si="5"/>
        <v>0.18922222222222224</v>
      </c>
      <c r="N28" s="14">
        <f t="shared" si="5"/>
        <v>0.18922222222222224</v>
      </c>
      <c r="O28" s="14">
        <f t="shared" si="5"/>
        <v>0.18922222222222224</v>
      </c>
      <c r="P28" s="14"/>
      <c r="Q28" s="14"/>
      <c r="R28" s="14"/>
      <c r="S28" s="14">
        <f t="shared" si="1"/>
        <v>1.7029999999999998</v>
      </c>
    </row>
    <row r="29" spans="1:19" x14ac:dyDescent="0.25">
      <c r="B29">
        <v>2002</v>
      </c>
      <c r="C29" t="s">
        <v>64</v>
      </c>
      <c r="E29" s="1">
        <v>0.3</v>
      </c>
      <c r="F29" s="2">
        <v>37288</v>
      </c>
      <c r="G29" s="14">
        <f>0.3/2</f>
        <v>0.15</v>
      </c>
      <c r="H29" s="14">
        <f>0.3/2</f>
        <v>0.15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>
        <f t="shared" si="1"/>
        <v>0.3</v>
      </c>
    </row>
    <row r="30" spans="1:19" x14ac:dyDescent="0.25">
      <c r="B30">
        <v>2002</v>
      </c>
      <c r="C30" t="s">
        <v>108</v>
      </c>
      <c r="E30" s="1">
        <v>1.7000000000000001E-2</v>
      </c>
      <c r="F30" s="2">
        <v>37438</v>
      </c>
      <c r="G30" s="14"/>
      <c r="H30" s="14"/>
      <c r="I30" s="14">
        <f>0.017/5</f>
        <v>3.4000000000000002E-3</v>
      </c>
      <c r="J30" s="14">
        <f>0.017/5</f>
        <v>3.4000000000000002E-3</v>
      </c>
      <c r="K30" s="14">
        <f>0.017/5</f>
        <v>3.4000000000000002E-3</v>
      </c>
      <c r="L30" s="14">
        <f>0.017/5</f>
        <v>3.4000000000000002E-3</v>
      </c>
      <c r="M30" s="14">
        <f>0.017/5</f>
        <v>3.4000000000000002E-3</v>
      </c>
      <c r="N30" s="14"/>
      <c r="O30" s="14"/>
      <c r="P30" s="14"/>
      <c r="Q30" s="14"/>
      <c r="R30" s="14"/>
      <c r="S30" s="14">
        <f t="shared" si="1"/>
        <v>1.7000000000000001E-2</v>
      </c>
    </row>
    <row r="31" spans="1:19" s="4" customFormat="1" x14ac:dyDescent="0.25">
      <c r="A31" s="4" t="s">
        <v>87</v>
      </c>
      <c r="E31" s="5">
        <f>SUM(E12:E30)</f>
        <v>2.7929999999999997</v>
      </c>
      <c r="F31" s="6"/>
      <c r="G31" s="5">
        <f t="shared" ref="G31:R31" si="6">SUM(G12:G30)</f>
        <v>0.36522222222222223</v>
      </c>
      <c r="H31" s="5">
        <f t="shared" si="6"/>
        <v>0.43512222222222219</v>
      </c>
      <c r="I31" s="5">
        <f t="shared" si="6"/>
        <v>0.26452222222222227</v>
      </c>
      <c r="J31" s="5">
        <f t="shared" si="6"/>
        <v>0.28089722222222224</v>
      </c>
      <c r="K31" s="5">
        <f t="shared" si="6"/>
        <v>0.29409722222222223</v>
      </c>
      <c r="L31" s="5">
        <f t="shared" si="6"/>
        <v>0.28609722222222228</v>
      </c>
      <c r="M31" s="5">
        <f t="shared" si="6"/>
        <v>0.25849722222222221</v>
      </c>
      <c r="N31" s="5">
        <f t="shared" si="6"/>
        <v>0.26176388888888891</v>
      </c>
      <c r="O31" s="5">
        <f t="shared" si="6"/>
        <v>0.26176388888888891</v>
      </c>
      <c r="P31" s="5">
        <f t="shared" si="6"/>
        <v>4.5841666666666669E-2</v>
      </c>
      <c r="Q31" s="5">
        <f t="shared" si="6"/>
        <v>3.9175000000000001E-2</v>
      </c>
      <c r="R31" s="5">
        <f t="shared" si="6"/>
        <v>0</v>
      </c>
      <c r="S31" s="15">
        <f>SUM(S12:S30)</f>
        <v>2.7929999999999997</v>
      </c>
    </row>
    <row r="32" spans="1:19" x14ac:dyDescent="0.25">
      <c r="E32" s="1"/>
      <c r="F32" s="2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19" x14ac:dyDescent="0.25">
      <c r="A33" s="4" t="s">
        <v>7</v>
      </c>
      <c r="E33" s="1"/>
      <c r="F33" s="2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19" x14ac:dyDescent="0.25">
      <c r="B34">
        <v>2002</v>
      </c>
      <c r="C34" t="s">
        <v>35</v>
      </c>
      <c r="D34" t="s">
        <v>36</v>
      </c>
      <c r="E34" s="1">
        <v>1.0999999999999999E-2</v>
      </c>
      <c r="F34" s="2">
        <v>37408</v>
      </c>
      <c r="G34" s="14"/>
      <c r="H34" s="14"/>
      <c r="I34" s="14">
        <f>0.011/4</f>
        <v>2.7499999999999998E-3</v>
      </c>
      <c r="J34" s="14">
        <f>0.011/4</f>
        <v>2.7499999999999998E-3</v>
      </c>
      <c r="K34" s="14">
        <f>0.011/4</f>
        <v>2.7499999999999998E-3</v>
      </c>
      <c r="L34" s="14">
        <f>0.011/4</f>
        <v>2.7499999999999998E-3</v>
      </c>
      <c r="M34" s="14"/>
      <c r="N34" s="14"/>
      <c r="O34" s="14"/>
      <c r="P34" s="14"/>
      <c r="Q34" s="14"/>
      <c r="R34" s="14"/>
      <c r="S34" s="14">
        <f>SUM(G34:R34)</f>
        <v>1.0999999999999999E-2</v>
      </c>
    </row>
    <row r="35" spans="1:19" x14ac:dyDescent="0.25">
      <c r="B35">
        <v>2002</v>
      </c>
      <c r="C35" t="s">
        <v>43</v>
      </c>
      <c r="E35" s="1">
        <v>0.03</v>
      </c>
      <c r="F35" s="2"/>
      <c r="G35" s="14"/>
      <c r="H35" s="14">
        <f>0.03/3</f>
        <v>0.01</v>
      </c>
      <c r="I35" s="14">
        <f>0.03/3</f>
        <v>0.01</v>
      </c>
      <c r="J35" s="14">
        <f>0.03/3</f>
        <v>0.01</v>
      </c>
      <c r="K35" s="14"/>
      <c r="L35" s="14"/>
      <c r="M35" s="14"/>
      <c r="N35" s="14"/>
      <c r="O35" s="14"/>
      <c r="P35" s="14"/>
      <c r="Q35" s="14"/>
      <c r="R35" s="14"/>
      <c r="S35" s="14">
        <f>SUM(G35:R35)</f>
        <v>0.03</v>
      </c>
    </row>
    <row r="36" spans="1:19" s="4" customFormat="1" x14ac:dyDescent="0.25">
      <c r="A36" s="4" t="s">
        <v>87</v>
      </c>
      <c r="E36" s="5">
        <f>SUM(E34:E35)</f>
        <v>4.0999999999999995E-2</v>
      </c>
      <c r="F36" s="6"/>
      <c r="G36" s="5">
        <f t="shared" ref="G36:R36" si="7">SUM(G34:G35)</f>
        <v>0</v>
      </c>
      <c r="H36" s="5">
        <f t="shared" si="7"/>
        <v>0.01</v>
      </c>
      <c r="I36" s="5">
        <f t="shared" si="7"/>
        <v>1.2750000000000001E-2</v>
      </c>
      <c r="J36" s="5">
        <f t="shared" si="7"/>
        <v>1.2750000000000001E-2</v>
      </c>
      <c r="K36" s="5">
        <f t="shared" si="7"/>
        <v>2.7499999999999998E-3</v>
      </c>
      <c r="L36" s="5">
        <f t="shared" si="7"/>
        <v>2.7499999999999998E-3</v>
      </c>
      <c r="M36" s="5">
        <f t="shared" si="7"/>
        <v>0</v>
      </c>
      <c r="N36" s="5">
        <f t="shared" si="7"/>
        <v>0</v>
      </c>
      <c r="O36" s="5">
        <f t="shared" si="7"/>
        <v>0</v>
      </c>
      <c r="P36" s="5">
        <f t="shared" si="7"/>
        <v>0</v>
      </c>
      <c r="Q36" s="5">
        <f t="shared" si="7"/>
        <v>0</v>
      </c>
      <c r="R36" s="5">
        <f t="shared" si="7"/>
        <v>0</v>
      </c>
      <c r="S36" s="15">
        <f>SUM(S34:S35)</f>
        <v>4.0999999999999995E-2</v>
      </c>
    </row>
    <row r="37" spans="1:19" s="4" customFormat="1" x14ac:dyDescent="0.25">
      <c r="E37" s="5"/>
      <c r="F37" s="6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spans="1:19" x14ac:dyDescent="0.25">
      <c r="A38" s="4" t="s">
        <v>9</v>
      </c>
      <c r="E38" s="1"/>
      <c r="F38" s="2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19" x14ac:dyDescent="0.25">
      <c r="B39">
        <v>2002</v>
      </c>
      <c r="C39" t="s">
        <v>21</v>
      </c>
      <c r="D39" t="s">
        <v>17</v>
      </c>
      <c r="E39" s="1">
        <v>0.03</v>
      </c>
      <c r="F39" s="2">
        <v>37347</v>
      </c>
      <c r="G39" s="14">
        <f>0.03/4</f>
        <v>7.4999999999999997E-3</v>
      </c>
      <c r="H39" s="14">
        <f>0.03/4</f>
        <v>7.4999999999999997E-3</v>
      </c>
      <c r="I39" s="14">
        <f>0.03/4</f>
        <v>7.4999999999999997E-3</v>
      </c>
      <c r="J39" s="14">
        <f>0.03/4</f>
        <v>7.4999999999999997E-3</v>
      </c>
      <c r="K39" s="14"/>
      <c r="L39" s="14"/>
      <c r="M39" s="14"/>
      <c r="N39" s="14"/>
      <c r="O39" s="14"/>
      <c r="P39" s="14"/>
      <c r="Q39" s="14"/>
      <c r="R39" s="14"/>
      <c r="S39" s="14">
        <f t="shared" ref="S39:S45" si="8">SUM(G39:R39)</f>
        <v>0.03</v>
      </c>
    </row>
    <row r="40" spans="1:19" x14ac:dyDescent="0.25">
      <c r="B40">
        <v>2002</v>
      </c>
      <c r="C40" t="s">
        <v>22</v>
      </c>
      <c r="D40" t="s">
        <v>23</v>
      </c>
      <c r="E40" s="1">
        <v>4.0000000000000001E-3</v>
      </c>
      <c r="F40" s="2">
        <v>37347</v>
      </c>
      <c r="G40" s="14">
        <f>0.004/4</f>
        <v>1E-3</v>
      </c>
      <c r="H40" s="14">
        <f>0.004/4</f>
        <v>1E-3</v>
      </c>
      <c r="I40" s="14">
        <f>0.004/4</f>
        <v>1E-3</v>
      </c>
      <c r="J40" s="14">
        <f>0.004/4</f>
        <v>1E-3</v>
      </c>
      <c r="K40" s="14"/>
      <c r="L40" s="14"/>
      <c r="M40" s="14"/>
      <c r="N40" s="14"/>
      <c r="O40" s="14"/>
      <c r="P40" s="14"/>
      <c r="Q40" s="14"/>
      <c r="R40" s="14"/>
      <c r="S40" s="14">
        <f t="shared" si="8"/>
        <v>4.0000000000000001E-3</v>
      </c>
    </row>
    <row r="41" spans="1:19" x14ac:dyDescent="0.25">
      <c r="B41">
        <v>2002</v>
      </c>
      <c r="C41" t="s">
        <v>24</v>
      </c>
      <c r="D41" t="s">
        <v>23</v>
      </c>
      <c r="E41" s="1">
        <v>2.3E-2</v>
      </c>
      <c r="F41" s="2">
        <v>37500</v>
      </c>
      <c r="G41" s="14"/>
      <c r="H41" s="14"/>
      <c r="I41" s="14"/>
      <c r="J41" s="14"/>
      <c r="K41" s="14">
        <f>0.023/5</f>
        <v>4.5999999999999999E-3</v>
      </c>
      <c r="L41" s="14">
        <f>0.023/5</f>
        <v>4.5999999999999999E-3</v>
      </c>
      <c r="M41" s="14">
        <f>0.023/5</f>
        <v>4.5999999999999999E-3</v>
      </c>
      <c r="N41" s="14">
        <f>0.023/5</f>
        <v>4.5999999999999999E-3</v>
      </c>
      <c r="O41" s="14">
        <f>0.023/5</f>
        <v>4.5999999999999999E-3</v>
      </c>
      <c r="P41" s="14"/>
      <c r="Q41" s="14"/>
      <c r="R41" s="14"/>
      <c r="S41" s="14">
        <f t="shared" si="8"/>
        <v>2.3E-2</v>
      </c>
    </row>
    <row r="42" spans="1:19" x14ac:dyDescent="0.25">
      <c r="B42">
        <v>2002</v>
      </c>
      <c r="C42" t="s">
        <v>25</v>
      </c>
      <c r="D42" t="s">
        <v>23</v>
      </c>
      <c r="E42" s="1">
        <v>0.03</v>
      </c>
      <c r="F42" s="2">
        <v>37408</v>
      </c>
      <c r="G42" s="14">
        <f t="shared" ref="G42:L42" si="9">0.03/6</f>
        <v>5.0000000000000001E-3</v>
      </c>
      <c r="H42" s="14">
        <f t="shared" si="9"/>
        <v>5.0000000000000001E-3</v>
      </c>
      <c r="I42" s="14">
        <f t="shared" si="9"/>
        <v>5.0000000000000001E-3</v>
      </c>
      <c r="J42" s="14">
        <f t="shared" si="9"/>
        <v>5.0000000000000001E-3</v>
      </c>
      <c r="K42" s="14">
        <f t="shared" si="9"/>
        <v>5.0000000000000001E-3</v>
      </c>
      <c r="L42" s="14">
        <f t="shared" si="9"/>
        <v>5.0000000000000001E-3</v>
      </c>
      <c r="M42" s="14"/>
      <c r="N42" s="14"/>
      <c r="O42" s="14"/>
      <c r="P42" s="14"/>
      <c r="Q42" s="14"/>
      <c r="R42" s="14"/>
      <c r="S42" s="14">
        <f t="shared" si="8"/>
        <v>3.0000000000000002E-2</v>
      </c>
    </row>
    <row r="43" spans="1:19" x14ac:dyDescent="0.25">
      <c r="B43">
        <v>2002</v>
      </c>
      <c r="C43" t="s">
        <v>26</v>
      </c>
      <c r="D43" t="s">
        <v>23</v>
      </c>
      <c r="E43" s="1">
        <v>0.127</v>
      </c>
      <c r="F43" s="2">
        <v>37591</v>
      </c>
      <c r="G43" s="14">
        <f>0.127/12</f>
        <v>1.0583333333333333E-2</v>
      </c>
      <c r="H43" s="14">
        <f t="shared" ref="H43:R43" si="10">0.127/12</f>
        <v>1.0583333333333333E-2</v>
      </c>
      <c r="I43" s="14">
        <f t="shared" si="10"/>
        <v>1.0583333333333333E-2</v>
      </c>
      <c r="J43" s="14">
        <f t="shared" si="10"/>
        <v>1.0583333333333333E-2</v>
      </c>
      <c r="K43" s="14">
        <f t="shared" si="10"/>
        <v>1.0583333333333333E-2</v>
      </c>
      <c r="L43" s="14">
        <f t="shared" si="10"/>
        <v>1.0583333333333333E-2</v>
      </c>
      <c r="M43" s="14">
        <f t="shared" si="10"/>
        <v>1.0583333333333333E-2</v>
      </c>
      <c r="N43" s="14">
        <f t="shared" si="10"/>
        <v>1.0583333333333333E-2</v>
      </c>
      <c r="O43" s="14">
        <f t="shared" si="10"/>
        <v>1.0583333333333333E-2</v>
      </c>
      <c r="P43" s="14">
        <f t="shared" si="10"/>
        <v>1.0583333333333333E-2</v>
      </c>
      <c r="Q43" s="14">
        <f t="shared" si="10"/>
        <v>1.0583333333333333E-2</v>
      </c>
      <c r="R43" s="14">
        <f t="shared" si="10"/>
        <v>1.0583333333333333E-2</v>
      </c>
      <c r="S43" s="14">
        <f t="shared" si="8"/>
        <v>0.127</v>
      </c>
    </row>
    <row r="44" spans="1:19" x14ac:dyDescent="0.25">
      <c r="B44">
        <v>2002</v>
      </c>
      <c r="C44" t="s">
        <v>105</v>
      </c>
      <c r="E44" s="1">
        <v>2.1999999999999999E-2</v>
      </c>
      <c r="F44" s="2">
        <v>37347</v>
      </c>
      <c r="G44" s="14">
        <f>0.022/4</f>
        <v>5.4999999999999997E-3</v>
      </c>
      <c r="H44" s="14">
        <f>0.022/4</f>
        <v>5.4999999999999997E-3</v>
      </c>
      <c r="I44" s="14">
        <f>0.022/4</f>
        <v>5.4999999999999997E-3</v>
      </c>
      <c r="J44" s="14">
        <f>0.022/4</f>
        <v>5.4999999999999997E-3</v>
      </c>
      <c r="K44" s="14"/>
      <c r="L44" s="14"/>
      <c r="M44" s="14"/>
      <c r="N44" s="14"/>
      <c r="O44" s="14"/>
      <c r="P44" s="14"/>
      <c r="Q44" s="14"/>
      <c r="R44" s="14"/>
      <c r="S44" s="14">
        <f t="shared" si="8"/>
        <v>2.1999999999999999E-2</v>
      </c>
    </row>
    <row r="45" spans="1:19" x14ac:dyDescent="0.25">
      <c r="B45">
        <v>2002</v>
      </c>
      <c r="C45" t="s">
        <v>110</v>
      </c>
      <c r="E45" s="1">
        <v>0.42</v>
      </c>
      <c r="F45" s="2">
        <v>37592</v>
      </c>
      <c r="G45" s="14">
        <f>0.42/12</f>
        <v>3.4999999999999996E-2</v>
      </c>
      <c r="H45" s="14">
        <f t="shared" ref="H45:R45" si="11">0.42/12</f>
        <v>3.4999999999999996E-2</v>
      </c>
      <c r="I45" s="14">
        <f t="shared" si="11"/>
        <v>3.4999999999999996E-2</v>
      </c>
      <c r="J45" s="14">
        <f t="shared" si="11"/>
        <v>3.4999999999999996E-2</v>
      </c>
      <c r="K45" s="14">
        <f t="shared" si="11"/>
        <v>3.4999999999999996E-2</v>
      </c>
      <c r="L45" s="14">
        <f t="shared" si="11"/>
        <v>3.4999999999999996E-2</v>
      </c>
      <c r="M45" s="14">
        <f t="shared" si="11"/>
        <v>3.4999999999999996E-2</v>
      </c>
      <c r="N45" s="14">
        <f t="shared" si="11"/>
        <v>3.4999999999999996E-2</v>
      </c>
      <c r="O45" s="14">
        <f t="shared" si="11"/>
        <v>3.4999999999999996E-2</v>
      </c>
      <c r="P45" s="14">
        <f t="shared" si="11"/>
        <v>3.4999999999999996E-2</v>
      </c>
      <c r="Q45" s="14">
        <f t="shared" si="11"/>
        <v>3.4999999999999996E-2</v>
      </c>
      <c r="R45" s="14">
        <f t="shared" si="11"/>
        <v>3.4999999999999996E-2</v>
      </c>
      <c r="S45" s="14">
        <f t="shared" si="8"/>
        <v>0.41999999999999987</v>
      </c>
    </row>
    <row r="46" spans="1:19" x14ac:dyDescent="0.25">
      <c r="B46">
        <v>2002</v>
      </c>
      <c r="C46" t="s">
        <v>5</v>
      </c>
      <c r="D46" t="s">
        <v>27</v>
      </c>
      <c r="E46" s="1">
        <v>0.02</v>
      </c>
      <c r="F46" s="2"/>
      <c r="G46" s="14">
        <v>0.01</v>
      </c>
      <c r="H46" s="14">
        <v>0.01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>
        <f>SUM(G46:R46)</f>
        <v>0.02</v>
      </c>
    </row>
    <row r="47" spans="1:19" x14ac:dyDescent="0.25">
      <c r="B47">
        <v>2002</v>
      </c>
      <c r="C47" t="s">
        <v>5</v>
      </c>
      <c r="D47" t="s">
        <v>33</v>
      </c>
      <c r="E47" s="1">
        <v>0.20100000000000001</v>
      </c>
      <c r="F47" s="2"/>
      <c r="G47" s="14"/>
      <c r="H47" s="14"/>
      <c r="I47" s="14">
        <f t="shared" ref="I47:N47" si="12">0.201/6</f>
        <v>3.3500000000000002E-2</v>
      </c>
      <c r="J47" s="14">
        <f t="shared" si="12"/>
        <v>3.3500000000000002E-2</v>
      </c>
      <c r="K47" s="14">
        <f t="shared" si="12"/>
        <v>3.3500000000000002E-2</v>
      </c>
      <c r="L47" s="14">
        <f t="shared" si="12"/>
        <v>3.3500000000000002E-2</v>
      </c>
      <c r="M47" s="14">
        <f t="shared" si="12"/>
        <v>3.3500000000000002E-2</v>
      </c>
      <c r="N47" s="14">
        <f t="shared" si="12"/>
        <v>3.3500000000000002E-2</v>
      </c>
      <c r="O47" s="14"/>
      <c r="P47" s="14"/>
      <c r="Q47" s="14"/>
      <c r="R47" s="14"/>
      <c r="S47" s="14">
        <f>SUM(G47:R47)</f>
        <v>0.20100000000000001</v>
      </c>
    </row>
    <row r="48" spans="1:19" x14ac:dyDescent="0.25">
      <c r="B48">
        <v>2002</v>
      </c>
      <c r="C48" t="s">
        <v>5</v>
      </c>
      <c r="D48" t="s">
        <v>29</v>
      </c>
      <c r="E48" s="1">
        <v>5.0999999999999997E-2</v>
      </c>
      <c r="F48" s="2"/>
      <c r="G48" s="14"/>
      <c r="H48" s="14"/>
      <c r="I48" s="14"/>
      <c r="J48" s="14"/>
      <c r="K48" s="14">
        <f>0.051/3</f>
        <v>1.6999999999999998E-2</v>
      </c>
      <c r="L48" s="14">
        <f>0.051/3</f>
        <v>1.6999999999999998E-2</v>
      </c>
      <c r="M48" s="14">
        <f>0.051/3</f>
        <v>1.6999999999999998E-2</v>
      </c>
      <c r="N48" s="14"/>
      <c r="O48" s="14"/>
      <c r="P48" s="14"/>
      <c r="Q48" s="14"/>
      <c r="R48" s="14"/>
      <c r="S48" s="14">
        <f>SUM(G48:R48)</f>
        <v>5.099999999999999E-2</v>
      </c>
    </row>
    <row r="49" spans="1:19" s="4" customFormat="1" x14ac:dyDescent="0.25">
      <c r="A49" s="4" t="s">
        <v>87</v>
      </c>
      <c r="E49" s="5">
        <f>SUM(E39:E48)</f>
        <v>0.92800000000000005</v>
      </c>
      <c r="F49" s="6"/>
      <c r="G49" s="5">
        <f t="shared" ref="G49:R49" si="13">SUM(G39:G48)</f>
        <v>7.4583333333333321E-2</v>
      </c>
      <c r="H49" s="5">
        <f t="shared" si="13"/>
        <v>7.4583333333333321E-2</v>
      </c>
      <c r="I49" s="5">
        <f t="shared" si="13"/>
        <v>9.8083333333333328E-2</v>
      </c>
      <c r="J49" s="5">
        <f t="shared" si="13"/>
        <v>9.8083333333333328E-2</v>
      </c>
      <c r="K49" s="5">
        <f t="shared" si="13"/>
        <v>0.10568333333333334</v>
      </c>
      <c r="L49" s="5">
        <f t="shared" si="13"/>
        <v>0.10568333333333334</v>
      </c>
      <c r="M49" s="5">
        <f t="shared" si="13"/>
        <v>0.10068333333333333</v>
      </c>
      <c r="N49" s="5">
        <f t="shared" si="13"/>
        <v>8.3683333333333332E-2</v>
      </c>
      <c r="O49" s="5">
        <f t="shared" si="13"/>
        <v>5.018333333333333E-2</v>
      </c>
      <c r="P49" s="5">
        <f t="shared" si="13"/>
        <v>4.558333333333333E-2</v>
      </c>
      <c r="Q49" s="5">
        <f t="shared" si="13"/>
        <v>4.558333333333333E-2</v>
      </c>
      <c r="R49" s="5">
        <f t="shared" si="13"/>
        <v>4.558333333333333E-2</v>
      </c>
      <c r="S49" s="15">
        <f>SUM(S39:S48)</f>
        <v>0.92799999999999994</v>
      </c>
    </row>
    <row r="50" spans="1:19" s="4" customFormat="1" x14ac:dyDescent="0.25">
      <c r="E50" s="5"/>
      <c r="F50" s="6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s="4" customFormat="1" x14ac:dyDescent="0.25">
      <c r="A51" s="4" t="s">
        <v>80</v>
      </c>
      <c r="E51" s="5"/>
      <c r="F51" s="6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s="4" customFormat="1" x14ac:dyDescent="0.25">
      <c r="A52" s="4" t="s">
        <v>86</v>
      </c>
      <c r="E52" s="5"/>
      <c r="F52" s="6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s="4" customFormat="1" x14ac:dyDescent="0.25">
      <c r="E53" s="5"/>
      <c r="F53" s="6"/>
    </row>
  </sheetData>
  <phoneticPr fontId="0" type="noConversion"/>
  <pageMargins left="0.75" right="0.75" top="1" bottom="1" header="0.5" footer="0.5"/>
  <pageSetup scale="4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7" sqref="G17:H17"/>
    </sheetView>
  </sheetViews>
  <sheetFormatPr defaultRowHeight="13.2" x14ac:dyDescent="0.25"/>
  <cols>
    <col min="3" max="3" width="24.109375" customWidth="1"/>
  </cols>
  <sheetData>
    <row r="1" spans="1:19" x14ac:dyDescent="0.25">
      <c r="A1" t="s">
        <v>90</v>
      </c>
      <c r="E1" s="1"/>
      <c r="F1" s="2"/>
      <c r="R1" t="str">
        <f ca="1">CELL("filename")</f>
        <v>H:\EXCEL\2002 Budget IT\[2002 Capital by month.xls]MD</v>
      </c>
    </row>
    <row r="2" spans="1:19" x14ac:dyDescent="0.25">
      <c r="E2" s="1"/>
      <c r="F2" s="2"/>
    </row>
    <row r="3" spans="1:19" x14ac:dyDescent="0.25">
      <c r="A3" t="s">
        <v>0</v>
      </c>
      <c r="B3" t="s">
        <v>10</v>
      </c>
      <c r="C3" t="s">
        <v>1</v>
      </c>
      <c r="D3" t="s">
        <v>4</v>
      </c>
      <c r="E3" s="1" t="s">
        <v>2</v>
      </c>
      <c r="F3" s="2" t="s">
        <v>3</v>
      </c>
      <c r="G3" t="s">
        <v>91</v>
      </c>
      <c r="H3" t="s">
        <v>92</v>
      </c>
      <c r="I3" t="s">
        <v>93</v>
      </c>
      <c r="J3" t="s">
        <v>94</v>
      </c>
      <c r="K3" t="s">
        <v>95</v>
      </c>
      <c r="L3" t="s">
        <v>96</v>
      </c>
      <c r="M3" t="s">
        <v>97</v>
      </c>
      <c r="N3" t="s">
        <v>98</v>
      </c>
      <c r="O3" t="s">
        <v>99</v>
      </c>
      <c r="P3" t="s">
        <v>104</v>
      </c>
      <c r="Q3" t="s">
        <v>101</v>
      </c>
      <c r="R3" t="s">
        <v>102</v>
      </c>
      <c r="S3" t="s">
        <v>103</v>
      </c>
    </row>
    <row r="4" spans="1:19" ht="17.399999999999999" x14ac:dyDescent="0.3">
      <c r="A4" s="7" t="s">
        <v>18</v>
      </c>
      <c r="E4" s="1"/>
      <c r="F4" s="2"/>
    </row>
    <row r="5" spans="1:19" ht="17.399999999999999" x14ac:dyDescent="0.3">
      <c r="A5" s="7"/>
      <c r="B5" s="4" t="s">
        <v>112</v>
      </c>
      <c r="E5" s="1"/>
      <c r="F5" s="2"/>
    </row>
    <row r="6" spans="1:19" x14ac:dyDescent="0.25">
      <c r="A6" s="9" t="s">
        <v>9</v>
      </c>
      <c r="E6" s="1"/>
      <c r="F6" s="2"/>
    </row>
    <row r="7" spans="1:19" x14ac:dyDescent="0.25">
      <c r="B7">
        <v>2002</v>
      </c>
      <c r="C7" t="s">
        <v>34</v>
      </c>
      <c r="D7" t="s">
        <v>19</v>
      </c>
      <c r="E7" s="1">
        <v>0.01</v>
      </c>
      <c r="F7" s="2">
        <v>37408</v>
      </c>
      <c r="G7" s="14"/>
      <c r="H7" s="14"/>
      <c r="I7" s="14">
        <f>0.01/4</f>
        <v>2.5000000000000001E-3</v>
      </c>
      <c r="J7" s="14">
        <f>0.01/4</f>
        <v>2.5000000000000001E-3</v>
      </c>
      <c r="K7" s="14">
        <f>0.01/4</f>
        <v>2.5000000000000001E-3</v>
      </c>
      <c r="L7" s="14">
        <f>0.01/4</f>
        <v>2.5000000000000001E-3</v>
      </c>
      <c r="M7" s="14"/>
      <c r="N7" s="14"/>
      <c r="O7" s="14"/>
      <c r="P7" s="14"/>
      <c r="Q7" s="14"/>
      <c r="R7" s="14"/>
      <c r="S7" s="14">
        <f t="shared" ref="S7:S12" si="0">SUM(G7:R7)</f>
        <v>0.01</v>
      </c>
    </row>
    <row r="8" spans="1:19" x14ac:dyDescent="0.25">
      <c r="B8">
        <v>2002</v>
      </c>
      <c r="C8" t="s">
        <v>21</v>
      </c>
      <c r="D8" t="s">
        <v>17</v>
      </c>
      <c r="E8" s="1">
        <v>1.4999999999999999E-2</v>
      </c>
      <c r="F8" s="2">
        <v>37347</v>
      </c>
      <c r="G8" s="14">
        <f>0.015/4</f>
        <v>3.7499999999999999E-3</v>
      </c>
      <c r="H8" s="14">
        <f>0.015/4</f>
        <v>3.7499999999999999E-3</v>
      </c>
      <c r="I8" s="14">
        <f>0.015/4</f>
        <v>3.7499999999999999E-3</v>
      </c>
      <c r="J8" s="14">
        <f>0.015/4</f>
        <v>3.7499999999999999E-3</v>
      </c>
      <c r="K8" s="14"/>
      <c r="L8" s="14"/>
      <c r="M8" s="14"/>
      <c r="N8" s="14"/>
      <c r="O8" s="14"/>
      <c r="P8" s="14"/>
      <c r="Q8" s="14"/>
      <c r="R8" s="14"/>
      <c r="S8" s="14">
        <f t="shared" si="0"/>
        <v>1.4999999999999999E-2</v>
      </c>
    </row>
    <row r="9" spans="1:19" x14ac:dyDescent="0.25">
      <c r="B9">
        <v>2002</v>
      </c>
      <c r="C9" t="s">
        <v>22</v>
      </c>
      <c r="D9" t="s">
        <v>23</v>
      </c>
      <c r="E9" s="1">
        <v>2E-3</v>
      </c>
      <c r="F9" s="2">
        <v>37347</v>
      </c>
      <c r="G9" s="14">
        <f>0.002/4</f>
        <v>5.0000000000000001E-4</v>
      </c>
      <c r="H9" s="14">
        <f>0.002/4</f>
        <v>5.0000000000000001E-4</v>
      </c>
      <c r="I9" s="14">
        <f>0.002/4</f>
        <v>5.0000000000000001E-4</v>
      </c>
      <c r="J9" s="14">
        <f>0.002/4</f>
        <v>5.0000000000000001E-4</v>
      </c>
      <c r="K9" s="14"/>
      <c r="L9" s="14"/>
      <c r="M9" s="14"/>
      <c r="N9" s="14"/>
      <c r="O9" s="14"/>
      <c r="P9" s="14"/>
      <c r="Q9" s="14"/>
      <c r="R9" s="14"/>
      <c r="S9" s="14">
        <f t="shared" si="0"/>
        <v>2E-3</v>
      </c>
    </row>
    <row r="10" spans="1:19" x14ac:dyDescent="0.25">
      <c r="B10">
        <v>2002</v>
      </c>
      <c r="C10" t="s">
        <v>24</v>
      </c>
      <c r="D10" t="s">
        <v>23</v>
      </c>
      <c r="E10" s="1">
        <v>1.2999999999999999E-2</v>
      </c>
      <c r="F10" s="2">
        <v>37500</v>
      </c>
      <c r="G10" s="14"/>
      <c r="H10" s="14"/>
      <c r="I10" s="14"/>
      <c r="J10" s="14"/>
      <c r="K10" s="14">
        <f>0.013/5</f>
        <v>2.5999999999999999E-3</v>
      </c>
      <c r="L10" s="14">
        <f>0.013/5</f>
        <v>2.5999999999999999E-3</v>
      </c>
      <c r="M10" s="14">
        <f>0.013/5</f>
        <v>2.5999999999999999E-3</v>
      </c>
      <c r="N10" s="14">
        <f>0.013/5</f>
        <v>2.5999999999999999E-3</v>
      </c>
      <c r="O10" s="14">
        <f>0.013/5</f>
        <v>2.5999999999999999E-3</v>
      </c>
      <c r="P10" s="14"/>
      <c r="Q10" s="14"/>
      <c r="R10" s="14"/>
      <c r="S10" s="14">
        <f t="shared" si="0"/>
        <v>1.2999999999999999E-2</v>
      </c>
    </row>
    <row r="11" spans="1:19" x14ac:dyDescent="0.25">
      <c r="B11">
        <v>2002</v>
      </c>
      <c r="C11" t="s">
        <v>26</v>
      </c>
      <c r="D11" t="s">
        <v>23</v>
      </c>
      <c r="E11" s="1">
        <v>6.4000000000000001E-2</v>
      </c>
      <c r="F11" s="2">
        <v>37591</v>
      </c>
      <c r="G11" s="14">
        <f>0.064/12</f>
        <v>5.3333333333333332E-3</v>
      </c>
      <c r="H11" s="14">
        <f t="shared" ref="H11:R11" si="1">0.064/12</f>
        <v>5.3333333333333332E-3</v>
      </c>
      <c r="I11" s="14">
        <f t="shared" si="1"/>
        <v>5.3333333333333332E-3</v>
      </c>
      <c r="J11" s="14">
        <f t="shared" si="1"/>
        <v>5.3333333333333332E-3</v>
      </c>
      <c r="K11" s="14">
        <f t="shared" si="1"/>
        <v>5.3333333333333332E-3</v>
      </c>
      <c r="L11" s="14">
        <f t="shared" si="1"/>
        <v>5.3333333333333332E-3</v>
      </c>
      <c r="M11" s="14">
        <f t="shared" si="1"/>
        <v>5.3333333333333332E-3</v>
      </c>
      <c r="N11" s="14">
        <f t="shared" si="1"/>
        <v>5.3333333333333332E-3</v>
      </c>
      <c r="O11" s="14">
        <f t="shared" si="1"/>
        <v>5.3333333333333332E-3</v>
      </c>
      <c r="P11" s="14">
        <f t="shared" si="1"/>
        <v>5.3333333333333332E-3</v>
      </c>
      <c r="Q11" s="14">
        <f t="shared" si="1"/>
        <v>5.3333333333333332E-3</v>
      </c>
      <c r="R11" s="14">
        <f t="shared" si="1"/>
        <v>5.3333333333333332E-3</v>
      </c>
      <c r="S11" s="14">
        <f t="shared" si="0"/>
        <v>6.4000000000000015E-2</v>
      </c>
    </row>
    <row r="12" spans="1:19" x14ac:dyDescent="0.25">
      <c r="B12">
        <v>2002</v>
      </c>
      <c r="C12" t="s">
        <v>5</v>
      </c>
      <c r="D12" t="s">
        <v>45</v>
      </c>
      <c r="E12" s="1">
        <v>0.127</v>
      </c>
      <c r="F12" s="2"/>
      <c r="G12" s="14"/>
      <c r="H12" s="14"/>
      <c r="I12" s="14">
        <f>0.127/6</f>
        <v>2.1166666666666667E-2</v>
      </c>
      <c r="J12" s="14">
        <f t="shared" ref="J12:N12" si="2">0.127/6</f>
        <v>2.1166666666666667E-2</v>
      </c>
      <c r="K12" s="14">
        <f t="shared" si="2"/>
        <v>2.1166666666666667E-2</v>
      </c>
      <c r="L12" s="14">
        <f t="shared" si="2"/>
        <v>2.1166666666666667E-2</v>
      </c>
      <c r="M12" s="14">
        <f t="shared" si="2"/>
        <v>2.1166666666666667E-2</v>
      </c>
      <c r="N12" s="14">
        <f t="shared" si="2"/>
        <v>2.1166666666666667E-2</v>
      </c>
      <c r="O12" s="14"/>
      <c r="P12" s="14"/>
      <c r="Q12" s="14"/>
      <c r="R12" s="14"/>
      <c r="S12" s="14">
        <f t="shared" si="0"/>
        <v>0.127</v>
      </c>
    </row>
    <row r="13" spans="1:19" s="4" customFormat="1" x14ac:dyDescent="0.25">
      <c r="A13" s="4" t="s">
        <v>87</v>
      </c>
      <c r="E13" s="5">
        <f>SUM(E7:E12)</f>
        <v>0.23100000000000001</v>
      </c>
      <c r="F13" s="6"/>
      <c r="G13" s="5">
        <f t="shared" ref="G13:S13" si="3">SUM(G7:G12)</f>
        <v>9.5833333333333326E-3</v>
      </c>
      <c r="H13" s="5">
        <f t="shared" si="3"/>
        <v>9.5833333333333326E-3</v>
      </c>
      <c r="I13" s="5">
        <f t="shared" si="3"/>
        <v>3.3250000000000002E-2</v>
      </c>
      <c r="J13" s="5">
        <f t="shared" si="3"/>
        <v>3.3250000000000002E-2</v>
      </c>
      <c r="K13" s="5">
        <f t="shared" si="3"/>
        <v>3.1600000000000003E-2</v>
      </c>
      <c r="L13" s="5">
        <f t="shared" si="3"/>
        <v>3.1600000000000003E-2</v>
      </c>
      <c r="M13" s="5">
        <f t="shared" si="3"/>
        <v>2.9100000000000001E-2</v>
      </c>
      <c r="N13" s="5">
        <f t="shared" si="3"/>
        <v>2.9100000000000001E-2</v>
      </c>
      <c r="O13" s="5">
        <f t="shared" si="3"/>
        <v>7.9333333333333339E-3</v>
      </c>
      <c r="P13" s="5">
        <f t="shared" si="3"/>
        <v>5.3333333333333332E-3</v>
      </c>
      <c r="Q13" s="5">
        <f t="shared" si="3"/>
        <v>5.3333333333333332E-3</v>
      </c>
      <c r="R13" s="5">
        <f t="shared" si="3"/>
        <v>5.3333333333333332E-3</v>
      </c>
      <c r="S13" s="5">
        <f t="shared" si="3"/>
        <v>0.23100000000000001</v>
      </c>
    </row>
    <row r="14" spans="1:19" x14ac:dyDescent="0.25">
      <c r="E14" s="1"/>
      <c r="F14" s="2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x14ac:dyDescent="0.25">
      <c r="A15" s="4" t="s">
        <v>7</v>
      </c>
      <c r="E15" s="1"/>
      <c r="F15" s="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x14ac:dyDescent="0.25">
      <c r="B16">
        <v>2002</v>
      </c>
      <c r="C16" t="s">
        <v>35</v>
      </c>
      <c r="D16" t="s">
        <v>36</v>
      </c>
      <c r="E16" s="1">
        <v>0.01</v>
      </c>
      <c r="F16" s="2">
        <v>37408</v>
      </c>
      <c r="G16" s="14"/>
      <c r="H16" s="14"/>
      <c r="I16" s="14">
        <f>0.01/4</f>
        <v>2.5000000000000001E-3</v>
      </c>
      <c r="J16" s="14">
        <f>0.01/4</f>
        <v>2.5000000000000001E-3</v>
      </c>
      <c r="K16" s="14">
        <f>0.01/4</f>
        <v>2.5000000000000001E-3</v>
      </c>
      <c r="L16" s="14">
        <f>0.01/4</f>
        <v>2.5000000000000001E-3</v>
      </c>
      <c r="M16" s="14"/>
      <c r="N16" s="14"/>
      <c r="O16" s="14"/>
      <c r="P16" s="14"/>
      <c r="Q16" s="14"/>
      <c r="R16" s="14"/>
      <c r="S16" s="14">
        <f>SUM(G16:R16)</f>
        <v>0.01</v>
      </c>
    </row>
    <row r="17" spans="1:19" s="4" customFormat="1" x14ac:dyDescent="0.25">
      <c r="A17" s="4" t="s">
        <v>12</v>
      </c>
      <c r="E17" s="5">
        <f>SUM(E16)</f>
        <v>0.01</v>
      </c>
      <c r="F17" s="6"/>
      <c r="G17" s="5">
        <f>SUM(G16)</f>
        <v>0</v>
      </c>
      <c r="H17" s="5">
        <f>SUM(H16)</f>
        <v>0</v>
      </c>
      <c r="I17" s="5">
        <f t="shared" ref="I17:R17" si="4">SUM(I16)</f>
        <v>2.5000000000000001E-3</v>
      </c>
      <c r="J17" s="5">
        <f t="shared" si="4"/>
        <v>2.5000000000000001E-3</v>
      </c>
      <c r="K17" s="5">
        <f t="shared" si="4"/>
        <v>2.5000000000000001E-3</v>
      </c>
      <c r="L17" s="5">
        <f t="shared" si="4"/>
        <v>2.5000000000000001E-3</v>
      </c>
      <c r="M17" s="5">
        <f t="shared" si="4"/>
        <v>0</v>
      </c>
      <c r="N17" s="5">
        <f t="shared" si="4"/>
        <v>0</v>
      </c>
      <c r="O17" s="5">
        <f t="shared" si="4"/>
        <v>0</v>
      </c>
      <c r="P17" s="5">
        <f t="shared" si="4"/>
        <v>0</v>
      </c>
      <c r="Q17" s="5">
        <f t="shared" si="4"/>
        <v>0</v>
      </c>
      <c r="R17" s="5">
        <f t="shared" si="4"/>
        <v>0</v>
      </c>
      <c r="S17" s="5">
        <f>SUM(S16)</f>
        <v>0.01</v>
      </c>
    </row>
    <row r="18" spans="1:19" x14ac:dyDescent="0.25">
      <c r="E18" s="1"/>
      <c r="F18" s="2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 x14ac:dyDescent="0.25">
      <c r="A19" s="4" t="s">
        <v>6</v>
      </c>
      <c r="E19" s="1"/>
      <c r="F19" s="2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 x14ac:dyDescent="0.25">
      <c r="B20">
        <v>2002</v>
      </c>
      <c r="C20" t="s">
        <v>65</v>
      </c>
      <c r="D20" t="s">
        <v>11</v>
      </c>
      <c r="E20" s="1">
        <v>0.19500000000000001</v>
      </c>
      <c r="F20" s="2">
        <v>37408</v>
      </c>
      <c r="G20" s="14"/>
      <c r="H20" s="14">
        <f>0.195/5</f>
        <v>3.9E-2</v>
      </c>
      <c r="I20" s="14">
        <f>0.195/5</f>
        <v>3.9E-2</v>
      </c>
      <c r="J20" s="14">
        <f>0.195/5</f>
        <v>3.9E-2</v>
      </c>
      <c r="K20" s="14">
        <f>0.195/5</f>
        <v>3.9E-2</v>
      </c>
      <c r="L20" s="14">
        <f>0.195/5</f>
        <v>3.9E-2</v>
      </c>
      <c r="M20" s="14"/>
      <c r="N20" s="14"/>
      <c r="O20" s="14"/>
      <c r="P20" s="14"/>
      <c r="Q20" s="14"/>
      <c r="R20" s="14"/>
      <c r="S20" s="14">
        <f>SUM(G20:R20)</f>
        <v>0.19500000000000001</v>
      </c>
    </row>
    <row r="21" spans="1:19" x14ac:dyDescent="0.25">
      <c r="B21">
        <v>2002</v>
      </c>
      <c r="C21" t="s">
        <v>69</v>
      </c>
      <c r="D21" t="s">
        <v>11</v>
      </c>
      <c r="E21" s="1">
        <v>6.7000000000000004E-2</v>
      </c>
      <c r="F21" s="2">
        <v>37408</v>
      </c>
      <c r="G21" s="14"/>
      <c r="H21" s="14"/>
      <c r="I21" s="14">
        <f>0.067/4</f>
        <v>1.6750000000000001E-2</v>
      </c>
      <c r="J21" s="14">
        <f>0.067/4</f>
        <v>1.6750000000000001E-2</v>
      </c>
      <c r="K21" s="14">
        <f>0.067/4</f>
        <v>1.6750000000000001E-2</v>
      </c>
      <c r="L21" s="14">
        <f>0.067/4</f>
        <v>1.6750000000000001E-2</v>
      </c>
      <c r="M21" s="14"/>
      <c r="N21" s="14"/>
      <c r="O21" s="14"/>
      <c r="P21" s="14"/>
      <c r="Q21" s="14"/>
      <c r="R21" s="14"/>
      <c r="S21" s="14">
        <f>SUM(G21:R21)</f>
        <v>6.7000000000000004E-2</v>
      </c>
    </row>
    <row r="22" spans="1:19" s="4" customFormat="1" ht="12" customHeight="1" x14ac:dyDescent="0.25">
      <c r="A22" s="4" t="s">
        <v>13</v>
      </c>
      <c r="E22" s="5">
        <f>SUM(E20:E21)</f>
        <v>0.26200000000000001</v>
      </c>
      <c r="F22" s="6"/>
      <c r="G22" s="5">
        <f t="shared" ref="G22:S22" si="5">SUM(G20:G21)</f>
        <v>0</v>
      </c>
      <c r="H22" s="5">
        <f t="shared" si="5"/>
        <v>3.9E-2</v>
      </c>
      <c r="I22" s="5">
        <f t="shared" si="5"/>
        <v>5.5750000000000001E-2</v>
      </c>
      <c r="J22" s="5">
        <f t="shared" si="5"/>
        <v>5.5750000000000001E-2</v>
      </c>
      <c r="K22" s="5">
        <f t="shared" si="5"/>
        <v>5.5750000000000001E-2</v>
      </c>
      <c r="L22" s="5">
        <f t="shared" si="5"/>
        <v>5.5750000000000001E-2</v>
      </c>
      <c r="M22" s="5">
        <f t="shared" si="5"/>
        <v>0</v>
      </c>
      <c r="N22" s="5">
        <f t="shared" si="5"/>
        <v>0</v>
      </c>
      <c r="O22" s="5">
        <f t="shared" si="5"/>
        <v>0</v>
      </c>
      <c r="P22" s="5">
        <f t="shared" si="5"/>
        <v>0</v>
      </c>
      <c r="Q22" s="5">
        <f t="shared" si="5"/>
        <v>0</v>
      </c>
      <c r="R22" s="5">
        <f t="shared" si="5"/>
        <v>0</v>
      </c>
      <c r="S22" s="5">
        <f t="shared" si="5"/>
        <v>0.26200000000000001</v>
      </c>
    </row>
    <row r="24" spans="1:19" x14ac:dyDescent="0.25">
      <c r="A24" s="4"/>
    </row>
    <row r="25" spans="1:19" s="4" customFormat="1" x14ac:dyDescent="0.25">
      <c r="E25" s="5"/>
    </row>
  </sheetData>
  <phoneticPr fontId="0" type="noConversion"/>
  <pageMargins left="0.75" right="0.75" top="1" bottom="1" header="0.5" footer="0.5"/>
  <pageSetup paperSize="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S19" sqref="S19:S20"/>
    </sheetView>
  </sheetViews>
  <sheetFormatPr defaultRowHeight="13.2" x14ac:dyDescent="0.25"/>
  <cols>
    <col min="3" max="3" width="15.5546875" customWidth="1"/>
  </cols>
  <sheetData>
    <row r="1" spans="1:19" x14ac:dyDescent="0.25">
      <c r="A1" t="s">
        <v>90</v>
      </c>
      <c r="E1" s="1"/>
      <c r="F1" s="2"/>
      <c r="O1" t="str">
        <f ca="1">CELL("filename")</f>
        <v>H:\EXCEL\2002 Budget IT\[2002 Capital by month.xls]MD</v>
      </c>
    </row>
    <row r="2" spans="1:19" x14ac:dyDescent="0.25">
      <c r="E2" s="1"/>
      <c r="F2" s="2"/>
    </row>
    <row r="3" spans="1:19" x14ac:dyDescent="0.25">
      <c r="A3" t="s">
        <v>0</v>
      </c>
      <c r="B3" t="s">
        <v>10</v>
      </c>
      <c r="C3" t="s">
        <v>1</v>
      </c>
      <c r="D3" t="s">
        <v>4</v>
      </c>
      <c r="E3" s="1" t="s">
        <v>2</v>
      </c>
      <c r="F3" s="2" t="s">
        <v>3</v>
      </c>
      <c r="G3" t="s">
        <v>91</v>
      </c>
      <c r="H3" t="s">
        <v>92</v>
      </c>
      <c r="I3" t="s">
        <v>93</v>
      </c>
      <c r="J3" t="s">
        <v>94</v>
      </c>
      <c r="K3" t="s">
        <v>95</v>
      </c>
      <c r="L3" t="s">
        <v>96</v>
      </c>
      <c r="M3" t="s">
        <v>97</v>
      </c>
      <c r="N3" t="s">
        <v>98</v>
      </c>
      <c r="O3" t="s">
        <v>99</v>
      </c>
      <c r="P3" t="s">
        <v>104</v>
      </c>
      <c r="Q3" t="s">
        <v>101</v>
      </c>
      <c r="R3" t="s">
        <v>102</v>
      </c>
      <c r="S3" t="s">
        <v>103</v>
      </c>
    </row>
    <row r="4" spans="1:19" ht="17.399999999999999" x14ac:dyDescent="0.3">
      <c r="A4" s="7" t="s">
        <v>20</v>
      </c>
      <c r="E4" s="1"/>
      <c r="F4" s="2"/>
    </row>
    <row r="5" spans="1:19" ht="17.399999999999999" x14ac:dyDescent="0.3">
      <c r="A5" s="7"/>
      <c r="B5" s="4" t="s">
        <v>113</v>
      </c>
      <c r="E5" s="1"/>
      <c r="F5" s="2"/>
    </row>
    <row r="6" spans="1:19" x14ac:dyDescent="0.25">
      <c r="A6" s="9"/>
      <c r="B6">
        <v>2002</v>
      </c>
      <c r="C6" t="s">
        <v>21</v>
      </c>
      <c r="E6" s="1">
        <v>3.0000000000000001E-3</v>
      </c>
      <c r="F6" s="2">
        <v>37347</v>
      </c>
      <c r="G6" s="14">
        <f>0.003/4</f>
        <v>7.5000000000000002E-4</v>
      </c>
      <c r="H6" s="14">
        <f t="shared" ref="H6:L7" si="0">0.003/4</f>
        <v>7.5000000000000002E-4</v>
      </c>
      <c r="I6" s="14">
        <f t="shared" si="0"/>
        <v>7.5000000000000002E-4</v>
      </c>
      <c r="J6" s="14">
        <f t="shared" si="0"/>
        <v>7.5000000000000002E-4</v>
      </c>
      <c r="K6" s="14"/>
      <c r="L6" s="14"/>
      <c r="M6" s="14"/>
      <c r="N6" s="14"/>
      <c r="O6" s="14"/>
      <c r="P6" s="14"/>
      <c r="Q6" s="14"/>
      <c r="R6" s="14"/>
      <c r="S6" s="14">
        <f t="shared" ref="S6:S11" si="1">SUM(G6:R6)</f>
        <v>3.0000000000000001E-3</v>
      </c>
    </row>
    <row r="7" spans="1:19" x14ac:dyDescent="0.25">
      <c r="B7">
        <v>2002</v>
      </c>
      <c r="C7" t="s">
        <v>34</v>
      </c>
      <c r="D7" t="s">
        <v>19</v>
      </c>
      <c r="E7" s="1">
        <v>3.0000000000000001E-3</v>
      </c>
      <c r="F7" s="2">
        <v>37408</v>
      </c>
      <c r="G7" s="14"/>
      <c r="H7" s="14"/>
      <c r="I7" s="14">
        <f>0.003/4</f>
        <v>7.5000000000000002E-4</v>
      </c>
      <c r="J7" s="14">
        <f t="shared" si="0"/>
        <v>7.5000000000000002E-4</v>
      </c>
      <c r="K7" s="14">
        <f t="shared" si="0"/>
        <v>7.5000000000000002E-4</v>
      </c>
      <c r="L7" s="14">
        <f t="shared" si="0"/>
        <v>7.5000000000000002E-4</v>
      </c>
      <c r="M7" s="14"/>
      <c r="N7" s="14"/>
      <c r="O7" s="14"/>
      <c r="P7" s="14"/>
      <c r="Q7" s="14"/>
      <c r="R7" s="14"/>
      <c r="S7" s="14">
        <f t="shared" si="1"/>
        <v>3.0000000000000001E-3</v>
      </c>
    </row>
    <row r="8" spans="1:19" x14ac:dyDescent="0.25">
      <c r="B8">
        <v>2002</v>
      </c>
      <c r="C8" t="s">
        <v>22</v>
      </c>
      <c r="D8" t="s">
        <v>23</v>
      </c>
      <c r="E8" s="1">
        <v>1E-3</v>
      </c>
      <c r="F8" s="2">
        <v>37347</v>
      </c>
      <c r="G8" s="14">
        <f>0.001/4</f>
        <v>2.5000000000000001E-4</v>
      </c>
      <c r="H8" s="14">
        <f>0.001/4</f>
        <v>2.5000000000000001E-4</v>
      </c>
      <c r="I8" s="14">
        <f>0.001/4</f>
        <v>2.5000000000000001E-4</v>
      </c>
      <c r="J8" s="14">
        <f>0.001/4</f>
        <v>2.5000000000000001E-4</v>
      </c>
      <c r="K8" s="14"/>
      <c r="L8" s="14"/>
      <c r="M8" s="14"/>
      <c r="N8" s="14"/>
      <c r="O8" s="14"/>
      <c r="P8" s="14"/>
      <c r="Q8" s="14"/>
      <c r="R8" s="14"/>
      <c r="S8" s="14">
        <f t="shared" si="1"/>
        <v>1E-3</v>
      </c>
    </row>
    <row r="9" spans="1:19" ht="13.5" customHeight="1" x14ac:dyDescent="0.25">
      <c r="B9">
        <v>2002</v>
      </c>
      <c r="C9" t="s">
        <v>24</v>
      </c>
      <c r="D9" t="s">
        <v>23</v>
      </c>
      <c r="E9" s="1">
        <v>3.0000000000000001E-3</v>
      </c>
      <c r="F9" s="2">
        <v>37500</v>
      </c>
      <c r="G9" s="14"/>
      <c r="H9" s="14"/>
      <c r="I9" s="14"/>
      <c r="J9" s="14"/>
      <c r="K9" s="14">
        <f>0.003/5</f>
        <v>6.0000000000000006E-4</v>
      </c>
      <c r="L9" s="14">
        <f>0.003/5</f>
        <v>6.0000000000000006E-4</v>
      </c>
      <c r="M9" s="14">
        <f>0.003/5</f>
        <v>6.0000000000000006E-4</v>
      </c>
      <c r="N9" s="14">
        <f>0.003/5</f>
        <v>6.0000000000000006E-4</v>
      </c>
      <c r="O9" s="14">
        <f>0.003/5</f>
        <v>6.0000000000000006E-4</v>
      </c>
      <c r="P9" s="14"/>
      <c r="Q9" s="14"/>
      <c r="R9" s="14"/>
      <c r="S9" s="14">
        <f t="shared" si="1"/>
        <v>3.0000000000000001E-3</v>
      </c>
    </row>
    <row r="10" spans="1:19" x14ac:dyDescent="0.25">
      <c r="B10">
        <v>2002</v>
      </c>
      <c r="C10" t="s">
        <v>26</v>
      </c>
      <c r="D10" t="s">
        <v>23</v>
      </c>
      <c r="E10" s="1">
        <v>1.2999999999999999E-2</v>
      </c>
      <c r="F10" s="2">
        <v>37591</v>
      </c>
      <c r="G10" s="14">
        <f>0.013/12</f>
        <v>1.0833333333333333E-3</v>
      </c>
      <c r="H10" s="14">
        <f t="shared" ref="H10:R10" si="2">0.013/12</f>
        <v>1.0833333333333333E-3</v>
      </c>
      <c r="I10" s="14">
        <f t="shared" si="2"/>
        <v>1.0833333333333333E-3</v>
      </c>
      <c r="J10" s="14">
        <f t="shared" si="2"/>
        <v>1.0833333333333333E-3</v>
      </c>
      <c r="K10" s="14">
        <f t="shared" si="2"/>
        <v>1.0833333333333333E-3</v>
      </c>
      <c r="L10" s="14">
        <f t="shared" si="2"/>
        <v>1.0833333333333333E-3</v>
      </c>
      <c r="M10" s="14">
        <f t="shared" si="2"/>
        <v>1.0833333333333333E-3</v>
      </c>
      <c r="N10" s="14">
        <f t="shared" si="2"/>
        <v>1.0833333333333333E-3</v>
      </c>
      <c r="O10" s="14">
        <f t="shared" si="2"/>
        <v>1.0833333333333333E-3</v>
      </c>
      <c r="P10" s="14">
        <f t="shared" si="2"/>
        <v>1.0833333333333333E-3</v>
      </c>
      <c r="Q10" s="14">
        <f t="shared" si="2"/>
        <v>1.0833333333333333E-3</v>
      </c>
      <c r="R10" s="14">
        <f t="shared" si="2"/>
        <v>1.0833333333333333E-3</v>
      </c>
      <c r="S10" s="14">
        <f t="shared" si="1"/>
        <v>1.3000000000000003E-2</v>
      </c>
    </row>
    <row r="11" spans="1:19" x14ac:dyDescent="0.25">
      <c r="B11">
        <v>2002</v>
      </c>
      <c r="C11" t="s">
        <v>44</v>
      </c>
      <c r="D11" t="s">
        <v>23</v>
      </c>
      <c r="E11" s="1">
        <v>2.5999999999999999E-2</v>
      </c>
      <c r="F11" s="2"/>
      <c r="G11" s="14"/>
      <c r="H11" s="14">
        <f>0.026/2</f>
        <v>1.2999999999999999E-2</v>
      </c>
      <c r="I11" s="14">
        <f>0.026/2</f>
        <v>1.2999999999999999E-2</v>
      </c>
      <c r="J11" s="14"/>
      <c r="K11" s="14"/>
      <c r="L11" s="14"/>
      <c r="M11" s="14"/>
      <c r="N11" s="14"/>
      <c r="O11" s="14"/>
      <c r="P11" s="14"/>
      <c r="Q11" s="14"/>
      <c r="R11" s="14"/>
      <c r="S11" s="14">
        <f t="shared" si="1"/>
        <v>2.5999999999999999E-2</v>
      </c>
    </row>
    <row r="12" spans="1:19" s="4" customFormat="1" x14ac:dyDescent="0.25">
      <c r="A12" s="4" t="s">
        <v>87</v>
      </c>
      <c r="E12" s="5">
        <f>SUM(E6:E11)</f>
        <v>4.9000000000000002E-2</v>
      </c>
      <c r="F12" s="6"/>
      <c r="G12" s="5">
        <f t="shared" ref="G12:S12" si="3">SUM(G6:G11)</f>
        <v>2.0833333333333333E-3</v>
      </c>
      <c r="H12" s="5">
        <f t="shared" si="3"/>
        <v>1.5083333333333332E-2</v>
      </c>
      <c r="I12" s="5">
        <f t="shared" si="3"/>
        <v>1.5833333333333331E-2</v>
      </c>
      <c r="J12" s="5">
        <f t="shared" si="3"/>
        <v>2.8333333333333335E-3</v>
      </c>
      <c r="K12" s="5">
        <f t="shared" si="3"/>
        <v>2.4333333333333334E-3</v>
      </c>
      <c r="L12" s="5">
        <f t="shared" si="3"/>
        <v>2.4333333333333334E-3</v>
      </c>
      <c r="M12" s="5">
        <f t="shared" si="3"/>
        <v>1.6833333333333333E-3</v>
      </c>
      <c r="N12" s="5">
        <f t="shared" si="3"/>
        <v>1.6833333333333333E-3</v>
      </c>
      <c r="O12" s="5">
        <f t="shared" si="3"/>
        <v>1.6833333333333333E-3</v>
      </c>
      <c r="P12" s="5">
        <f t="shared" si="3"/>
        <v>1.0833333333333333E-3</v>
      </c>
      <c r="Q12" s="5">
        <f t="shared" si="3"/>
        <v>1.0833333333333333E-3</v>
      </c>
      <c r="R12" s="5">
        <f t="shared" si="3"/>
        <v>1.0833333333333333E-3</v>
      </c>
      <c r="S12" s="5">
        <f t="shared" si="3"/>
        <v>4.9000000000000002E-2</v>
      </c>
    </row>
    <row r="13" spans="1:19" x14ac:dyDescent="0.25">
      <c r="E13" s="1"/>
      <c r="F13" s="2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x14ac:dyDescent="0.25">
      <c r="A14" s="4" t="s">
        <v>7</v>
      </c>
      <c r="E14" s="1"/>
      <c r="F14" s="2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x14ac:dyDescent="0.25">
      <c r="B15">
        <v>2002</v>
      </c>
      <c r="C15" t="s">
        <v>35</v>
      </c>
      <c r="D15" t="s">
        <v>36</v>
      </c>
      <c r="E15" s="1">
        <v>1E-3</v>
      </c>
      <c r="F15" s="2">
        <v>37408</v>
      </c>
      <c r="G15" s="14"/>
      <c r="H15" s="14"/>
      <c r="I15" s="14">
        <f>0.001/4</f>
        <v>2.5000000000000001E-4</v>
      </c>
      <c r="J15" s="14">
        <f>0.001/4</f>
        <v>2.5000000000000001E-4</v>
      </c>
      <c r="K15" s="14">
        <f>0.001/4</f>
        <v>2.5000000000000001E-4</v>
      </c>
      <c r="L15" s="14">
        <f>0.001/4</f>
        <v>2.5000000000000001E-4</v>
      </c>
      <c r="M15" s="14"/>
      <c r="N15" s="14"/>
      <c r="O15" s="14"/>
      <c r="P15" s="14"/>
      <c r="Q15" s="14"/>
      <c r="R15" s="14"/>
      <c r="S15" s="14">
        <f>SUM(G15:R15)</f>
        <v>1E-3</v>
      </c>
    </row>
    <row r="16" spans="1:19" s="4" customFormat="1" x14ac:dyDescent="0.25">
      <c r="A16" s="4" t="s">
        <v>12</v>
      </c>
      <c r="E16" s="5">
        <f>SUM(E15)</f>
        <v>1E-3</v>
      </c>
      <c r="F16" s="6"/>
      <c r="G16" s="5">
        <f t="shared" ref="G16:S16" si="4">SUM(G15)</f>
        <v>0</v>
      </c>
      <c r="H16" s="5">
        <f t="shared" si="4"/>
        <v>0</v>
      </c>
      <c r="I16" s="5">
        <f t="shared" si="4"/>
        <v>2.5000000000000001E-4</v>
      </c>
      <c r="J16" s="5">
        <f t="shared" si="4"/>
        <v>2.5000000000000001E-4</v>
      </c>
      <c r="K16" s="5">
        <f t="shared" si="4"/>
        <v>2.5000000000000001E-4</v>
      </c>
      <c r="L16" s="5">
        <f t="shared" si="4"/>
        <v>2.5000000000000001E-4</v>
      </c>
      <c r="M16" s="5">
        <f t="shared" si="4"/>
        <v>0</v>
      </c>
      <c r="N16" s="5">
        <f t="shared" si="4"/>
        <v>0</v>
      </c>
      <c r="O16" s="5">
        <f t="shared" si="4"/>
        <v>0</v>
      </c>
      <c r="P16" s="5">
        <f t="shared" si="4"/>
        <v>0</v>
      </c>
      <c r="Q16" s="5">
        <f t="shared" si="4"/>
        <v>0</v>
      </c>
      <c r="R16" s="5">
        <f t="shared" si="4"/>
        <v>0</v>
      </c>
      <c r="S16" s="5">
        <f t="shared" si="4"/>
        <v>1E-3</v>
      </c>
    </row>
    <row r="17" spans="1:19" x14ac:dyDescent="0.25">
      <c r="E17" s="1"/>
      <c r="F17" s="2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 x14ac:dyDescent="0.25">
      <c r="A18" s="4" t="s">
        <v>6</v>
      </c>
      <c r="E18" s="1"/>
      <c r="F18" s="2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 x14ac:dyDescent="0.25">
      <c r="B19">
        <v>2002</v>
      </c>
      <c r="C19" t="s">
        <v>65</v>
      </c>
      <c r="D19" t="s">
        <v>11</v>
      </c>
      <c r="E19" s="1">
        <v>1.2999999999999999E-2</v>
      </c>
      <c r="F19" s="2">
        <v>37408</v>
      </c>
      <c r="G19" s="14"/>
      <c r="H19" s="14">
        <f>0.013/5</f>
        <v>2.5999999999999999E-3</v>
      </c>
      <c r="I19" s="14">
        <f>0.013/5</f>
        <v>2.5999999999999999E-3</v>
      </c>
      <c r="J19" s="14">
        <f>0.013/5</f>
        <v>2.5999999999999999E-3</v>
      </c>
      <c r="K19" s="14">
        <f>0.013/5</f>
        <v>2.5999999999999999E-3</v>
      </c>
      <c r="L19" s="14">
        <f>0.013/5</f>
        <v>2.5999999999999999E-3</v>
      </c>
      <c r="M19" s="14"/>
      <c r="N19" s="14"/>
      <c r="O19" s="14"/>
      <c r="P19" s="14"/>
      <c r="Q19" s="14"/>
      <c r="R19" s="14"/>
      <c r="S19" s="14">
        <f>SUM(G19:R19)</f>
        <v>1.2999999999999999E-2</v>
      </c>
    </row>
    <row r="20" spans="1:19" x14ac:dyDescent="0.25">
      <c r="B20">
        <v>2002</v>
      </c>
      <c r="C20" t="s">
        <v>69</v>
      </c>
      <c r="D20" t="s">
        <v>11</v>
      </c>
      <c r="E20" s="1">
        <v>5.0000000000000001E-3</v>
      </c>
      <c r="F20" s="2">
        <v>37408</v>
      </c>
      <c r="G20" s="14"/>
      <c r="H20" s="14"/>
      <c r="I20" s="14">
        <f>0.005/4</f>
        <v>1.25E-3</v>
      </c>
      <c r="J20" s="14">
        <f>0.005/4</f>
        <v>1.25E-3</v>
      </c>
      <c r="K20" s="14">
        <f>0.005/4</f>
        <v>1.25E-3</v>
      </c>
      <c r="L20" s="14">
        <f>0.005/4</f>
        <v>1.25E-3</v>
      </c>
      <c r="M20" s="14"/>
      <c r="N20" s="14"/>
      <c r="O20" s="14"/>
      <c r="P20" s="14"/>
      <c r="Q20" s="14"/>
      <c r="R20" s="14"/>
      <c r="S20" s="14">
        <f>SUM(G20:R20)</f>
        <v>5.0000000000000001E-3</v>
      </c>
    </row>
    <row r="21" spans="1:19" s="4" customFormat="1" x14ac:dyDescent="0.25">
      <c r="A21" s="4" t="s">
        <v>13</v>
      </c>
      <c r="E21" s="5">
        <f>SUM(E19:E20)</f>
        <v>1.7999999999999999E-2</v>
      </c>
      <c r="F21" s="6"/>
      <c r="G21" s="5">
        <f t="shared" ref="G21:S21" si="5">SUM(G19:G20)</f>
        <v>0</v>
      </c>
      <c r="H21" s="5">
        <f t="shared" si="5"/>
        <v>2.5999999999999999E-3</v>
      </c>
      <c r="I21" s="5">
        <f t="shared" si="5"/>
        <v>3.8500000000000001E-3</v>
      </c>
      <c r="J21" s="5">
        <f t="shared" si="5"/>
        <v>3.8500000000000001E-3</v>
      </c>
      <c r="K21" s="5">
        <f t="shared" si="5"/>
        <v>3.8500000000000001E-3</v>
      </c>
      <c r="L21" s="5">
        <f t="shared" si="5"/>
        <v>3.8500000000000001E-3</v>
      </c>
      <c r="M21" s="5">
        <f t="shared" si="5"/>
        <v>0</v>
      </c>
      <c r="N21" s="5">
        <f t="shared" si="5"/>
        <v>0</v>
      </c>
      <c r="O21" s="5">
        <f t="shared" si="5"/>
        <v>0</v>
      </c>
      <c r="P21" s="5">
        <f t="shared" si="5"/>
        <v>0</v>
      </c>
      <c r="Q21" s="5">
        <f t="shared" si="5"/>
        <v>0</v>
      </c>
      <c r="R21" s="5">
        <f t="shared" si="5"/>
        <v>0</v>
      </c>
      <c r="S21" s="5">
        <f t="shared" si="5"/>
        <v>1.7999999999999999E-2</v>
      </c>
    </row>
    <row r="22" spans="1:19" x14ac:dyDescent="0.25">
      <c r="E22" s="1"/>
      <c r="F22" s="2"/>
    </row>
  </sheetData>
  <phoneticPr fontId="0" type="noConversion"/>
  <pageMargins left="0.75" right="0.75" top="1" bottom="1" header="0.5" footer="0.5"/>
  <pageSetup paperSize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NNG</vt:lpstr>
      <vt:lpstr>FGT</vt:lpstr>
      <vt:lpstr>TW</vt:lpstr>
      <vt:lpstr>NBP</vt:lpstr>
      <vt:lpstr>MD</vt:lpstr>
      <vt:lpstr>NNG!Print_Titles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cbarnes</dc:creator>
  <cp:lastModifiedBy>Havlíček Jan</cp:lastModifiedBy>
  <cp:lastPrinted>2001-09-12T16:49:53Z</cp:lastPrinted>
  <dcterms:created xsi:type="dcterms:W3CDTF">2001-08-21T23:14:56Z</dcterms:created>
  <dcterms:modified xsi:type="dcterms:W3CDTF">2023-09-10T14:59:22Z</dcterms:modified>
</cp:coreProperties>
</file>